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nikitazaytsev/Desktop/"/>
    </mc:Choice>
  </mc:AlternateContent>
  <xr:revisionPtr revIDLastSave="0" documentId="8_{67D766FB-1BEB-CB41-888B-DEE5BFF6B02A}" xr6:coauthVersionLast="47" xr6:coauthVersionMax="47" xr10:uidLastSave="{00000000-0000-0000-0000-000000000000}"/>
  <bookViews>
    <workbookView xWindow="0" yWindow="0" windowWidth="28800" windowHeight="18000" firstSheet="3" activeTab="11" xr2:uid="{00000000-000D-0000-FFFF-FFFF00000000}"/>
  </bookViews>
  <sheets>
    <sheet name="Простые проценты" sheetId="1" r:id="rId1"/>
    <sheet name="Сложные проценты" sheetId="2" r:id="rId2"/>
    <sheet name="Краткие и Непрерывные проценты" sheetId="3" r:id="rId3"/>
    <sheet name="Эквивалентность проц. ставок" sheetId="4" r:id="rId4"/>
    <sheet name="Дисконтирование" sheetId="5" r:id="rId5"/>
    <sheet name="Инф. и акт." sheetId="6" r:id="rId6"/>
    <sheet name="Потоки платежей" sheetId="7" r:id="rId7"/>
    <sheet name="Ренты" sheetId="8" r:id="rId8"/>
    <sheet name="Срочные и непрерывные ренты" sheetId="9" r:id="rId9"/>
    <sheet name="Облигации" sheetId="10" r:id="rId10"/>
    <sheet name="Опционы" sheetId="12" r:id="rId11"/>
    <sheet name="Портфельный анализ" sheetId="11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9" i="11" l="1"/>
  <c r="B225" i="11"/>
  <c r="C225" i="11"/>
  <c r="C25" i="12"/>
  <c r="C24" i="12"/>
  <c r="C23" i="12"/>
  <c r="C22" i="12"/>
  <c r="C21" i="12"/>
  <c r="C20" i="12"/>
  <c r="B22" i="9"/>
  <c r="B67" i="8"/>
  <c r="B34" i="7"/>
  <c r="B45" i="9"/>
  <c r="B138" i="10"/>
  <c r="E106" i="11"/>
  <c r="E107" i="11" s="1"/>
  <c r="B111" i="11" s="1"/>
  <c r="E97" i="11"/>
  <c r="F98" i="11" s="1"/>
  <c r="B97" i="11"/>
  <c r="D213" i="11"/>
  <c r="D212" i="11"/>
  <c r="B217" i="11" s="1"/>
  <c r="E205" i="11"/>
  <c r="B206" i="11" s="1"/>
  <c r="C205" i="11"/>
  <c r="D85" i="11"/>
  <c r="D84" i="11"/>
  <c r="B89" i="11" s="1"/>
  <c r="B195" i="11"/>
  <c r="B78" i="11"/>
  <c r="E191" i="11"/>
  <c r="E190" i="11"/>
  <c r="B184" i="11"/>
  <c r="B67" i="11"/>
  <c r="B182" i="11"/>
  <c r="B173" i="11"/>
  <c r="B56" i="11"/>
  <c r="B159" i="11"/>
  <c r="B162" i="11" s="1"/>
  <c r="B158" i="11"/>
  <c r="E41" i="11"/>
  <c r="E40" i="11"/>
  <c r="B148" i="11"/>
  <c r="B146" i="11" s="1"/>
  <c r="B151" i="11" s="1"/>
  <c r="B31" i="11"/>
  <c r="C30" i="11" s="1"/>
  <c r="E30" i="11"/>
  <c r="B22" i="11"/>
  <c r="D135" i="11"/>
  <c r="D134" i="11" s="1"/>
  <c r="B139" i="11" s="1"/>
  <c r="B11" i="11"/>
  <c r="B124" i="11"/>
  <c r="B125" i="11" s="1"/>
  <c r="B226" i="10"/>
  <c r="B227" i="10" s="1"/>
  <c r="C227" i="10" s="1"/>
  <c r="B228" i="10" s="1"/>
  <c r="B109" i="10"/>
  <c r="B110" i="10" s="1"/>
  <c r="C106" i="10"/>
  <c r="B106" i="10" s="1"/>
  <c r="B111" i="10" s="1"/>
  <c r="B214" i="10"/>
  <c r="B216" i="10" s="1"/>
  <c r="C216" i="10" s="1"/>
  <c r="B98" i="10"/>
  <c r="B99" i="10" s="1"/>
  <c r="B100" i="10" s="1"/>
  <c r="B203" i="10"/>
  <c r="B204" i="10" s="1"/>
  <c r="C204" i="10" s="1"/>
  <c r="B205" i="10" s="1"/>
  <c r="B87" i="10"/>
  <c r="B88" i="10" s="1"/>
  <c r="B89" i="10" s="1"/>
  <c r="B78" i="10"/>
  <c r="B193" i="10"/>
  <c r="B194" i="10" s="1"/>
  <c r="B67" i="10"/>
  <c r="B182" i="10"/>
  <c r="B183" i="10" s="1"/>
  <c r="B56" i="10"/>
  <c r="B170" i="10"/>
  <c r="B172" i="10" s="1"/>
  <c r="C172" i="10" s="1"/>
  <c r="B45" i="10"/>
  <c r="B159" i="10"/>
  <c r="B161" i="10" s="1"/>
  <c r="C161" i="10" s="1"/>
  <c r="B150" i="10"/>
  <c r="B34" i="10"/>
  <c r="B22" i="10"/>
  <c r="B11" i="10"/>
  <c r="C122" i="10"/>
  <c r="B122" i="10"/>
  <c r="B127" i="10" s="1"/>
  <c r="B111" i="8"/>
  <c r="D223" i="8"/>
  <c r="C223" i="8"/>
  <c r="B223" i="8"/>
  <c r="E223" i="8" s="1"/>
  <c r="B225" i="8" s="1"/>
  <c r="B100" i="8"/>
  <c r="B99" i="8"/>
  <c r="C211" i="8"/>
  <c r="B211" i="8"/>
  <c r="D211" i="8" s="1"/>
  <c r="B213" i="8" s="1"/>
  <c r="B98" i="8"/>
  <c r="B89" i="8"/>
  <c r="B200" i="8"/>
  <c r="B202" i="8" s="1"/>
  <c r="B191" i="8"/>
  <c r="B78" i="8"/>
  <c r="B189" i="8"/>
  <c r="B180" i="8"/>
  <c r="B169" i="8"/>
  <c r="B56" i="8"/>
  <c r="B158" i="8"/>
  <c r="B44" i="8"/>
  <c r="B147" i="8"/>
  <c r="B34" i="8"/>
  <c r="B135" i="8"/>
  <c r="B22" i="8"/>
  <c r="B124" i="8"/>
  <c r="B11" i="8"/>
  <c r="B227" i="9"/>
  <c r="B110" i="9"/>
  <c r="B111" i="9" s="1"/>
  <c r="B215" i="9"/>
  <c r="B99" i="9"/>
  <c r="B98" i="9"/>
  <c r="B204" i="9"/>
  <c r="B88" i="9"/>
  <c r="B87" i="9"/>
  <c r="B193" i="9"/>
  <c r="B78" i="9"/>
  <c r="B67" i="9"/>
  <c r="B181" i="9"/>
  <c r="B182" i="9" s="1"/>
  <c r="B171" i="9"/>
  <c r="B51" i="9"/>
  <c r="B56" i="9" s="1"/>
  <c r="B160" i="9"/>
  <c r="B40" i="9"/>
  <c r="B149" i="9"/>
  <c r="B29" i="9"/>
  <c r="B34" i="9" s="1"/>
  <c r="B137" i="9"/>
  <c r="B17" i="9"/>
  <c r="B126" i="9"/>
  <c r="B11" i="9"/>
  <c r="B10" i="9"/>
  <c r="B11" i="6"/>
  <c r="E7" i="7"/>
  <c r="B118" i="5"/>
  <c r="B20" i="5"/>
  <c r="B11" i="4"/>
  <c r="B22" i="4"/>
  <c r="B226" i="7"/>
  <c r="B111" i="7"/>
  <c r="B214" i="7"/>
  <c r="B100" i="7"/>
  <c r="B203" i="7"/>
  <c r="B89" i="7"/>
  <c r="B192" i="7"/>
  <c r="B78" i="7"/>
  <c r="B181" i="7"/>
  <c r="B67" i="7"/>
  <c r="B170" i="7"/>
  <c r="B56" i="7"/>
  <c r="B159" i="7"/>
  <c r="B45" i="7"/>
  <c r="B148" i="7"/>
  <c r="B136" i="7"/>
  <c r="B22" i="7"/>
  <c r="E20" i="7"/>
  <c r="E19" i="7"/>
  <c r="E18" i="7"/>
  <c r="B125" i="7"/>
  <c r="E8" i="7"/>
  <c r="B11" i="7" s="1"/>
  <c r="B128" i="11" l="1"/>
  <c r="D30" i="11"/>
  <c r="B45" i="11"/>
  <c r="B100" i="9"/>
  <c r="C100" i="9" s="1"/>
  <c r="B89" i="9"/>
  <c r="C89" i="9" s="1"/>
  <c r="E31" i="11"/>
  <c r="D32" i="11"/>
  <c r="D33" i="11" s="1"/>
  <c r="E32" i="11"/>
  <c r="E98" i="11"/>
  <c r="B95" i="11" s="1"/>
  <c r="E9" i="7"/>
  <c r="B96" i="11" l="1"/>
  <c r="B100" i="11"/>
  <c r="E33" i="11"/>
  <c r="B34" i="11" s="1"/>
  <c r="B23" i="2"/>
  <c r="B36" i="2"/>
  <c r="B23" i="6"/>
  <c r="B11" i="5"/>
  <c r="B34" i="5"/>
  <c r="C107" i="6"/>
  <c r="C96" i="6"/>
  <c r="C205" i="6"/>
  <c r="C85" i="6"/>
  <c r="B87" i="6" s="1"/>
  <c r="B89" i="6" s="1"/>
  <c r="C194" i="6"/>
  <c r="B196" i="6" s="1"/>
  <c r="B198" i="6" s="1"/>
  <c r="B77" i="6"/>
  <c r="D77" i="6" s="1"/>
  <c r="B78" i="6" s="1"/>
  <c r="C75" i="6"/>
  <c r="B184" i="6"/>
  <c r="B187" i="6" s="1"/>
  <c r="C65" i="6"/>
  <c r="B67" i="6" s="1"/>
  <c r="B68" i="6" s="1"/>
  <c r="B176" i="6"/>
  <c r="B58" i="6"/>
  <c r="B57" i="6"/>
  <c r="B167" i="6"/>
  <c r="B168" i="6" s="1"/>
  <c r="B160" i="6"/>
  <c r="B43" i="6"/>
  <c r="B44" i="6" s="1"/>
  <c r="B47" i="6" s="1"/>
  <c r="B152" i="6"/>
  <c r="B144" i="6"/>
  <c r="B31" i="6"/>
  <c r="B32" i="6" s="1"/>
  <c r="B35" i="6" s="1"/>
  <c r="B133" i="6"/>
  <c r="B20" i="6"/>
  <c r="B19" i="6"/>
  <c r="C131" i="6"/>
  <c r="B8" i="6"/>
  <c r="C120" i="6"/>
  <c r="B257" i="5"/>
  <c r="B261" i="5" s="1"/>
  <c r="B254" i="5"/>
  <c r="B260" i="5" s="1"/>
  <c r="B242" i="5"/>
  <c r="B246" i="5" s="1"/>
  <c r="B239" i="5"/>
  <c r="B245" i="5" s="1"/>
  <c r="B112" i="5"/>
  <c r="B116" i="5" s="1"/>
  <c r="B109" i="5"/>
  <c r="B115" i="5" s="1"/>
  <c r="B227" i="5"/>
  <c r="B231" i="5" s="1"/>
  <c r="B224" i="5"/>
  <c r="B230" i="5" s="1"/>
  <c r="B96" i="5"/>
  <c r="B100" i="5" s="1"/>
  <c r="B212" i="5"/>
  <c r="B216" i="5" s="1"/>
  <c r="B209" i="5"/>
  <c r="B215" i="5" s="1"/>
  <c r="B86" i="5"/>
  <c r="B89" i="5" s="1"/>
  <c r="B78" i="5"/>
  <c r="B197" i="5"/>
  <c r="B201" i="5" s="1"/>
  <c r="B194" i="5"/>
  <c r="B200" i="5" s="1"/>
  <c r="B67" i="5"/>
  <c r="B185" i="5"/>
  <c r="B188" i="5" s="1"/>
  <c r="B175" i="5"/>
  <c r="B177" i="5" s="1"/>
  <c r="B52" i="5"/>
  <c r="B56" i="5" s="1"/>
  <c r="B44" i="5"/>
  <c r="B162" i="5"/>
  <c r="B159" i="5"/>
  <c r="B163" i="5" s="1"/>
  <c r="B156" i="5"/>
  <c r="B31" i="5"/>
  <c r="B144" i="5"/>
  <c r="B148" i="5" s="1"/>
  <c r="B141" i="5"/>
  <c r="B147" i="5" s="1"/>
  <c r="B22" i="5"/>
  <c r="B129" i="5"/>
  <c r="B133" i="5" s="1"/>
  <c r="B126" i="5"/>
  <c r="B132" i="5" s="1"/>
  <c r="B111" i="4"/>
  <c r="B100" i="4"/>
  <c r="B212" i="4"/>
  <c r="B89" i="4"/>
  <c r="B202" i="4"/>
  <c r="B193" i="4"/>
  <c r="B78" i="4"/>
  <c r="B182" i="4"/>
  <c r="B67" i="4"/>
  <c r="B171" i="4"/>
  <c r="B56" i="4"/>
  <c r="B160" i="4"/>
  <c r="B44" i="4"/>
  <c r="B149" i="4"/>
  <c r="B34" i="4"/>
  <c r="B135" i="4"/>
  <c r="B137" i="4" s="1"/>
  <c r="B126" i="4"/>
  <c r="B135" i="6" l="1"/>
  <c r="B165" i="5"/>
  <c r="B248" i="5"/>
  <c r="B233" i="5"/>
  <c r="B122" i="6"/>
  <c r="B123" i="6" s="1"/>
  <c r="B124" i="6" s="1"/>
  <c r="B207" i="6"/>
  <c r="D207" i="6" s="1"/>
  <c r="B208" i="6" s="1"/>
  <c r="B98" i="6"/>
  <c r="B99" i="6" s="1"/>
  <c r="B100" i="6" s="1"/>
  <c r="B109" i="6"/>
  <c r="B111" i="6" s="1"/>
  <c r="B203" i="5"/>
  <c r="B218" i="5"/>
  <c r="B135" i="5"/>
  <c r="B150" i="5"/>
  <c r="B263" i="5"/>
  <c r="B11" i="3" l="1"/>
  <c r="B111" i="3"/>
  <c r="B100" i="3"/>
  <c r="B34" i="3"/>
  <c r="B13" i="2"/>
  <c r="B16" i="1"/>
  <c r="B255" i="1"/>
  <c r="B279" i="1"/>
  <c r="B12" i="1"/>
  <c r="B14" i="1"/>
  <c r="B41" i="1"/>
  <c r="B43" i="1"/>
  <c r="B47" i="1"/>
  <c r="B49" i="1"/>
  <c r="B29" i="1"/>
  <c r="B205" i="1"/>
  <c r="B220" i="1"/>
  <c r="B232" i="1"/>
  <c r="B245" i="1"/>
  <c r="B256" i="1"/>
  <c r="B267" i="1"/>
  <c r="B223" i="3"/>
  <c r="B265" i="1"/>
  <c r="B192" i="2"/>
  <c r="B211" i="3"/>
  <c r="B204" i="2"/>
  <c r="B203" i="3"/>
  <c r="B192" i="3"/>
  <c r="B44" i="3"/>
  <c r="B181" i="3"/>
  <c r="B170" i="3"/>
  <c r="B159" i="3"/>
  <c r="B148" i="3"/>
  <c r="B136" i="3"/>
  <c r="B123" i="3"/>
  <c r="B125" i="3" s="1"/>
  <c r="B109" i="3"/>
  <c r="B98" i="3"/>
  <c r="B87" i="3"/>
  <c r="B89" i="3" s="1"/>
  <c r="B76" i="3"/>
  <c r="B78" i="3" s="1"/>
  <c r="B65" i="3"/>
  <c r="B67" i="3" s="1"/>
  <c r="B54" i="3"/>
  <c r="B56" i="3" s="1"/>
  <c r="B22" i="3"/>
  <c r="B252" i="2"/>
  <c r="B255" i="2" s="1"/>
  <c r="B175" i="2"/>
  <c r="B178" i="2"/>
  <c r="B180" i="2" s="1"/>
  <c r="B162" i="2"/>
  <c r="B165" i="2" s="1"/>
  <c r="B167" i="2" s="1"/>
  <c r="B149" i="2"/>
  <c r="B152" i="2"/>
  <c r="B154" i="2" s="1"/>
  <c r="B139" i="2"/>
  <c r="B141" i="2" s="1"/>
  <c r="B136" i="2"/>
  <c r="B231" i="1"/>
  <c r="B242" i="2"/>
  <c r="B217" i="2"/>
  <c r="B277" i="1"/>
  <c r="B278" i="1" s="1"/>
  <c r="B125" i="2"/>
  <c r="B101" i="2"/>
  <c r="B103" i="2" s="1"/>
  <c r="B244" i="1"/>
  <c r="B193" i="1"/>
  <c r="B229" i="2"/>
  <c r="B110" i="2"/>
  <c r="B113" i="2" s="1"/>
  <c r="B90" i="2"/>
  <c r="B74" i="2"/>
  <c r="B77" i="2" s="1"/>
  <c r="B64" i="2"/>
  <c r="B66" i="2" s="1"/>
  <c r="B50" i="2"/>
  <c r="B33" i="2"/>
  <c r="B21" i="2"/>
  <c r="B20" i="2"/>
  <c r="B8" i="2"/>
  <c r="B11" i="2" s="1"/>
  <c r="B218" i="1" l="1"/>
  <c r="B180" i="1"/>
  <c r="B182" i="1" s="1"/>
  <c r="B163" i="1"/>
  <c r="B165" i="1" s="1"/>
  <c r="B144" i="1"/>
  <c r="B146" i="1" s="1"/>
  <c r="B129" i="1"/>
  <c r="B131" i="1"/>
  <c r="B113" i="1"/>
  <c r="B116" i="1" s="1"/>
  <c r="B103" i="1"/>
  <c r="B102" i="1"/>
  <c r="B93" i="1"/>
  <c r="B89" i="1"/>
  <c r="B91" i="1" s="1"/>
  <c r="B77" i="1"/>
  <c r="B64" i="1"/>
  <c r="B62" i="1"/>
  <c r="B45" i="1"/>
  <c r="B66" i="1" l="1"/>
  <c r="B105" i="1"/>
</calcChain>
</file>

<file path=xl/sharedStrings.xml><?xml version="1.0" encoding="utf-8"?>
<sst xmlns="http://schemas.openxmlformats.org/spreadsheetml/2006/main" count="1245" uniqueCount="343">
  <si>
    <t xml:space="preserve">I: Задание 1   ТЗ 1-1
S: Простая ставка процентов, при которой первоначальный капитал в размере 140000 руб., достигнет через 150 дней 160000 руб.? Число дней году считается приближённо и равно 360. Процентная ставка с точностью до 0,01% равна … 
</t>
  </si>
  <si>
    <t>S</t>
  </si>
  <si>
    <t>S0</t>
  </si>
  <si>
    <t>t</t>
  </si>
  <si>
    <t>K</t>
  </si>
  <si>
    <t>n</t>
  </si>
  <si>
    <t>s</t>
  </si>
  <si>
    <t>i</t>
  </si>
  <si>
    <t>I</t>
  </si>
  <si>
    <t>S'</t>
  </si>
  <si>
    <t>v</t>
  </si>
  <si>
    <t>i2</t>
  </si>
  <si>
    <t>i^</t>
  </si>
  <si>
    <t>I: Задание 4   ТЗ 1-4
S: Первоначальный капитал в размере 132000 руб. достигнет через 120 дней (число дней году считается приближённо и равно 360) величины 160000 руб. при простой ставке процентов, выраженной в %, с точностью до 0,01 равной…</t>
  </si>
  <si>
    <t xml:space="preserve">I: Задание 5   ТЗ 1-5
S: Начальный капитал в размере 56000 руб. вырастет до 65000 руб. при ставке простых процентов 12% годовых, за период (с точностью до 0,01 года) равный … 
I: Задание 5   ТЗ 1-5
S: Начальный капитал в размере 56000 руб. вырастет до 65000 руб. при ставке простых процентов 12% годовых, за период (с точностью до 0,01 года) равный … 
</t>
  </si>
  <si>
    <t>v1</t>
  </si>
  <si>
    <t>Iпрст</t>
  </si>
  <si>
    <t xml:space="preserve">I: Задание 10   ТЗ 1-10
S: Заемщик должен уплатить 70000 руб. через 55 дней (число дней году К=360). Кредит выдан под 21% годовых (простые проценты). Первоначальная сумма долга с точностью до 0,01 руб. составляет …
</t>
  </si>
  <si>
    <t xml:space="preserve">I: Задание 11   ТЗ 1-11
S: Клиент поместил в банк вклад в сумме 28000 руб. под 9,5% годовых с ежемесячной выплатой процентов. Начисление производится по формуле простых процентов. Каждый месяц клиент будет получать следующее количество рублей…
</t>
  </si>
  <si>
    <t xml:space="preserve">I: Задание 12   ТЗ 1-12
S: На годовом депозите можно получить 11% простых годовых. Процентные деньги за 4 года при сумме депозита 35000 руб. составят следующее количество рублей… 
</t>
  </si>
  <si>
    <t xml:space="preserve">I: Задание 13   ТЗ 1-13
S: Первоначальный капитал в размере 50000 руб. вырастет до 65000 руб. при простой ставке 14% годовых за период (с точностью до 0,01 руб.) …
</t>
  </si>
  <si>
    <t xml:space="preserve">I: Задание 14   ТЗ 1-14
S: Банк принимает вклады под простые 7% годовых. Срок, на который необходимо положить в банк 130000 руб., чтобы накопить 150000 руб., равен с точностью до 0,01года равен … 
</t>
  </si>
  <si>
    <t xml:space="preserve">I: Задание 15   ТЗ 1-15
S: Компания получила кредит на три года в размере 200000 руб. с условием возврата 450000 руб. Процентная ставка, выраженная в % с точностью до 0,01, для случая простого процента равна … 
</t>
  </si>
  <si>
    <t xml:space="preserve">I: Задание 16   ТЗ 1-16
S: Вклад открыт под 10% простых годовых на год. На него начислен процентный платеж в сумме 2000 руб. Величина вклада (в руб.) равна …
</t>
  </si>
  <si>
    <t xml:space="preserve">I: Задание 17   ТЗ 1-17
S: Вклад открыт под 5% простых годовых на 10 лет. На него начислен процентный платеж в сумме 2500 руб. Величина вклада с точностью до 0,01 руб. равна …
</t>
  </si>
  <si>
    <t xml:space="preserve">I: Задание 18   ТЗ 1-18
S: Вклад открыт под 4% простых годовых на 1 год. На него начислен процентный платеж в сумме 15000 руб. Величина вклада (в руб.) равна …
</t>
  </si>
  <si>
    <t xml:space="preserve">I: Задание 19   ТЗ 1-19
S: Вклад открыт на 7 месяцев под 8% простых годовых. На него начислен процентный платеж в сумме 2500 руб. Величина вклада с точностью до 0,01 руб. равна …
</t>
  </si>
  <si>
    <t xml:space="preserve">I: Задание 20   ТЗ 1-20
S: Вклад открыт на 20 дней при временной базе 365 дней под 10% простых годовых. На него начислен процентный платеж в сумме 2500 руб. Величина вклада (в руб.) равна … 
</t>
  </si>
  <si>
    <t>s1</t>
  </si>
  <si>
    <t>k</t>
  </si>
  <si>
    <t>Sm</t>
  </si>
  <si>
    <t>Sp</t>
  </si>
  <si>
    <t xml:space="preserve">I: Задание 21   ТЗ 2-1
S: В банк 9 марта на депозит положили сумму 30000 у.е. под 6% годовых по схеме сложных процентов. Число дней в году равно 365. 11 октября с точностью до 0,1 у.е. вкладчик снимет сумму …
</t>
  </si>
  <si>
    <t xml:space="preserve">I: Задание 22   ТЗ 2-2
S: Вклад на 180000 руб., открытый в банке на 10 месяцев, принес вкладчику 70000 руб. Сложный процент годовых (выраженный в % с точностью до 0,01) равен …
</t>
  </si>
  <si>
    <t xml:space="preserve">I: Задание 23   ТЗ 2-3
S: Кредит 370000 руб. взят на 8 месяцев под 17% сложных годовых процентов. Процентный платеж с точностью до 0,01 руб. равен …
</t>
  </si>
  <si>
    <t xml:space="preserve">I: Задание 24   ТЗ 2-4
S: В банк положен депозит в размере 324000 руб. под 6% годовых по схеме сложных процентов. Величина депозита через три года с точностью до 0,01 руб. равна …
</t>
  </si>
  <si>
    <t xml:space="preserve">I: Задание 25   ТЗ 2-5
S: В банк положена сумма 540000 у.е. сроком на 2 года по сложной ставке 9% годовых. Величина процентных денег (в руб.) равна …
</t>
  </si>
  <si>
    <t xml:space="preserve">I: Задание 26   ТЗ 2-6
S: Первоначальный капитал в размере 50000 руб. вырастет до 85000 руб. при сложной ставке 10% годовых за период с точностью до 0,1 руб. равный …
</t>
  </si>
  <si>
    <t xml:space="preserve">I: Задание 27   ТЗ 2-7
S: В банк положена сумма 450000 руб. сроком на 6 лет по ставке 11% годовых. Наращенная сумма с точность до 0,01 руб. равна …
</t>
  </si>
  <si>
    <t xml:space="preserve">I: Задание 28   ТЗ 2-8
S: В банк положена сумма 550000 руб. сроком на 5 лет по ставке 9% годовых. Величина полученного процента с точностью до 0,01 руб. равна …
</t>
  </si>
  <si>
    <t xml:space="preserve">I: Задание 29   ТЗ 2-9
S: В банк положили сумму 130000 руб. под сложные 8% годовых. Срок для того, чтобы накопить 150000 руб. с точность до 0,1 года равен … 
</t>
  </si>
  <si>
    <t xml:space="preserve">I: Задание 30   ТЗ 2-10
S: Компания получила кредит на три года в размере 334000 руб. с условием возврата 556000 руб. Процентная ставка сложного процента, выраженная в % с точностью до 0,01, равна … 
</t>
  </si>
  <si>
    <t xml:space="preserve">I: Задание 31   ТЗ 2-11
S: Вклад открыт под 10% сложных годовых на 7 месяцев. На него начислен процентный платеж в сумме 1500 руб. Величина вклада с точностью до 0,01 руб. равна …
</t>
  </si>
  <si>
    <t xml:space="preserve">I: Задание 32   ТЗ 2-12
S: Вклад открыт под 11% сложных годовых на 10 лет. На него начислен процентный платеж в сумме 1600 руб. Величина вклада с точностью до 0,01 руб. равна …
</t>
  </si>
  <si>
    <t xml:space="preserve">I: Задание 33   ТЗ 2-13
S: Вклад открыт под 7% сложных годовых на 1 год. На него начислен процентный платеж в сумме 2500 руб. Величина вклада с точностью до 0,01 руб. равна …  
</t>
  </si>
  <si>
    <t xml:space="preserve">I: Задание 34   ТЗ 2-14
S: Вклад открыт под 10% сложных годовых на 15 дней (число дней в году 365). На него начислен процентный платеж в сумме 3500 руб. Величина вклада с точностью до 0,01 руб. равна …
</t>
  </si>
  <si>
    <t xml:space="preserve">I: Задание 35   ТЗ 2-15
S: Сумма, внесённая на депозит, удвоится за 14 лет. По правилу «70» сложная процентная ставка, выраженная в %, равна …
</t>
  </si>
  <si>
    <t xml:space="preserve">I: Задание 36   ТЗ 2-16
S: Сумма, внесённая на депозит, утроится за 7 лет. Годовая сложная процентная ставка (выраженная в % с точностью до 0,01) равна …
</t>
  </si>
  <si>
    <t xml:space="preserve">I: Задание 37   ТЗ 2-17
S: Число лет, вычисленное с точностью до 0,01, за которое вклад вырастет в 4 раза при ставке 8% годовых сложных процентов, равно …
</t>
  </si>
  <si>
    <t xml:space="preserve">I: Задание 38   ТЗ 2-18
S: Число лет, за которое удвоится капитал в схеме сложных процентов при ставке 9% годовых, вычисленное по правилу «70» с точностью до 0,01, равно …
</t>
  </si>
  <si>
    <t xml:space="preserve">I: Задание 39   ТЗ 2-19
S: Инвестор намерен положить некоторую сумму под 12% сложных годовых с целью накопления через три года 1500000 руб.  Сумма вклада с точностью до 0,01 руб. равна …
</t>
  </si>
  <si>
    <t xml:space="preserve">I: Задание 40   ТЗ 2-20
S: Банк принимает вклады под сложные 8% годовых? Срок, выраженный в годах с точностью до 0,1, на который необходимо положить в банк 12000 руб., чтобы накопить 15000 руб., равен…
</t>
  </si>
  <si>
    <t>I слжн</t>
  </si>
  <si>
    <t>s0</t>
  </si>
  <si>
    <t>Si</t>
  </si>
  <si>
    <t>tn</t>
  </si>
  <si>
    <t xml:space="preserve">I </t>
  </si>
  <si>
    <t xml:space="preserve">i </t>
  </si>
  <si>
    <t xml:space="preserve">I: Задание 41   ТЗ 3-1
S: В банк положен депозит в размере 24500 руб. под 6% годовых по схеме сложных процентов. Величина депозита через три года при начислении процентов 4 раза в году с точностью до 0,01 руб. равна …
</t>
  </si>
  <si>
    <t xml:space="preserve">I: Задание 42   ТЗ 3-2
S: В банк положен депозит в размере 32400 руб. под 5% годовых по схеме сложных процентов. Величина депозита через три года при начислении процентов 6 раз в году с точностью до 0,01 руб. равна …
</t>
  </si>
  <si>
    <t xml:space="preserve">I: Задание 43   ТЗ 3-3
S: В банк положен депозит в размере 42400 руб. под 7% годовых по схеме сложных процентов. Величина депозита через три года при начислении процентов 12 раз в году с точностью до 0,01 руб. равна …
</t>
  </si>
  <si>
    <t xml:space="preserve">I: Задание 44   ТЗ 3-4
S: В банк положен депозит в размере 52000 руб. под 7% годовых. Величина депозита через три года в случае непрерывного начисления процентов с точностью до 0,01 руб. равна …  
</t>
  </si>
  <si>
    <t xml:space="preserve">I: Задание 45   ТЗ 3-5
S: Клиент поместил в банк вклад в сумме 180000 руб. под 7,5% годовых с ежемесячной выплатой процентов. Сумма, выраженная в рублях, получаемая клиентом каждый месяц, равна …
</t>
  </si>
  <si>
    <t xml:space="preserve">I: Задание 46   ТЗ 3-6
S: Средства в размере 125000 руб.  положены на полугодовой депозит под 10,5% годовых с пролонгацией на тех же условиях. Процентные деньги через год с точностью до 0,01 руб. равны … 
</t>
  </si>
  <si>
    <t xml:space="preserve">I: Задание 47   ТЗ 3-7
S: В банк положена сумма 440000 у.е. сроком на 2 года по ставке 8% годовых. Наращенная сумма, выраженная в у.е., при ежеквартальном начислении процентов равна …
</t>
  </si>
  <si>
    <t xml:space="preserve">I: Задание 48   ТЗ 3-8
S: В банк положена сумма 640000 у.е. сроком на 2 года по ставке 11% годовых. Наращенная сумма, выраженная в у.е., при ежемесячном начислении процентов равна …   
</t>
  </si>
  <si>
    <t xml:space="preserve">I: Задание 49   ТЗ 3-9
S: В банк положена сумма 740000 у.е. сроком на 3 года по ставке 10% годовых. Величина полученного процента при ежеквартальном начислении процентов, выраженная в у.е., равна …
</t>
  </si>
  <si>
    <t xml:space="preserve">I: Задание 50   ТЗ 3-10
S: В банк положена сумма 750000 руб. сроком на 6 лет по ставке 9% годовых. Наращенная сумма, выраженная в у.е., при ежеквартальном  начислении процентов равна ...
</t>
  </si>
  <si>
    <t xml:space="preserve">I: Задание 51   ТЗ 3-11
S: В банк положена сумма 940000 у.е. сроком на 2 года по ставке 8% годовых. Величина полученного процента, выраженная в у.е., при ежемесячном начислении процентов равна …
</t>
  </si>
  <si>
    <t xml:space="preserve">I: Задание 52   ТЗ 3-12
S: В банк положена сумма 850000 руб. сроком на 6 лет по ставке 11% годовых. Наращенная сумма, выраженная в у.е., при полугодовом начислении процентов равна …
</t>
  </si>
  <si>
    <t xml:space="preserve">I: Задание 53   ТЗ 3-13
S: В банк положена сумма 950000 руб. сроком на 6 лет по ставке 12% годовых. Наращенная сумма, выраженная в у.е., при ежемесячном начислении процентов равна …
</t>
  </si>
  <si>
    <t xml:space="preserve">I: Задание 54   ТЗ 3-14
S: В банк положена сумма 750000 руб. сроком на 6 лет по ставке 10% годовых. Величина полученного процента, выраженная в руб., при полугодовом начислении процентов равна …
</t>
  </si>
  <si>
    <t xml:space="preserve">I: Задание 55   ТЗ 3-15
S: В банк положена сумма 1500000 руб. сроком на 6 лет по ставке 11% годовых. Величина полученного процента, выраженная в руб., при ежеквартальном начислении процентов равна …
</t>
  </si>
  <si>
    <t xml:space="preserve">I: Задание 56   ТЗ 3-16
S: В банк положена сумма 1400000 руб. сроком на 6 лет по ставке 9% годовых. Величина полученного процента, выраженная в руб., при ежемесячном начислении процентов равна …
</t>
  </si>
  <si>
    <t xml:space="preserve">I: Задание 57   ТЗ 3-17
S: В банк положена сумма 1600000 руб. сроком на 6 лет по ставке 8% годовых. Наращенная сумма, выраженная в руб., при непрерывном начислении процентов равна …
</t>
  </si>
  <si>
    <t xml:space="preserve">I: Задание 58   ТЗ 3-18
S: В банк положена сумма 1550000 руб. сроком на 6 лет по ставке 9% годовых. Величина полученного процента, выраженная в руб., при непрерывном начислении процентов равна …
</t>
  </si>
  <si>
    <t xml:space="preserve">I: Задание 59   ТЗ 3-19
S: Сумма увеличится в 3 раза за 10 лет, если проценты начисляются поквартально. Годовая процентная ставка, выраженная в %, равна…
</t>
  </si>
  <si>
    <t xml:space="preserve">I: Задание 60   ТЗ 3-20
S: Сумма удвоится за 7 лет, если проценты начисляются ежеквартально. Годовая процентная ставка, выраженная в %,  равна…
</t>
  </si>
  <si>
    <t>m</t>
  </si>
  <si>
    <t xml:space="preserve"> I: Задание 2   ТЗ 1-2
S: Ссуда 800000 руб. выдана на квартал по простой ставке процентов 17% годовых. Наращенная сумма, выраженная в рублях, равна …</t>
  </si>
  <si>
    <t xml:space="preserve">I: Задание 3   ТЗ 1-3
S: Ссуда 270000 руб. выдана на три года под простые 19% годовых. При увеличении ставки на 2% наращенная сумма увеличится с точностью до 0,01 в следующее количество раз … </t>
  </si>
  <si>
    <t xml:space="preserve">I: Задание 6   ТЗ 1-6
S: Ссуда 220000 руб. выдана на 3 года под 17% годовых (простые проценты). Наращенная сумма больше ссуды в следующее количество раз … </t>
  </si>
  <si>
    <t xml:space="preserve">I: Задание 7   ТЗ 1-7
S: Вклад на 89000 руб., открытый в банке на 11 месяцев, принес вкладчику   8000 руб. Простой процент годовых (в % с точностью до 0,01) равен ... </t>
  </si>
  <si>
    <t xml:space="preserve">I: Задание 8   ТЗ 1-8
S: Процентный платеж по кредиту 190000 руб. взятому на 8 месяцев под 18% простых годовых, с точностью до 0,01 руб. равен … </t>
  </si>
  <si>
    <t>I: Задание 9   ТЗ 1-9
S: Заемщик должен уплатить 90000 руб. через 75 дней (число дней году К=360). Кредит выдан под 18% годовых (простые проценты). Первоначальная сумма долга с точностью до 0,01 руб. составляет …</t>
  </si>
  <si>
    <t xml:space="preserve">I: Задание 61   ТЗ 4-1
S: В банк положена сумма 450000 руб. сроком на 6 лет по ставке 10% годовых. Эффективная процентная ставка при полугодовом начислении процентов, выраженная в %, равна …
</t>
  </si>
  <si>
    <t xml:space="preserve">I: Задание 72   ТЗ 4-12
S: Номинальная процентная ставка составляет 16% годовых. Эффективная процентная ставка при ежеквартальном начислении процентов, выраженная в % с точностью до 0,01, равна …
</t>
  </si>
  <si>
    <t>i еf</t>
  </si>
  <si>
    <t xml:space="preserve">I: Задание 63   ТЗ 4-3
S: В банк положена сумма 750000 руб. сроком на 6 лет по ставке 9% годовых. Эффективная процентная ставка при ежемесячном начислении процентов, выраженная в % с точностью до 0,01, равна …
</t>
  </si>
  <si>
    <t>I: Задание 73   ТЗ 4-13
S: Ставка по годовому депозиту равна 7%. Ставка годовых процентов, выраженная в % с точностью до 0,01, которую нужно назначить на полугодовой депозит, чтобы последовательное переоформление полугодового депозита привело бы к такому же результату, что и при использовании годового депозита, равна …</t>
  </si>
  <si>
    <t>x</t>
  </si>
  <si>
    <t xml:space="preserve">I: Задание 64   ТЗ 4-4
S: В банк положена сумма 850000 руб. сроком на 6 лет по ставке 7% годовых. Эффективная процентная ставка при непрерывном начислении процентов, выраженная в % с точностью до 0,01, равна … 
</t>
  </si>
  <si>
    <t xml:space="preserve">I: Задание 74   ТЗ 4-14
S: В банк положена сумма 60000 у.е. сроком на 2 года по ставке 12% годовых. Эффективная процентная ставка, выраженная в %, при ежеквартальном начислении процентов равна … 
</t>
  </si>
  <si>
    <t xml:space="preserve">I: Задание 65   ТЗ 4-5
S: Сложная процентная ставка  , эквивалентная непрерывной ставке 9% и выраженная в % с точностью до 0,01% , равна …
</t>
  </si>
  <si>
    <t>I: Задание 75   ТЗ 4-15
S: В банк положена сумма 90000 у.е. сроком на 3 года по ставке 16% годовых. Эффективная процентная ставка, выраженная в % с точностью до 0,01, при ежемесячном начислении процентов равна …</t>
  </si>
  <si>
    <t>I e</t>
  </si>
  <si>
    <t>ic</t>
  </si>
  <si>
    <t xml:space="preserve">I: Задание 66   ТЗ 4-6
S: Сложная процентная ставка  , эквивалентная простой ставке 11% при наращении первоначального капитала в течение 5 лет, выраженная в % с точностью до 0,01, равна …
</t>
  </si>
  <si>
    <t>I: Задание 76   ТЗ 4-16
S: Простая процентная ставка  i_п, эквивалентная сложной ставке 11% для временного интервала в 6 лет при ежеквартальном начислении процентов, выраженная в % с точностью до 0,01, равна …</t>
  </si>
  <si>
    <t>I п</t>
  </si>
  <si>
    <t>I: Задание 67   ТЗ 4-7
S: Простая процентная ставка  , эквивалентная сложной ставке 10% при сроке 1,5 года, выраженная в процентах с точностью до 0,1, равна …</t>
  </si>
  <si>
    <t>I: Задание 77   ТЗ 4-17
S: Простая процентная ставка i_п, эквивалентная сложной ставке в 9% для временного интервала в 9 лет при ежемесячном начислении процентов,  выраженная в % с точностью до 0,01, равна …</t>
  </si>
  <si>
    <t xml:space="preserve">I: Задание 68   ТЗ 4-8
S: Непрерывная процентная ставка  , эквивалентная простой ставке в 12% для временного интервала в 6 лет, выраженная в % с точностью до 0,01, равна …
</t>
  </si>
  <si>
    <t xml:space="preserve">I: Задание 78   ТЗ 4-18
S: Простая процентная ставка  , эквивалентная непрерывной ставке 7% за 5 периодов, выраженная в % с точностью до 0,01, равна …
</t>
  </si>
  <si>
    <t xml:space="preserve">I: Задание 69   ТЗ 4-9
S: Простая процентная ставка  , эквивалентная сложной ставке в 13% для временного интервала в 5 лет при ежемесячном начислении процентов, выраженная в % с точностью до 0,01, равна ... 
</t>
  </si>
  <si>
    <t xml:space="preserve">I: Задание 79   ТЗ 4-19
S: Сложная процентная ставка i_н, эквивалентная непрерывной ставке 8%, выраженная в % с точностью до 0,01, равна …
</t>
  </si>
  <si>
    <t xml:space="preserve">I: Задание 70   ТЗ 4-10
S: Номинальная процентная ставка составляет 12% годовых. Эффективная процентная ставка при ежемесячном начислении процентов, выраженная в % с точностью до 0,01, равна …
</t>
  </si>
  <si>
    <t xml:space="preserve">I: Задание 80   ТЗ 4-20
S: Непрерывную процентную ставку i_н, эквивалентную сложной ставке 7% и выраженная в % с точностью до 0,01, равна …
</t>
  </si>
  <si>
    <t>I с</t>
  </si>
  <si>
    <t>I н</t>
  </si>
  <si>
    <t>I: Задание 71   ТЗ 4-11
S: Номинальная процентная ставка составляет 10% годовых. Эффективная процентная ставка при ежедневном начислении процентов (число дней в году равно 365), выраженная в % с точностью до 0,01, равна …</t>
  </si>
  <si>
    <t xml:space="preserve">I: Задание 81   ТЗ 5-1
S: Вексель стоимостью 200000 руб. учитывается за 3 года до погашения по сложной учетной ставке 12% годовых. Сумма, получаемая векселедержателем, с точностью до 0,01, равна …
</t>
  </si>
  <si>
    <t>I: Задание 91   ТЗ 5-11
S: Вексель куплен за 90 дней до его погашения и продан через 45 дней. В момент покупки рыночная простая учетная ставка составляла 8% годовых, а в момент продажи – 7%. Временная база K = 365дней.  Эффективность данной финансовой операции в виде, выраженной в %, ставки простых процентов с точностью до 0,01% равна …</t>
  </si>
  <si>
    <t>t1</t>
  </si>
  <si>
    <t>d</t>
  </si>
  <si>
    <t>d1</t>
  </si>
  <si>
    <t>t2</t>
  </si>
  <si>
    <t>d2</t>
  </si>
  <si>
    <t xml:space="preserve">I: Задание 82   ТЗ 5-2
S: Вексель стоимостью 150000 руб. учитывается за 4 года до погашения по сложной учетной ставке 14% годовых. Величина дисконта, с точностью до 0,01,  равна …
</t>
  </si>
  <si>
    <t>x1</t>
  </si>
  <si>
    <t>x2</t>
  </si>
  <si>
    <t xml:space="preserve">I: Задание 92   ТЗ 5-12
S: Вексель куплен за 200 дней до его погашения. На момент покупки рыночная сложная учетная ставка составляла 7% годовых. Через 15 дней вексель продали по сложной учетной ставке 6% годовых. Временная база K = 365дней.  Эффективность данной финансовой операции в виде ставки сложных процентов с точностью до 0,01% равна … </t>
  </si>
  <si>
    <t>D</t>
  </si>
  <si>
    <t>I: Задание 83   ТЗ 5-3
S: Клиент имеет вексель на 170000 у.е., который он хочет учесть 10.2.2009 г. в банке по сложной учетной ставке 8%. В году 365 дней. Сумма, полученная клиентом, при  дате погашения 12.08.2009 г. с точностью до 0,01 руб. равна …</t>
  </si>
  <si>
    <t xml:space="preserve">I: Задание 93   ТЗ 5-13
S: Вексель куплен за 90 дней до его погашения и продан через 45 дней. В момент покупки рыночная сложная учетная ставка составляла 8% годовых, а в момент продажи – 7%. Временная база K = 365дней.  Эффективность данной финансовой операции в виде ставки сложных процентов с точностью до 0,01% равна … </t>
  </si>
  <si>
    <t>I: Задание 84   ТЗ 5-4
S: Предприятие получило кредит на один год в размере 7 млн. руб. с условием возврата 8,154 млн. руб. Учетная ставка, выраженная в % точностью до 0,01, равна …</t>
  </si>
  <si>
    <t>I: Задание 85   ТЗ 5-5
S: Банк учитывает вексель по номинальной учетной ставке 12% с ежемесячным начислением процентов. Сложную учетную ставку, при которой доход банка не изменится, выраженная в % точностью до 0,01, равна …</t>
  </si>
  <si>
    <t>I: Задание 94   ТЗ 5-14
S: Вексель стоимостью 850 тыс. руб. учитывается за три года до погашения по сложной процентной ставке 10% годовых. Величина дисконта с точностью до 0,01 руб. равна …</t>
  </si>
  <si>
    <t>d ef</t>
  </si>
  <si>
    <t xml:space="preserve">I: Задание 86   ТЗ 5-6
S: Вексель стоимостью 750 тыс. руб. учитывается за три года до погашения по сложной учетной ставке 10% годовых. Сумма, которую получит векселедержатель, выраженная в рублях  равна … </t>
  </si>
  <si>
    <t xml:space="preserve">I: Задание 95   ТЗ 5-15
S: Клиент имеет вексель на 200000 руб., который он хочет учесть 24.03.2011 г. в банке по сложной процентной ставке 10%. Дата погашения 11.09.2011 г. Число дней в году равно 365. Сумма, которую он получит 24.04.2011 г., с точностью до 0,01 руб. равна … </t>
  </si>
  <si>
    <t xml:space="preserve">S </t>
  </si>
  <si>
    <t xml:space="preserve">I: Задание 87   ТЗ 5-7
S: Вексель стоимостью 650 тыс. руб. учитывается за три года до погашения по сложной учетной ставке 12% годовых. Величина дисконта выраженная в руб.  равна …
</t>
  </si>
  <si>
    <t xml:space="preserve">I: Задание 96   ТЗ 5-16
S: Вексель куплен за 200 дней до его погашения. На момент покупки рыночная простая процентная ставка составляла 8% годовых. Через 5 дней вексель продали по простой процентной ставке 6% годовых. Временная база K = 365 дней.  Эффективность данной финансовой операции, выраженная в %, в виде ставки простых процентов с точностью до 0,01 равна … </t>
  </si>
  <si>
    <t xml:space="preserve">I: Задание 88   ТЗ 5-8
S: Клиент имеет вексель на 200000 руб., который он хочет учесть 24.04.2011 г. в банке по сложной учетной ставке 11%. Дата погашения 12.09.2011 г. Число дней в году равно 365. Сумма, которую он получит 24.04.2011 г., с точностью до 0,01 руб. равна … 
</t>
  </si>
  <si>
    <t>I: Задание 97   ТЗ 5-17
S: Вексель куплен за 90 дней до его погашения и продан через 45 дней. В момент покупки рыночная простая процентная ставка составляла 8% годовых, а в момент продажи – 7%. Временная база K = 365дней.  Эффективность данной финансовой операции в виде ставки простых процентов с точностью до 0,01% равна …</t>
  </si>
  <si>
    <t xml:space="preserve">I: Задание 89   ТЗ 5-9
S: Номинальная учетная ставка равна 12%. При этом проценты начисляются ежеквартально. Эффективная учетная ставка равна, выраженная в % с точностью до 0,01 равна …
S: В банк положена сумма 740000 у.е. сроком на 3 года по ставке 10% годовых. Величина полученного процента при ежеквартальном начислении процентов, выраженная в у.е., равна …
</t>
  </si>
  <si>
    <t>I: Задание 98   ТЗ 5-18
S: Вексель куплен за 200 дней до его погашения. На момент покупки рыночная сложная процентная ставка составляла 7% годовых. Через 5 дней вексель продали по сложной процентной ставке 6% годовых. Временная база K = 365дней.  Эффективность данной финансовой операции, выраженная в %, в виде ставки сложных процентов с точностью до 0,01 равна …</t>
  </si>
  <si>
    <t xml:space="preserve">I: Задание 90   ТЗ 5-10
S: Вексель куплен за 100 дней до его погашения. На момент покупки рыночная простая учетная ставка составляла 8% годовых. Через 5 дней вексель продали по простой учетной ставке 6% годовых. Временная база K = 365дней.  Эффективность данной финансовой операции в виде ставки простых процентов с точностью до 0,01% равна … </t>
  </si>
  <si>
    <t xml:space="preserve">I: Задание 99   ТЗ 5-19
S: Вексель куплен за 90 дней до его погашения и продан через 45 дней. В момент покупки рыночная сложная процентная ставка составляла 8% годовых, а в момент продажи – 7%. Временная база K = 365дней.  Эффективность данной финансовой операции в виде выраженной в % ставки сложных процентов с точностью до 0,01 равна …  </t>
  </si>
  <si>
    <t xml:space="preserve">I: Задание 100   ТЗ 5-20
S: Вексель куплен за 200 дней до его погашения. На момент покупки рыночная простая учетная ставка составляла 7% годовых. Через 5 дней вексель продали по учетной ставке 6% годовых. Временная база K = 365дней. Эффективность данной финансовой операции в виде выраженной в % ставки сложных процентов с точностью до 0,01 равна …  </t>
  </si>
  <si>
    <t xml:space="preserve">I: Задание 101   ТЗ 6-1
S: Номинальная процентная ставка составляет 12% годовых при годовом темпе инфляции 8%. Годовая ставка с учётом инфляции, выраженная в % с точностью до 0,01, равна …
</t>
  </si>
  <si>
    <t xml:space="preserve">I: Задание 111   ТЗ 6-11
S: Темп инфляции   за период  t= t_1+ t_2  равен 0,5. Темп инфляции за первый период в 1,13 раза меньше, чем за второй. Темп инфляции за второй период, выраженный с точностью до 0,001, равен …
</t>
  </si>
  <si>
    <t>a</t>
  </si>
  <si>
    <t>inf</t>
  </si>
  <si>
    <t>f</t>
  </si>
  <si>
    <t>1,13a1^2+2,13a1-0,37=0</t>
  </si>
  <si>
    <t>a1</t>
  </si>
  <si>
    <t>r</t>
  </si>
  <si>
    <t>a2</t>
  </si>
  <si>
    <t>I: Задание 102   ТЗ 6-2
S: Номинальная процентная ставка составляет 12% годовых при годовом темпе инфляции 8%. Эффективная реальная процентная ставка годовая ставка с учётом инфляции при ежемесячном начислении процентов, выраженная в % с точностью до 0,01, равна …</t>
  </si>
  <si>
    <t xml:space="preserve">I: Задание 112   ТЗ 6-12
S: Темп инфляции   за период  t= t_1+ t_2  равен 0,5. Темп инфляции за первый период в 1,17 раза меньше, чем за второй. Темп инфляции за первый период, выраженный с точностью до 0,001, равен …
</t>
  </si>
  <si>
    <t>1,17a1^2+2,17a1-0,33=0</t>
  </si>
  <si>
    <t>I: Задание 103   ТЗ 6-3
S: Номинальная процентная ставка составляет 12% годовых при годовом темпе инфляции 8%. Эффективная реальная процентная ставка годовая ставка с учётом инфляции при ежедневном (число дней в году равно 365) начислении процентов, выраженная в % с точностью до 0,01, равна …</t>
  </si>
  <si>
    <t>I: Задание 113   ТЗ 6-13
S: Прогнозируется среднемесячный темп инфляции 4%. Квартальный темп инфляции, выраженный в процентах с точностью до 0,01, равен …</t>
  </si>
  <si>
    <t>I: Задание 114   ТЗ 6-14
S: Прогнозируется среднемесячный темп инфляции 2%. Полугодовой темп инфляции, выраженный в процентах с точностью до 0,01, равен …</t>
  </si>
  <si>
    <t>I: Задание 104   ТЗ 6-4
S: Номинальная процентная ставка составляет 12% годовых при годовом темпе инфляции 9%. Эффективная реальная процентная ставка годовая ставка с учётом инфляции при ежеквартальном начислении процентов, выраженная в % с точностью до 0,01, равна …</t>
  </si>
  <si>
    <t xml:space="preserve">I: Задание 115   ТЗ 6-15
S: Прогнозируется среднемесячный темп инфляции 2%. Годовой темп инфляции, выраженный в процентах с точностью до 0,01, равен …
</t>
  </si>
  <si>
    <t xml:space="preserve">I: Задание 105   ТЗ 6-5
S: Ставка процентов составляет 10% годовых. Месячный темп инфляции в первом полугодии был постоянен и составил 2%, во втором полугодии — 3%. Реальная наращенная сумма депозита величиной 760000 руб. через год с точностью до 1 руб. будет равна … </t>
  </si>
  <si>
    <t xml:space="preserve">I: Задание 116   ТЗ 6-16
S: Месячный темп инфляции составляет 1,5%. Индекс цен за год с точностью до 0,0001, равен …
</t>
  </si>
  <si>
    <t>in</t>
  </si>
  <si>
    <t xml:space="preserve">I: Задание 117   ТЗ 6-17
S: Месячный темп инфляции составляет 1%. Темп инфляции за год, выраженный в % с точностью до 0,01, равен …
</t>
  </si>
  <si>
    <t>I: Задание 106   ТЗ 6-6
S: Темп инфляции α за период 〖t=t〗_1+ t_2 равен 0,7. Темпы инфляции α_1,α_2   за периоды  t_1,t_2 соответственно, составляют геометрическую прогрессию со знаменателем 0,8. Темп инфляции за первый период (с большей инфляцией) с точностью до 0,001 равен…</t>
  </si>
  <si>
    <t>I: Задание 118   ТЗ 6-18
S: Месячный темп инфляции составляет 3%. На сумму 200000 руб. в течение года начислялась простая процентная ставка 15% годовых процентная ставка 15% годовых. Реальная наращенная сумма с учётом инфляции с точностью до 0,01 руб. равна …</t>
  </si>
  <si>
    <t>a1^2+2,8a1-0,7=0</t>
  </si>
  <si>
    <t>I: Задание 107   ТЗ 6-7
S: Темп инфляции   за период  〖t=t〗_1+ t_2  равен 0,9. Темпы инфляции α_1,α_2 за периоды t_1,t_2 соответственно, составляют арифметическую прогрессию с разностью 0,02. Темп инфляции за второй период (с большей инфляцией) с точностью до 0,0001 равен …</t>
  </si>
  <si>
    <t>I: Задание 119   ТЗ 6-19
S: Темп инфляции α за период t= t_1+ t_2 равен 0,8. Темпы инфляции α_1,〖 α〗_2 за периоды t_1,t_2   соответственно, составляют арифметическую прогрессию с разностью 0,1. Темп инфляции за первый период (с меньшей инфляцией), выраженный в % с точностью до 0,01, равен …</t>
  </si>
  <si>
    <t>a1^2+2,02a1-0,9=0</t>
  </si>
  <si>
    <t xml:space="preserve">I: Задание 108   ТЗ 6-8
S: Темп инфляции   за период  〖t=t〗_1+ t_2  равен 0,9. Темпы инфляции α_1,α_2 за периоды t_1,t_2 соответственно, составляют арифметическую прогрессию с разностью 0,01. Темп инфляции за первый период (с меньшей инфляцией) с точностью до 0,001 равен …
S: В банк положена сумма 640000 у.е. сроком на 2 года по ставке 11% годовых. Наращенная сумма, выраженная в у.е., при ежемесячном начислении процентов равна …   
</t>
  </si>
  <si>
    <t>a1^2+2,01a1-0,8=0</t>
  </si>
  <si>
    <t>a1^2+2,01a1-0,9=0</t>
  </si>
  <si>
    <t>I: Задание 120   ТЗ 6-20
S: Темп инфляции α за период t= t_1+ t_2 равен 0,8. Темпы инфляции α_1,〖 α〗_2 за периоды t_1,t_2   соответственно, составляют арифметическую прогрессию с разностью 0,1. Темп инфляции за второй период (с большей инфляцией), выраженный в % с точностью до 0,01, равен …</t>
  </si>
  <si>
    <t>I: Задание 109   ТЗ 6-9
S: Темп инфляции α за период 〖t=t〗_1+ t_2 равен 0,7. Темпы инфляции α_1,α_2   за периоды  t_1,t_2 соответственно, составляют геометрическую прогрессию со знаменателем 0,8. Темп инфляции за второй период (с меньшей инфляцией) с точностью до 0,001 равен …</t>
  </si>
  <si>
    <t>a1^2+2,1a1-0,8=0</t>
  </si>
  <si>
    <t xml:space="preserve">I: Задание 110   ТЗ 6-10
S: Темп инфляции   за период   равен 0,45. Темп инфляции за второй период на 65% выше, чем за первый. Темп инфляции за первый период, выраженный в % с точностью до 0,01, равен …
</t>
  </si>
  <si>
    <t>a1^2+2,65a1-0,45=0</t>
  </si>
  <si>
    <t xml:space="preserve">I: Задание 121   ТЗ 7-1
S: Для потока платежей CF= {(0,-3500),   (1;3000),   (2;3500)} внутренняя норма доходности, выраженная в % с точностью до 0,1, равна …
</t>
  </si>
  <si>
    <t xml:space="preserve">I: Задание 131   ТЗ 7-11
S: Пусть CF= {(0;-2500),   (2;2000),   (4;3000)}  — поток платежей и процентная ставка составляет 15%. Приведенная стоимость этого потока с точностью до 0,01 равна …
</t>
  </si>
  <si>
    <t>x = (1+i)^-1</t>
  </si>
  <si>
    <t>A</t>
  </si>
  <si>
    <t xml:space="preserve">I: Задание 122   ТЗ 7-2
S: Для потока платежей   CF= {(0;-600),   (1;400),   (2;300)} внутренняя норма доходности, выраженная в % с точностью до 0,01, равна …
</t>
  </si>
  <si>
    <t xml:space="preserve">I: Задание 132   ТЗ 7-12
S: Пусть CF= {(0;-2000),   (2;2000),   (4;3000)}  — поток платежей и процентная ставка составляет 12%. Наращенная величина этого потока с точностью до 0,01 равна …
</t>
  </si>
  <si>
    <t xml:space="preserve">I: Задание 123   ТЗ 7-3
S: Для потока платежей 〖CF〗_1= {(0;600),   (1;300),   (2;500),   (3;100)} средний срок с точностью до 0,01 равен …
</t>
  </si>
  <si>
    <t xml:space="preserve">I: Задание 133   ТЗ 7-13
S: Пусть CF= {(0;-2000),   (2;2000),   (4;3000)}  — поток платежей и процентная ставка составляет 11%. Дюрация этого потока с точностью до 0,01 равна …
</t>
  </si>
  <si>
    <t xml:space="preserve">I: Задание 124   ТЗ 7-5
S: Для потока платежей 〖CF〗_2= {(0;600),   (1;250),   (2;550),   (3;150)} средний срок с точностью до 0,01 равен …
</t>
  </si>
  <si>
    <t xml:space="preserve">I: Задание 134   ТЗ 7-14
S: Приведённая к моменту времени t=2 величина потока  CF= {(0;600),   (1;200),   (2;300),   (3;600)}   при ставке 9% с точностью до 0,1 равна …
</t>
  </si>
  <si>
    <t>PV2</t>
  </si>
  <si>
    <t xml:space="preserve">I: Задание 125   ТЗ 7-5
S: Для потока платежей  〖CF〗_1= {(1;200),   (2;300),   (3;200)}   приведённая величина при сложной процентной ставке 10% с точностью до 0,01 равна …  
</t>
  </si>
  <si>
    <t xml:space="preserve">I: Задание 135   ТЗ 7-15
S: Приведённая к моменту времени t=2 величина потока    CF= {(0;600),   (1;300),   (2;400),   (3;600)}  при ставке 10% с точностью до 0,01 равна …
</t>
  </si>
  <si>
    <t xml:space="preserve">I: Задание 126   ТЗ 7-6
S: Для потока платежей  〖CF〗_2= {(1;300),   (2;300),   (3;100)}   приведённая величина при сложной процентной ставке 12% с точностью до 0,01 равна …
</t>
  </si>
  <si>
    <t xml:space="preserve">I: Задание 136   ТЗ 7-16
S: Средний срок потока   CF= {(0;1000),   (1;2000),   (2;4000),   (3;1000)} равен...
</t>
  </si>
  <si>
    <t xml:space="preserve">I: Задание 127   ТЗ 7-7
S: Будущая величина потока платежей  〖CF〗_1= {(1;200),   (2;300),   (3;400)}   при сложной процентной ставке 11% равна …
</t>
  </si>
  <si>
    <t xml:space="preserve">I: Задание 137   ТЗ 7-17
S: Дюрация потока   CF= {(0;1000),   (1;2000),   (2;4000),   (3;1000)} при ставке 0,1 с точностью до 0,01 равна...
</t>
  </si>
  <si>
    <t xml:space="preserve">I: Задание 128   ТЗ 7-8
S: Будущая величина потока платежей  〖CF〗_2= {(1;200),   (2;300),   (3;100)}   при сложной процентной ставке 12% с точностью до 0,01 равна … 
</t>
  </si>
  <si>
    <t xml:space="preserve">I: Задание 138   ТЗ 7-18
S: Дюрация потока платежей CF= {(0;600),   (1;300),   (2;400),   (3;600)}
при ставке 8% с точностью до 0,01 равна ...
</t>
  </si>
  <si>
    <t xml:space="preserve">I: Задание 129   ТЗ 7-9
S: Дюрация потока платежей  〖CF〗_2= {(1;200),   (2;300),   (3;100)}   при сложной процентной ставке 12% с точностью до 0,01 равна …
</t>
  </si>
  <si>
    <t xml:space="preserve">I: Задание 139   ТЗ 7-19
S: Для потока платежей 〖CF〗_2= {(0;6000),   (1;2500),   (2;350),   (3;500)} дюрация при ставке 10% с точностью до 0,01 равна …
</t>
  </si>
  <si>
    <t xml:space="preserve">I: Задание 130   ТЗ 7-10
S: Дюрация потока платежей  〖CF〗_1= {(1;200),   (2;300),   (3;200)}   при сложной процентной ставке 11% с точностью до 0,01 равна …
</t>
  </si>
  <si>
    <t xml:space="preserve">I: Задание 140   ТЗ 7-20
S: Приведите поток  CF= {(0;600),   (1;250),   (2;350),   (3;600)}
к моменту времени  t=3 при ставке 9%.
</t>
  </si>
  <si>
    <t>I: Задание 141   ТЗ 8-1
S: Резервный фонд создается в течение 18 лет. На поступающие в него средства начисляются сложные проценты по ставке 5% годовых. В течение первых 6 лет в конце каждого года в фонд вносили по 18000 у.е., в течение последующих 4 лет — по 20000 у.е. в конце года, а в последние 8 лет — по 22000 у.е. в конце года. Сумма фонда через 18 лет, выраженная в у.е. с точностью до 0,01, равна …</t>
  </si>
  <si>
    <t>I: Задание 151   ТЗ 8-11
S: На счет в банке помещено 160000 руб. За первые 5 лет и 7 месяцев процентная ставка равнялась 10%, а в следующие 7 лет и 3 месяца — 8%. Наращенная величина вклада через 12 лет 10 месяцев при полугодовой капитализации с точностью до 0,01 руб. равна …</t>
  </si>
  <si>
    <t>S1</t>
  </si>
  <si>
    <t>S2</t>
  </si>
  <si>
    <t>S3</t>
  </si>
  <si>
    <t>t3</t>
  </si>
  <si>
    <t>I: Задание 142   ТЗ 8-2
S: Наименьшее число лет ренты постнумерандо с годовым платежом 60000 руб., при котором ее наращенная величина превзойдёт величину 900000 руб. при процентной ставке 10% годовых равно …</t>
  </si>
  <si>
    <t>I: Задание 152   ТЗ 8-12
S: На счет в банке помещено 350000 руб. под 11% годовых, а через 5 лет сняли 200000 руб. Наращенная величина вклада через 12 лет при полугодовой капитализации с точностью до 0,01 руб. равна …</t>
  </si>
  <si>
    <t>Sn</t>
  </si>
  <si>
    <t>60000*((1,1^n-1)/0,1)&gt;900000</t>
  </si>
  <si>
    <t>1,1^n - 1 &gt; 15 * 0,1</t>
  </si>
  <si>
    <t>1,1^n &gt; 2,5</t>
  </si>
  <si>
    <t>I: Задание 143   ТЗ 8-3
S: Срок (выраженный в годах с точностью до 0,01) обыкновенной ренты постнумерандо при известных значениях наращенной суммы  S=20000, процентной ставки i=12% и ежегодного рентного платежа R=1000 равен …</t>
  </si>
  <si>
    <t>I: Задание 153   ТЗ 8-13
S: Контракт предусматривает следующий порядок начисления процентов: первый год — 10%, в каждом последующем полугодии ставка сложных процентов повышается на 1%. Множитель наращения за 2,5 года с точностью до 0,00001 равен …</t>
  </si>
  <si>
    <t>+</t>
  </si>
  <si>
    <t>R</t>
  </si>
  <si>
    <t>20000 = 1000 * ((1+0,12)^n -1)/0,12</t>
  </si>
  <si>
    <t>mn</t>
  </si>
  <si>
    <t xml:space="preserve">I: Задание 144   ТЗ 8-4
S: Рентный платеж   ренты постнумерандо, если известны приведенная величина A=50000, процентная ставка i=9% и срок  n=10 с точностью до 0,1 равен …
</t>
  </si>
  <si>
    <t>I: Задание 154   ТЗ 8-14
S: Банк объявил следующие условия выдачи ссуды на один год: за первый квартал ссудный процент годовых 30%; за второй квартал — 35%; за третий — 37%; за четвертый квартал — 40%. Сумма (в руб.) к возврату в банк, если ссуда составляет 300000 руб., равна …</t>
  </si>
  <si>
    <t xml:space="preserve">I: Задание 145   ТЗ 8-5
S: Формируется фонд на основе ежегодных отчислений в сумме 10000 у.е. с начислением на них сложных процентов по ставке 12%.  Величина фонда через 10 лет с точностью до 0,01 у.е. равна…
</t>
  </si>
  <si>
    <t>I: Задание 155   ТЗ 8-15
S: Банк учитывает вексель по номинальной учетной ставке 12% с ежемесячным начислением процентов. Сложная учетная ставка, при которой доход банка не изменился, выраженная в % с точностью до 0,01,  равна …</t>
  </si>
  <si>
    <t xml:space="preserve">I: Задание 146   ТЗ 8-6
S: Размер вклада, обеспечивающего получение в конце каждого года 20000 руб. бесконечно долго при сложной ставке 12% годовых с точностью до 0,01 руб. равен …
</t>
  </si>
  <si>
    <t>I: Задание 156   ТЗ 8-16
S: На счет в банке кладется сумма в размере 120000 руб. под 11% годовых по схеме простых процентов. Вклад изымается через 4 года и кладется на новый счет на 2 года по той же схеме под 6%. Размер вклада, выраженный в рублях через 6 лет равен …</t>
  </si>
  <si>
    <t xml:space="preserve">I: Задание 147   ТЗ 8-7
S: Размер вклада, который обеспечивает ежегодное (в конце года) получение денежной суммы в размере 20000 у.е. в течение 19 лет при процентной ставке  10% с точностью до 0,1 равен …
</t>
  </si>
  <si>
    <t>I: Задание 157   ТЗ 8-17
S: Заменить ренту с параметрами R_1=3000;  n=5;  i=10%, рентой с параметрами  R_2=2000;  i=10%. Срок заменяющей ренты с точностью до 0,1 года равен…</t>
  </si>
  <si>
    <t>n2</t>
  </si>
  <si>
    <t xml:space="preserve">I: Задание 148   ТЗ 8-8
S: Приведенная стоимость бессрочной (вечной) ренты при уменьшении процентной ставки на 4% увеличится с точностью до 0,0001 в следующее число раз …
</t>
  </si>
  <si>
    <t xml:space="preserve">I: Задание 158   ТЗ 8-18
S: Замените годовую ренту параметрами R_1=20000; n_1=2;i =10%, на p-срочную (месячную) ренту c параметрами n_2=4;  i=10%. Рентный платёж за год заменяющей ренты с точностью до 0,1 равен…
</t>
  </si>
  <si>
    <t>R2</t>
  </si>
  <si>
    <t>I: Задание 149   ТЗ 8-9
S: Фонд создается в течение 12 лет с ежегодными взносами 100000 у.е. в конце года. На поступившие средства начисляется 4% годовых, если сумма не превышает 250000 у.е. и 4,5% годовых, если сумма превышает 250000 у.е. Величина фонда через 12 лет с точностью до 0,01 будет равна …</t>
  </si>
  <si>
    <t>I: Задание 159   ТЗ 8-19
S: Замените две ренты постнумерандо с параметрами R_1=20000;  n_1=4; i_1=10%  и R_2=25000;  n_2=6; i_2=12% разовым платежом в момент времени   n=7 и процентной ставкой  i=15%. Этот платёж заменяющей ренты с точностью до 0,01 равен …</t>
  </si>
  <si>
    <t xml:space="preserve">I: Задание 150   ТЗ 8-10
S: Сумма, которую нужно вносить ежегодно на счет в банке под 6% годовых, чтобы через 10 лет накопить 900000 у.е. с точностью до 0,01 у.е. равна …
</t>
  </si>
  <si>
    <t>I: Задание 160   ТЗ 8-20
S: Консолидируйте три ренты постнумерандо с параметрами 
R_1=10000;  n_1=3;  i_1=10% ; R_2=15000;  n_2=5;  i_2=10%; R_3=20000;  n_3=7;  i_3=10%;  4-летней рентой постнумерандо с  i=15%. Рентный платёж заменяющей ренты с точностью до 0,01 равен …</t>
  </si>
  <si>
    <t>I: Задание 161   ТЗ 9-1
S: Семья планирует через 5 лет купить квартиру за 2500000 руб. и с этой целью ежемесячно на банковский депозит вносится определенная сумма. Годовая банковская ставка составляет 10% с ежемесячным начислением процентов. Ежемесячно вносимая сумма с точностью до 0,01 руб. равна …</t>
  </si>
  <si>
    <t>I: Задание 171   ТЗ 9-11
S: Фонд создается в течение 5 лет. За год в фонд поступают 75000 руб., на них начисляется 12% годовых. При взносах в конце каждого месяца величина фонда с точностью до 0,01 руб. составит …</t>
  </si>
  <si>
    <t>p</t>
  </si>
  <si>
    <t>Vsn</t>
  </si>
  <si>
    <t>I: Задание 162   ТЗ 9-2
S: Мужчина 40 лет положил в банк определённую сумму денег, чтобы по достижении им пенсионного возраста 60 лет в течение 15 лет в начале каждого месяца снимать по 10000 рублей. Годовой процент 11% капитализируется в конце года. Указанная ежемесячная сумма с точностью до 0,01 равна …</t>
  </si>
  <si>
    <t>I: Задание 172   ТЗ 9-12
S: Фонд создается в течение 5 лет. За год в фонд поступают 75000 руб., на них начисляется 12% годовых. При ежедневной капитализации процентов при числе дней в году 365 величина фонда с точностью до 0,01 руб. составит …</t>
  </si>
  <si>
    <t>I: Задание 163   ТЗ 9-3
S: Мужчина 45 лет положил в банк определённую сумму денег, чтобы по достижении им пенсионного возраста 60 лет в течение 15 лет в начале каждого месяца снимать по 10000 рублей. Годовой процент 12% капитализируется в конце каждого полугодия. Эта сумма с точностью до 0,01 руб. равна …</t>
  </si>
  <si>
    <t>I: Задание 173   ТЗ 9-13
S: Для создания премиального фонда один раз в год производятся взносы в размере 45000 руб. На вносимые средства начисляются проценты под 12% годовых. Средства поступают в конце в конце года при ежеквартальном начислении процентов. Размер фонда через 6 лет с точностью до 0,01 руб. составит …</t>
  </si>
  <si>
    <t>I: Задание 164   ТЗ 9-4
S: Мужчина 40 лет положил в банк определённую сумму денег, чтобы по достижении им пенсионного возраста 60 лет в течение 15 лет в начале каждого месяца снимать по 10000 рублей. Годовой процент 12% в конце каждого квартала. Эта сумма с точностью до 0,01 руб. равна …</t>
  </si>
  <si>
    <t>I: Задание 174   ТЗ 9-14
S: Для создания премиального фонда один раз в год производятся взносы в размере 55000 руб. На вносимые средства начисляются проценты под 12% годовых. Средства поступают в конце каждого месяца при ежеквартальном начислении процентов. Размер фонда через 7 лет с точностью до 0,01 руб. составит …</t>
  </si>
  <si>
    <t>I: Задание 165   ТЗ 9-5
S: Мужчина 45 лет положил в банк определённую сумму денег, чтобы по достижении им пенсионного возраста 60 лет в течение 15 лет в начале каждого месяца снимать по 10000 рублей. Годовой процент 12% капитализируется в конце каждого месяца. Указанная ежемесячная сумма с точностью до 0,01 руб. равна …</t>
  </si>
  <si>
    <t>I: Задание 175   ТЗ 9-15
S: Для создания премиального фонда один раз в год производятся взносы в размере 75000 руб. На вносимые средства начисляются проценты под 12% годовых. Средства поступают в конце в конце каждого квартала при начислении процентов 6 раз в год. Размер фонда через 7 лет с точностью до 0,01 руб. составит …</t>
  </si>
  <si>
    <t>I: Задание 166   ТЗ 9-6
S: Фонд создается в течение 7 лет, взносы в размере 20000 у. е. поступают в конце каждого полугодия. На поступившие средства в конце года начисляется 12% годовых.  Накопленная к концу седьмого года сумма с точностью до 0,01 руб. равна …</t>
  </si>
  <si>
    <t>I: Задание 176   ТЗ 9-16
S: Семья планирует через 5 лет купить машину за 50000 у.е. С этой целью в конце каждого месяца на банковский депозит вносится определенная сумма в у.е. Годовая банковская ставка составляет 12% с ежемесячным начислением процентов. Этот ежемесячный платеж с точностью до 0,01 руб. равен ...</t>
  </si>
  <si>
    <t>I: Задание 167   ТЗ 9-7
S: Фонд создается в течение 7 лет, годовые взносы в размере 150000 у.е. поступают в конце каждого полугодия равными суммами. На поступившие средства в конце года начисляется 12% годовых.  Накопленная к концу седьмого года при непрерывной капитализации процентов сумма с точностью до 0,01 руб. равна  …</t>
  </si>
  <si>
    <t xml:space="preserve">I: Задание 177   ТЗ 9-17
S: В конце каждого квартала на счет в банке под 6,5% годовых вносится определённая сумма с целью через 10 лет накопить 90000 у.е. Сумма, вносимая за год, с точностью до 0,1 у.е. равна …
</t>
  </si>
  <si>
    <t>I: Задание 168   ТЗ 9-8
S: Фонд создается в течение 8 лет. Средства поступают в фонд в конце года равными суммами. На собранные средства в конце года начисляется 10% годовых. Наращенная сумма фонда при переходе к взносам в конце каждого квартала возрастет с точностью до 0,01 на следующее число процентов …</t>
  </si>
  <si>
    <t xml:space="preserve">I: Задание 178   ТЗ 9-18
S: В конце каждого месяца на счет в банке под 7,5% годовых вносится определённая сумма с целью через 10 лет накопить 100000 у.е. Сумма, вносимая за год, с точностью до 0,01 у.е. равна …
</t>
  </si>
  <si>
    <t>%</t>
  </si>
  <si>
    <t>I: Задание 169   ТЗ 9-9
S: Фонд создается в течение 9 лет. Средства поступают в фонд в конце года равными суммами. На собранные средства в конце года начисляется 12% годовых. Наращенная сумма фонда при переходе к ежемесячному начислению процентов возрастет с точностью до 0,01 на следующее число процентов …</t>
  </si>
  <si>
    <t>I: Задание 179   ТЗ 9-19
S: В конце каждого квартала на счет вносится 10000 у.е. и на данные средства начисляются проценты в конце каждого полугодия по ставке 8% годовых. Число лет, за которые можно накопить не менее 150000 у.е. с точностью до 0,5  равно …</t>
  </si>
  <si>
    <t>I: Задание 170   ТЗ 9-10
S: Женщина 55 лет положила в банк некоторую сумму денег для того, чтобы в течение 18 лет в конце каждого года снимать по 10000 у.е. На остаток вклада меньшего 35000 у.е. начисляется 3% годовых, а на остаток вклада большего 35000 у.е. — 4% годовых. Вложенная сумма с точностью до 0,01 у.е. равна …</t>
  </si>
  <si>
    <t>I: Задание 180   ТЗ 9-20
S: В конце каждого квартала на счет вносится некоторая сумма денег и на данные средства начисляются проценты в конце каждого полугодия по ставке 7% годовых.  Годовые выплаты в у.е., обеспечивающие накопление 150000 у.е. 3а 5 лет равны …</t>
  </si>
  <si>
    <t>n1</t>
  </si>
  <si>
    <t>I: Задание 181   ТЗ 10-1
S: Номинальная цена 11-ти процентной облигации 1000 руб.  Текущая стоимость облигации за два года до погашения при процентной ставке 8% с точностью до 0,01 руб. равна …</t>
  </si>
  <si>
    <t>I: Задание 191   ТЗ 10-11
S: Рыночная цена облигации составляет 5000 у.е., номинальная стоимость равна 3000 у.е., срок до погашения 5 лет, купонные платежи – 800 у.е., процентная ставка равна 10%. Текущая стоимость облигации с точностью до 0,01 у.е. равна …</t>
  </si>
  <si>
    <t>c</t>
  </si>
  <si>
    <t>N</t>
  </si>
  <si>
    <t>V</t>
  </si>
  <si>
    <t>P</t>
  </si>
  <si>
    <t>I: Задание 182   ТЗ 10-2
S: Номинальная цена 10-ти процентной облигации 1000 руб.  Текущая стоимость облигации за два года до погашения при процентной ставке 12% с точностью до 0,01 руб. равна …</t>
  </si>
  <si>
    <t xml:space="preserve">I: Задание 192   ТЗ 10-12
S: Облигация со сроком погашения 5 лет и купонной ставкой 11% продаётся по номинальной стоимости. Дюрация облигации, выраженная в годах с точностью до 0,01, равна … </t>
  </si>
  <si>
    <t xml:space="preserve">I: Задание 183   ТЗ 10-3
S: Номинальная цена 10-ти процентной облигации 1000 руб.  Текущая стоимость облигации (в руб.) за два года до погашения при процентной ставке 10% равна …
</t>
  </si>
  <si>
    <t xml:space="preserve">I: Задание 193   ТЗ 10-13
S: Облигация со сроком погашения 5 лет и купонной ставкой 10% имеет доходность к погашению 8%. Дюрация облигации, выраженная в годах с точностью до 0,01, равна … 
</t>
  </si>
  <si>
    <t xml:space="preserve">I: Задание 184   ТЗ 10-4
S: Годовая процентная ставка составляет 10%.  Текущая стоимость облигации номинальной стоимостью 2000 руб., сроком погашения 5 лет и ежегодными выплатами  по купонной ставке 15% с точностью до 0,01 руб. равна …
</t>
  </si>
  <si>
    <t xml:space="preserve">I: Задание 194   ТЗ 10-14
S: Дюрация облигации равна 10. При увеличении доходности к погашению с 12% до 13% цена облигации изменилась с точностью до 0,01 на следующее число процентов …
</t>
  </si>
  <si>
    <t>dp</t>
  </si>
  <si>
    <t>I: Задание 185   ТЗ 10-5
S: Годовая процентная ставка составляет 9%.  Текущая стоимость облигации номинальной стоимостью 3500 руб., сроком погашения 5 лет и ежегодными выплатами  по купонной ставке 12% с точностью до 0,1 руб. равна …</t>
  </si>
  <si>
    <t xml:space="preserve">I: Задание 195   ТЗ 10-15
S: Дюрация облигации составляет 5 лет. Относительное процентное изменение цены облигации при увеличении доходности с 7% до 9% с точностью до 0,01% равно …
</t>
  </si>
  <si>
    <t>I: Задание 186   ТЗ 10-6
S: Годовая процентная ставка составляет 12%.  Текущая стоимость облигации (в руб.) номинальной стоимостью 2500 руб., сроком погашения 5 лет и ежегодными выплатами  по купонной ставке 12% равна …</t>
  </si>
  <si>
    <t xml:space="preserve">I: Задание 196   ТЗ 10-16
S: Облигации со сроком погашения 5 лет, купонной ставкой 10% и номиналом 1000 у.е. продаётся по цене 900 у.е. Доходность к погашению облигации, выраженная в % с точностью до 0,01, равна …
</t>
  </si>
  <si>
    <t>I: Задание 187   ТЗ 10-7
S: Годовая процентная ставка составляет 13%.  Текущая стоимость облигации (в руб.) номинальной стоимостью 3000 руб., сроком погашения 5 лет и ежегодными выплатами  по купонной ставке 12% с точностью до 0,01 равна …</t>
  </si>
  <si>
    <t xml:space="preserve">I: Задание 197   ТЗ 10-17
S: Облигации со сроком погашения 6 лет, купонной ставкой 10% и номиналом 1100 у.е. продаётся по цене 1000 у.е. Доходность к погашению облигации с точностью до 0,01%, равна …
</t>
  </si>
  <si>
    <t xml:space="preserve">I: Задание 188   ТЗ 10-8
S: Доходность к погашению облигации со сроком обращения 8 лет, номинальной стоимостью 2000 и купонной ставкой 9% при розничной цене на 10% больше номинальной, выраженная в % с точностью до 0,01, равна …
</t>
  </si>
  <si>
    <t xml:space="preserve">I: Задание 198   ТЗ 10-18
S: Облигации продаётся за 2500 у.е. при доходности к погашению 6%. Дюрация облигации составляет 8 лет. Новая цена облигации при увеличении доходности до 7% с точностью до 0,01 года, равна …
</t>
  </si>
  <si>
    <t xml:space="preserve">I: Задание 189   ТЗ 10-19
S: Доходность к погашению облигации со сроком обращения 8 лет, номинальной стоимостью 2000 и купонной ставкой 9% при розничной цене на 5% меньше номинальной, выраженная в % с точностью до 0,01, равна …
</t>
  </si>
  <si>
    <t xml:space="preserve">I: Задание 199   ТЗ 10-19
S: Дюрация облигации равна 8 лет. При увеличении доходности облигации с 10 до 11 процентное уменьшение цены облигации равно…
</t>
  </si>
  <si>
    <t>I: Задание 190   ТЗ 10-10
S: Доходность к погашению облигации со сроком обращения 5 лет и номинальной стоимостью N = 1000 у.е., купонные выплаты по которой составляют 50 у.е. ежегодно, если облигация продаётся по 950 у.е., выраженная в % с точностью до 0,01, равна …</t>
  </si>
  <si>
    <t xml:space="preserve">I: Задание 200   ТЗ 10-20
S: Облигация продаётся за 2000 руб. при доходности 8%. Дюрация облигации равна 5 лет. При увеличении доходности до 9% новая цена облигации (в руб.) должна быть равна…
</t>
  </si>
  <si>
    <t xml:space="preserve">I: Задание 221   ТЗ 12-1
S: Для портфеля из трех независимых бумаг с доходностью и риском соответственно (0,1; 0,4), (0,2; 0,6) и (0,6; 0,8). Доходность портфеля минимального риска равна…
</t>
  </si>
  <si>
    <t xml:space="preserve">I: Задание 231   ТЗ 12-11
S: Портфель состоит из трех активов A, B и C, ценовые доли которых образуют арифметическую прогрессию, причем ценовая доля актива A равна 0,05. Ценовая доля актива В равна…
</t>
  </si>
  <si>
    <t>x3</t>
  </si>
  <si>
    <t>2t</t>
  </si>
  <si>
    <t>x1+x2+x3 = 1</t>
  </si>
  <si>
    <t>u</t>
  </si>
  <si>
    <t>B</t>
  </si>
  <si>
    <t xml:space="preserve">I: Задание 222   ТЗ 12-2
S: Для портфеля из двух бумаг с доходностью и риском соответственно (0,2; 0,5) и (0,4; 0,7) в случае полной антикорреляции доходность портфеля  нулевого риска равна…
</t>
  </si>
  <si>
    <t>I: Задание 232   ТЗ 12-12
S: Портфель состоит из двух ценных бумаг A и B, ожидаемая доходность и риск которых, выраженные в процентах, равны A(14;27), B(37;46). Коэффициент корреляции бумаг равен -1, а его доходность равна 20%. Риск портфеля равен…</t>
  </si>
  <si>
    <t>x1+x2 =1</t>
  </si>
  <si>
    <t>14x1+37x2 = 20</t>
  </si>
  <si>
    <t>23x2 = 8</t>
  </si>
  <si>
    <t>I: Задание 223   ТЗ 12-3
S: Портфель состоит из двух бумаг A и B. Ожидаемые доходности равны 0,35 и 0,75, а риски 0,2 и 0,6. Коэффициент корреляции равен 1/2. Риск портфеля равен 0,55. Доходность портфеля равна…</t>
  </si>
  <si>
    <t xml:space="preserve">I: Задание 233   ТЗ 12-13
S: Портфель состоит из трех активов A, B и C. Ценовая доля актива B равна 0,26, а ценовая доля актива A на 1,56% больше ценовой доли актива C. Ценовая доля актива A равна…
</t>
  </si>
  <si>
    <t>x1^2(r1^2-2*p*r1*r2+r2^2)+2r2(p*r1-r2)*x1+(r2^2-r^2)=0</t>
  </si>
  <si>
    <t>1,56t</t>
  </si>
  <si>
    <t>x1+x2=1</t>
  </si>
  <si>
    <t xml:space="preserve">I: Задание 224   ТЗ 12-4
S: Портфель состоит из двух ценных бумаг A и B, ожидаемые доходности которых равны 12% и 26%, а ценовые доли относятся как 2:3. Доходность портфеля (в %) равна...
</t>
  </si>
  <si>
    <t xml:space="preserve">I: Задание 234   ТЗ 12-14
S: Портфель состоит из трех активов A, B и C. Ценовая доля актива A равна 0,4, а ценовая доля актива B в 1,46 раза больше ценовой доли актива C. Ценовая доля актива C с точностью до 0,0001 равна...
</t>
  </si>
  <si>
    <t>u1</t>
  </si>
  <si>
    <t>u2</t>
  </si>
  <si>
    <t>3t</t>
  </si>
  <si>
    <t>1,46t</t>
  </si>
  <si>
    <t>x1+x2 = 1</t>
  </si>
  <si>
    <t>2t+3t=0</t>
  </si>
  <si>
    <t>X3</t>
  </si>
  <si>
    <t>I: Задание 225   ТЗ 12-5
S: Портфель состоит из двух ценных бумаг A и B, ожидаемая доходность и риск которых, выраженные в процентах, равны A(7;12) и B(12;24). Коэффициент корреляции бумаг равен 0,35. Доходность портфеля минимального риска равна…</t>
  </si>
  <si>
    <t xml:space="preserve">I: Задание 235   ТЗ 12-15
S: Портфель состоит из двух ценных бумаг A и B, ожидаемая доходность и риск которых, выраженные в процентах, равны A(12;18), B(20;46). Коэффициент корреляции бумаг равен -1. Доходность портфеля минимального риска равна…
</t>
  </si>
  <si>
    <t>I: Задание 226   ТЗ 12-6
S: Портфель состоит из двух активов, ожидаемая доходность и риск (в процентах) которых равны A(18;6) и B(10;5). Коэффициент корреляции активов A и B равен -0,5. Риск портфеля минимального риска равен…</t>
  </si>
  <si>
    <t xml:space="preserve">I: Задание 236   ТЗ 12-16
S: Портфель состоит из трех активов A, B и C, взятых в равных ценовых долях. Ожидаемые доходности активов равны  ,  , . Ожидаемая доходность портфеля равна...
</t>
  </si>
  <si>
    <t>u3</t>
  </si>
  <si>
    <t>I: Задание 227   ТЗ 12-7
S: Портфель состоит из десяти активов, ценовые доли которых образуют арифметическую прогрессию, причем доля шестого актива равна 0,11. Найти ценовую долю десятого актива портфеля…</t>
  </si>
  <si>
    <t>I: Задание 237   ТЗ 12-17
S: Портфель состоит из двух ценных бумаг A и B, ожидаемые доходности которых равны 17% и 27%, а ценовая доля бумаги A в четыре раза меньше ценовой доли бумаги B. Коэффициент корреляции бумаг равен -1. Найти портфель и его доходность.</t>
  </si>
  <si>
    <t>x6</t>
  </si>
  <si>
    <t>4t</t>
  </si>
  <si>
    <t>x10</t>
  </si>
  <si>
    <t>I: Задание 228   ТЗ 12-8
S: Портфель состоит из двух ценных бумаг A и B, ожидаемая доходность и риск которых, выраженные в процентах, раны A(12;14) и B(18;15). Коэффициент корреляции бумаг равен -0,5. Ожидаемая доходность портфеля равна 14,2. Риск портфеля равен...</t>
  </si>
  <si>
    <t xml:space="preserve">I: Задание 238   ТЗ 12-18
S: Портфель состоит из акций четырех видов, данные о которых приведены в таблице Доходность портфеля равна...
</t>
  </si>
  <si>
    <t>C</t>
  </si>
  <si>
    <t>Количество</t>
  </si>
  <si>
    <t>Начальная цена</t>
  </si>
  <si>
    <t>12x1+18x2 = 14,2</t>
  </si>
  <si>
    <t>6x2 = 2,2</t>
  </si>
  <si>
    <t>Конечная цена</t>
  </si>
  <si>
    <t>px0</t>
  </si>
  <si>
    <t>px1</t>
  </si>
  <si>
    <t>I: Задание 229   ТЗ 12-9
S: Портфель состоит из трех активов A, B и C, ценовые доли которых образуют геометрическую прогрессию, причем ценовая доля актива   равна 1/7. Ценовая доля актива А равна…</t>
  </si>
  <si>
    <t>I: Задание 239   ТЗ 12-19
S: Портфель состоит из двух ценных бумаг A и B, ожидаемые доходности которых равны 32% и 28%, а ценовая доля бумаги A на 24% меньше ценовой доли бумаги B. Коэффициент корреляции бумаг равен -1. Доходность портфеля (в%) равна…</t>
  </si>
  <si>
    <t>t - 24/100t</t>
  </si>
  <si>
    <t>t^2</t>
  </si>
  <si>
    <t>t^2+t - 0,86 = 0</t>
  </si>
  <si>
    <t>t =</t>
  </si>
  <si>
    <t>I: Задание 230   ТЗ 12-10
S: Доходности двух независимых бумаг, составляющих портфель минимального риска равны 11% и 18%.  Риски бумаг (первой ко второй) относятся как 1:2,4. Риск портфеля равен 10%. Ценовая доля первой бумаги равна…</t>
  </si>
  <si>
    <t>I: Задание 240   ТЗ 12-20
S: Портфель минимального риска из двух независимых бумаг (0,75; 0,33), (0,48; x) (первая цифра доходность ценной бумаги, вторая - ее риск) имеет вид (0,65; 0,35). Риск портфеля минимального риска равен…</t>
  </si>
  <si>
    <t>r1</t>
  </si>
  <si>
    <t>r2</t>
  </si>
  <si>
    <t>2,4t</t>
  </si>
  <si>
    <t>X1</t>
  </si>
  <si>
    <t>ы</t>
  </si>
  <si>
    <t>Cu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</si>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</sst>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165" fontId="1" fillId="2" borderId="1" xfId="0" applyNumberFormat="1" applyFont="1" applyFill="1" applyBorder="1"/>
    <xf numFmtId="166" fontId="1" fillId="0" borderId="1" xfId="0" applyNumberFormat="1" applyFont="1" applyBorder="1"/>
    <xf numFmtId="0" fontId="2" fillId="0" borderId="1" xfId="0" applyFont="1" applyBorder="1"/>
    <xf numFmtId="2" fontId="1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2" fontId="2" fillId="2" borderId="1" xfId="0" applyNumberFormat="1" applyFont="1" applyFill="1" applyBorder="1"/>
    <xf numFmtId="0" fontId="1" fillId="0" borderId="2" xfId="0" applyFont="1" applyBorder="1"/>
    <xf numFmtId="0" fontId="1" fillId="0" borderId="0" xfId="0" applyFont="1" applyAlignment="1">
      <alignment wrapText="1"/>
    </xf>
    <xf numFmtId="2" fontId="1" fillId="0" borderId="0" xfId="0" applyNumberFormat="1" applyFont="1"/>
    <xf numFmtId="166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3" borderId="0" xfId="0" applyFont="1" applyFill="1"/>
    <xf numFmtId="1" fontId="1" fillId="2" borderId="1" xfId="0" applyNumberFormat="1" applyFont="1" applyFill="1" applyBorder="1"/>
    <xf numFmtId="167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left"/>
    </xf>
    <xf numFmtId="166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65" fontId="1" fillId="0" borderId="1" xfId="0" applyNumberFormat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579120</xdr:colOff>
      <xdr:row>4</xdr:row>
      <xdr:rowOff>101600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1C8172-EDF0-4DE6-3982-595BD9072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5120" y="193040"/>
          <a:ext cx="4064000" cy="71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0</xdr:row>
      <xdr:rowOff>0</xdr:rowOff>
    </xdr:from>
    <xdr:to>
      <xdr:col>16</xdr:col>
      <xdr:colOff>262238</xdr:colOff>
      <xdr:row>20</xdr:row>
      <xdr:rowOff>169219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BE99DE-5545-0948-B774-E7E776047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0"/>
          <a:ext cx="5939138" cy="4233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355600</xdr:colOff>
      <xdr:row>0</xdr:row>
      <xdr:rowOff>165100</xdr:rowOff>
    </xdr:from>
    <xdr:to>
      <xdr:col>22</xdr:col>
      <xdr:colOff>292100</xdr:colOff>
      <xdr:row>10</xdr:row>
      <xdr:rowOff>190500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B3E7926-56BB-B0C6-D0CC-2F1C94677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165100"/>
          <a:ext cx="7467600" cy="20447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55</xdr:row>
      <xdr:rowOff>88900</xdr:rowOff>
    </xdr:from>
    <xdr:to>
      <xdr:col>17</xdr:col>
      <xdr:colOff>368300</xdr:colOff>
      <xdr:row>61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F19F497-77F2-C9D4-D39E-0D7E47C03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11239500"/>
          <a:ext cx="7188200" cy="1320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317500</xdr:colOff>
      <xdr:row>1</xdr:row>
      <xdr:rowOff>177800</xdr:rowOff>
    </xdr:from>
    <xdr:to>
      <xdr:col>19</xdr:col>
      <xdr:colOff>165100</xdr:colOff>
      <xdr:row>10</xdr:row>
      <xdr:rowOff>76200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6D871A-DABB-32F8-BBAA-F2FA6C031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0100" y="368300"/>
          <a:ext cx="5905500" cy="1727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1</xdr:row>
      <xdr:rowOff>101600</xdr:rowOff>
    </xdr:from>
    <xdr:to>
      <xdr:col>26</xdr:col>
      <xdr:colOff>368300</xdr:colOff>
      <xdr:row>10</xdr:row>
      <xdr:rowOff>88900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F53A2A9-9B69-B2B7-4F6A-25692FF3F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20700" y="292100"/>
          <a:ext cx="4749800" cy="18161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10</xdr:row>
      <xdr:rowOff>88900</xdr:rowOff>
    </xdr:from>
    <xdr:to>
      <xdr:col>17</xdr:col>
      <xdr:colOff>25400</xdr:colOff>
      <xdr:row>17</xdr:row>
      <xdr:rowOff>2109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FB7F31C-DA76-A6BA-0A8B-3C3825EF5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2108200"/>
          <a:ext cx="6083300" cy="1322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21</xdr:col>
      <xdr:colOff>368300</xdr:colOff>
      <xdr:row>6</xdr:row>
      <xdr:rowOff>137980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9D9EA78-71A0-F1D6-66A4-0D0F41279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203200"/>
          <a:ext cx="7772400" cy="1153980"/>
        </a:xfrm>
        <a:prstGeom prst="rect">
          <a:avLst/>
        </a:prstGeom>
      </xdr:spPr>
    </xdr:pic>
    <xdr:clientData/>
  </xdr:twoCellAnchor>
  <xdr:twoCellAnchor editAs="oneCell">
    <xdr:from>
      <xdr:col>9</xdr:col>
      <xdr:colOff>444500</xdr:colOff>
      <xdr:row>138</xdr:row>
      <xdr:rowOff>5206</xdr:rowOff>
    </xdr:from>
    <xdr:to>
      <xdr:col>18</xdr:col>
      <xdr:colOff>342900</xdr:colOff>
      <xdr:row>146</xdr:row>
      <xdr:rowOff>63500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9E5073-F8E7-C5F5-8BA2-1D505B99C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8046806"/>
          <a:ext cx="6070600" cy="16838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584200</xdr:colOff>
      <xdr:row>4</xdr:row>
      <xdr:rowOff>12700</xdr:rowOff>
    </xdr:from>
    <xdr:to>
      <xdr:col>18</xdr:col>
      <xdr:colOff>469900</xdr:colOff>
      <xdr:row>27</xdr:row>
      <xdr:rowOff>139700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25622F2-288A-BE76-F536-4F88B028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3700" y="774700"/>
          <a:ext cx="7315200" cy="4508500"/>
        </a:xfrm>
        <a:prstGeom prst="rect">
          <a:avLst/>
        </a:prstGeom>
      </xdr:spPr>
    </xdr:pic>
    <xdr:clientData/>
  </xdr:twoCellAnchor>
  <xdr:twoCellAnchor editAs="oneCell">
    <xdr:from>
      <xdr:col>0</xdr:col>
      <xdr:colOff>622300</xdr:colOff>
      <xdr:row>3</xdr:row>
      <xdr:rowOff>127000</xdr:rowOff>
    </xdr:from>
    <xdr:to>
      <xdr:col>9</xdr:col>
      <xdr:colOff>558800</xdr:colOff>
      <xdr:row>15</xdr:row>
      <xdr:rowOff>63500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3690060-3008-B6B7-D3C0-9BEE7F15A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300" y="698500"/>
          <a:ext cx="7366000" cy="2222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18</xdr:col>
      <xdr:colOff>431800</xdr:colOff>
      <xdr:row>7</xdr:row>
      <xdr:rowOff>63500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BFBA656-E746-F217-A3C3-FFFC2F71E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900" y="406400"/>
          <a:ext cx="5816600" cy="10795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63500</xdr:colOff>
      <xdr:row>8</xdr:row>
      <xdr:rowOff>50800</xdr:rowOff>
    </xdr:from>
    <xdr:to>
      <xdr:col>16</xdr:col>
      <xdr:colOff>254000</xdr:colOff>
      <xdr:row>14</xdr:row>
      <xdr:rowOff>63500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7DB2BE5-63F5-4BBB-BC56-AB6F90B94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4500" y="1676400"/>
          <a:ext cx="3556000" cy="12319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21</xdr:col>
      <xdr:colOff>457200</xdr:colOff>
      <xdr:row>21</xdr:row>
      <xdr:rowOff>88900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C5F81E-5651-B1EF-D169-5B78D9A2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0" y="3048000"/>
          <a:ext cx="7188200" cy="1308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101600</xdr:colOff>
      <xdr:row>22</xdr:row>
      <xdr:rowOff>88900</xdr:rowOff>
    </xdr:from>
    <xdr:to>
      <xdr:col>22</xdr:col>
      <xdr:colOff>50800</xdr:colOff>
      <xdr:row>44</xdr:row>
      <xdr:rowOff>25400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8B5F299-980B-4A84-ADF4-112CC18D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02600" y="4559300"/>
          <a:ext cx="7353300" cy="44069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216</xdr:row>
      <xdr:rowOff>36742</xdr:rowOff>
    </xdr:from>
    <xdr:to>
      <xdr:col>16</xdr:col>
      <xdr:colOff>292100</xdr:colOff>
      <xdr:row>223</xdr:row>
      <xdr:rowOff>203199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1DD54F9-FD6D-4573-88F9-19A76CCBD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11700" y="43927942"/>
          <a:ext cx="6946900" cy="1588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9"/>
  <sheetViews>
    <sheetView topLeftCell="A61" zoomScale="139" workbookViewId="0">
      <selection activeCell="E75" sqref="E75"/>
    </sheetView>
  </sheetViews>
  <sheetFormatPr baseColWidth="10" defaultColWidth="8.83203125" defaultRowHeight="16" x14ac:dyDescent="0.2"/>
  <cols>
    <col min="1" max="16384" width="8.83203125" style="1"/>
  </cols>
  <sheetData>
    <row r="1" spans="1:7" ht="15" customHeight="1" x14ac:dyDescent="0.2">
      <c r="A1" s="26" t="s">
        <v>0</v>
      </c>
      <c r="B1" s="26"/>
      <c r="C1" s="26"/>
      <c r="D1" s="26"/>
      <c r="E1" s="26"/>
      <c r="F1" s="26"/>
      <c r="G1" s="26"/>
    </row>
    <row r="2" spans="1:7" x14ac:dyDescent="0.2">
      <c r="A2" s="26"/>
      <c r="B2" s="26"/>
      <c r="C2" s="26"/>
      <c r="D2" s="26"/>
      <c r="E2" s="26"/>
      <c r="F2" s="26"/>
      <c r="G2" s="26"/>
    </row>
    <row r="3" spans="1:7" x14ac:dyDescent="0.2">
      <c r="A3" s="26"/>
      <c r="B3" s="26"/>
      <c r="C3" s="26"/>
      <c r="D3" s="26"/>
      <c r="E3" s="26"/>
      <c r="F3" s="26"/>
      <c r="G3" s="26"/>
    </row>
    <row r="4" spans="1:7" x14ac:dyDescent="0.2">
      <c r="A4" s="26"/>
      <c r="B4" s="26"/>
      <c r="C4" s="26"/>
      <c r="D4" s="26"/>
      <c r="E4" s="26"/>
      <c r="F4" s="26"/>
      <c r="G4" s="26"/>
    </row>
    <row r="5" spans="1:7" x14ac:dyDescent="0.2">
      <c r="A5" s="26"/>
      <c r="B5" s="26"/>
      <c r="C5" s="26"/>
      <c r="D5" s="26"/>
      <c r="E5" s="26"/>
      <c r="F5" s="26"/>
      <c r="G5" s="26"/>
    </row>
    <row r="7" spans="1:7" x14ac:dyDescent="0.2">
      <c r="A7" s="2" t="s">
        <v>1</v>
      </c>
      <c r="B7" s="2">
        <v>160000</v>
      </c>
    </row>
    <row r="8" spans="1:7" x14ac:dyDescent="0.2">
      <c r="A8" s="2" t="s">
        <v>2</v>
      </c>
      <c r="B8" s="2">
        <v>140000</v>
      </c>
    </row>
    <row r="9" spans="1:7" x14ac:dyDescent="0.2">
      <c r="A9" s="2" t="s">
        <v>3</v>
      </c>
      <c r="B9" s="2">
        <v>150</v>
      </c>
    </row>
    <row r="10" spans="1:7" x14ac:dyDescent="0.2">
      <c r="A10" s="2" t="s">
        <v>4</v>
      </c>
      <c r="B10" s="2">
        <v>360</v>
      </c>
    </row>
    <row r="12" spans="1:7" x14ac:dyDescent="0.2">
      <c r="A12" s="2" t="s">
        <v>5</v>
      </c>
      <c r="B12" s="3">
        <f>B9/B10</f>
        <v>0.41666666666666669</v>
      </c>
    </row>
    <row r="14" spans="1:7" x14ac:dyDescent="0.2">
      <c r="A14" s="2" t="s">
        <v>6</v>
      </c>
      <c r="B14" s="3">
        <f>B7/B8 - 1</f>
        <v>0.14285714285714279</v>
      </c>
    </row>
    <row r="16" spans="1:7" x14ac:dyDescent="0.2">
      <c r="A16" s="4" t="s">
        <v>7</v>
      </c>
      <c r="B16" s="5">
        <f>B14/B12 * 100</f>
        <v>34.28571428571427</v>
      </c>
    </row>
    <row r="18" spans="1:7" x14ac:dyDescent="0.2">
      <c r="A18" s="26" t="s">
        <v>79</v>
      </c>
      <c r="B18" s="27"/>
      <c r="C18" s="27"/>
      <c r="D18" s="27"/>
      <c r="E18" s="27"/>
      <c r="F18" s="27"/>
      <c r="G18" s="27"/>
    </row>
    <row r="19" spans="1:7" x14ac:dyDescent="0.2">
      <c r="A19" s="27"/>
      <c r="B19" s="27"/>
      <c r="C19" s="27"/>
      <c r="D19" s="27"/>
      <c r="E19" s="27"/>
      <c r="F19" s="27"/>
      <c r="G19" s="27"/>
    </row>
    <row r="20" spans="1:7" x14ac:dyDescent="0.2">
      <c r="A20" s="27"/>
      <c r="B20" s="27"/>
      <c r="C20" s="27"/>
      <c r="D20" s="27"/>
      <c r="E20" s="27"/>
      <c r="F20" s="27"/>
      <c r="G20" s="27"/>
    </row>
    <row r="21" spans="1:7" x14ac:dyDescent="0.2">
      <c r="A21" s="27"/>
      <c r="B21" s="27"/>
      <c r="C21" s="27"/>
      <c r="D21" s="27"/>
      <c r="E21" s="27"/>
      <c r="F21" s="27"/>
      <c r="G21" s="27"/>
    </row>
    <row r="22" spans="1:7" x14ac:dyDescent="0.2">
      <c r="A22" s="27"/>
      <c r="B22" s="27"/>
      <c r="C22" s="27"/>
      <c r="D22" s="27"/>
      <c r="E22" s="27"/>
      <c r="F22" s="27"/>
      <c r="G22" s="27"/>
    </row>
    <row r="24" spans="1:7" x14ac:dyDescent="0.2">
      <c r="A24" s="2" t="s">
        <v>2</v>
      </c>
      <c r="B24" s="2">
        <v>800000</v>
      </c>
    </row>
    <row r="25" spans="1:7" x14ac:dyDescent="0.2">
      <c r="A25" s="2" t="s">
        <v>3</v>
      </c>
      <c r="B25" s="2">
        <v>0.25</v>
      </c>
    </row>
    <row r="27" spans="1:7" x14ac:dyDescent="0.2">
      <c r="A27" s="2" t="s">
        <v>7</v>
      </c>
      <c r="B27" s="2">
        <v>0.17</v>
      </c>
    </row>
    <row r="29" spans="1:7" x14ac:dyDescent="0.2">
      <c r="A29" s="4" t="s">
        <v>1</v>
      </c>
      <c r="B29" s="4">
        <f xml:space="preserve"> B24*(1+B25*B27)</f>
        <v>834000</v>
      </c>
    </row>
    <row r="31" spans="1:7" x14ac:dyDescent="0.2">
      <c r="A31" s="26" t="s">
        <v>80</v>
      </c>
      <c r="B31" s="27"/>
      <c r="C31" s="27"/>
      <c r="D31" s="27"/>
      <c r="E31" s="27"/>
      <c r="F31" s="27"/>
      <c r="G31" s="27"/>
    </row>
    <row r="32" spans="1:7" x14ac:dyDescent="0.2">
      <c r="A32" s="27"/>
      <c r="B32" s="27"/>
      <c r="C32" s="27"/>
      <c r="D32" s="27"/>
      <c r="E32" s="27"/>
      <c r="F32" s="27"/>
      <c r="G32" s="27"/>
    </row>
    <row r="33" spans="1:7" x14ac:dyDescent="0.2">
      <c r="A33" s="27"/>
      <c r="B33" s="27"/>
      <c r="C33" s="27"/>
      <c r="D33" s="27"/>
      <c r="E33" s="27"/>
      <c r="F33" s="27"/>
      <c r="G33" s="27"/>
    </row>
    <row r="34" spans="1:7" x14ac:dyDescent="0.2">
      <c r="A34" s="27"/>
      <c r="B34" s="27"/>
      <c r="C34" s="27"/>
      <c r="D34" s="27"/>
      <c r="E34" s="27"/>
      <c r="F34" s="27"/>
      <c r="G34" s="27"/>
    </row>
    <row r="35" spans="1:7" x14ac:dyDescent="0.2">
      <c r="A35" s="27"/>
      <c r="B35" s="27"/>
      <c r="C35" s="27"/>
      <c r="D35" s="27"/>
      <c r="E35" s="27"/>
      <c r="F35" s="27"/>
      <c r="G35" s="27"/>
    </row>
    <row r="37" spans="1:7" x14ac:dyDescent="0.2">
      <c r="A37" s="2" t="s">
        <v>2</v>
      </c>
      <c r="B37" s="2">
        <v>270000</v>
      </c>
    </row>
    <row r="38" spans="1:7" x14ac:dyDescent="0.2">
      <c r="A38" s="2" t="s">
        <v>7</v>
      </c>
      <c r="B38" s="2">
        <v>0.19</v>
      </c>
    </row>
    <row r="39" spans="1:7" x14ac:dyDescent="0.2">
      <c r="A39" s="2" t="s">
        <v>3</v>
      </c>
      <c r="B39" s="2">
        <v>3</v>
      </c>
    </row>
    <row r="41" spans="1:7" x14ac:dyDescent="0.2">
      <c r="A41" s="2" t="s">
        <v>1</v>
      </c>
      <c r="B41" s="2">
        <f xml:space="preserve"> B37*(1+B39*B38)</f>
        <v>423900</v>
      </c>
    </row>
    <row r="43" spans="1:7" x14ac:dyDescent="0.2">
      <c r="A43" s="2" t="s">
        <v>8</v>
      </c>
      <c r="B43" s="2">
        <f>B41-B37</f>
        <v>153900</v>
      </c>
    </row>
    <row r="44" spans="1:7" x14ac:dyDescent="0.2">
      <c r="A44" s="2" t="s">
        <v>12</v>
      </c>
      <c r="B44" s="2">
        <v>0.02</v>
      </c>
    </row>
    <row r="45" spans="1:7" x14ac:dyDescent="0.2">
      <c r="A45" s="2" t="s">
        <v>11</v>
      </c>
      <c r="B45" s="2">
        <f>B38+B44</f>
        <v>0.21</v>
      </c>
    </row>
    <row r="47" spans="1:7" x14ac:dyDescent="0.2">
      <c r="A47" s="2" t="s">
        <v>9</v>
      </c>
      <c r="B47" s="2">
        <f>B37*(1+B39*B45)</f>
        <v>440100</v>
      </c>
    </row>
    <row r="49" spans="1:7" x14ac:dyDescent="0.2">
      <c r="A49" s="4" t="s">
        <v>10</v>
      </c>
      <c r="B49" s="4">
        <f>B47/B41</f>
        <v>1.0382165605095541</v>
      </c>
    </row>
    <row r="51" spans="1:7" x14ac:dyDescent="0.2">
      <c r="A51" s="28" t="s">
        <v>13</v>
      </c>
      <c r="B51" s="29"/>
      <c r="C51" s="29"/>
      <c r="D51" s="29"/>
      <c r="E51" s="29"/>
      <c r="F51" s="29"/>
      <c r="G51" s="29"/>
    </row>
    <row r="52" spans="1:7" x14ac:dyDescent="0.2">
      <c r="A52" s="29"/>
      <c r="B52" s="29"/>
      <c r="C52" s="29"/>
      <c r="D52" s="29"/>
      <c r="E52" s="29"/>
      <c r="F52" s="29"/>
      <c r="G52" s="29"/>
    </row>
    <row r="53" spans="1:7" x14ac:dyDescent="0.2">
      <c r="A53" s="29"/>
      <c r="B53" s="29"/>
      <c r="C53" s="29"/>
      <c r="D53" s="29"/>
      <c r="E53" s="29"/>
      <c r="F53" s="29"/>
      <c r="G53" s="29"/>
    </row>
    <row r="54" spans="1:7" x14ac:dyDescent="0.2">
      <c r="A54" s="29"/>
      <c r="B54" s="29"/>
      <c r="C54" s="29"/>
      <c r="D54" s="29"/>
      <c r="E54" s="29"/>
      <c r="F54" s="29"/>
      <c r="G54" s="29"/>
    </row>
    <row r="55" spans="1:7" x14ac:dyDescent="0.2">
      <c r="A55" s="29"/>
      <c r="B55" s="29"/>
      <c r="C55" s="29"/>
      <c r="D55" s="29"/>
      <c r="E55" s="29"/>
      <c r="F55" s="29"/>
      <c r="G55" s="29"/>
    </row>
    <row r="57" spans="1:7" x14ac:dyDescent="0.2">
      <c r="A57" s="2" t="s">
        <v>1</v>
      </c>
      <c r="B57" s="2">
        <v>160000</v>
      </c>
    </row>
    <row r="58" spans="1:7" x14ac:dyDescent="0.2">
      <c r="A58" s="2" t="s">
        <v>2</v>
      </c>
      <c r="B58" s="2">
        <v>132000</v>
      </c>
    </row>
    <row r="59" spans="1:7" x14ac:dyDescent="0.2">
      <c r="A59" s="2" t="s">
        <v>3</v>
      </c>
      <c r="B59" s="2">
        <v>120</v>
      </c>
    </row>
    <row r="60" spans="1:7" x14ac:dyDescent="0.2">
      <c r="A60" s="2" t="s">
        <v>4</v>
      </c>
      <c r="B60" s="2">
        <v>360</v>
      </c>
    </row>
    <row r="62" spans="1:7" x14ac:dyDescent="0.2">
      <c r="A62" s="2" t="s">
        <v>5</v>
      </c>
      <c r="B62" s="3">
        <f>B59/B60</f>
        <v>0.33333333333333331</v>
      </c>
    </row>
    <row r="64" spans="1:7" x14ac:dyDescent="0.2">
      <c r="A64" s="2" t="s">
        <v>6</v>
      </c>
      <c r="B64" s="3">
        <f>B57/B58 - 1</f>
        <v>0.21212121212121215</v>
      </c>
    </row>
    <row r="66" spans="1:7" x14ac:dyDescent="0.2">
      <c r="A66" s="4" t="s">
        <v>7</v>
      </c>
      <c r="B66" s="5">
        <f>B64/B62 * 100</f>
        <v>63.636363636363647</v>
      </c>
    </row>
    <row r="68" spans="1:7" x14ac:dyDescent="0.2">
      <c r="A68" s="26" t="s">
        <v>14</v>
      </c>
      <c r="B68" s="27"/>
      <c r="C68" s="27"/>
      <c r="D68" s="27"/>
      <c r="E68" s="27"/>
      <c r="F68" s="27"/>
      <c r="G68" s="27"/>
    </row>
    <row r="69" spans="1:7" x14ac:dyDescent="0.2">
      <c r="A69" s="27"/>
      <c r="B69" s="27"/>
      <c r="C69" s="27"/>
      <c r="D69" s="27"/>
      <c r="E69" s="27"/>
      <c r="F69" s="27"/>
      <c r="G69" s="27"/>
    </row>
    <row r="70" spans="1:7" x14ac:dyDescent="0.2">
      <c r="A70" s="27"/>
      <c r="B70" s="27"/>
      <c r="C70" s="27"/>
      <c r="D70" s="27"/>
      <c r="E70" s="27"/>
      <c r="F70" s="27"/>
      <c r="G70" s="27"/>
    </row>
    <row r="71" spans="1:7" x14ac:dyDescent="0.2">
      <c r="A71" s="27"/>
      <c r="B71" s="27"/>
      <c r="C71" s="27"/>
      <c r="D71" s="27"/>
      <c r="E71" s="27"/>
      <c r="F71" s="27"/>
      <c r="G71" s="27"/>
    </row>
    <row r="73" spans="1:7" x14ac:dyDescent="0.2">
      <c r="A73" s="2" t="s">
        <v>1</v>
      </c>
      <c r="B73" s="2">
        <v>65000</v>
      </c>
    </row>
    <row r="74" spans="1:7" x14ac:dyDescent="0.2">
      <c r="A74" s="2" t="s">
        <v>2</v>
      </c>
      <c r="B74" s="2">
        <v>56000</v>
      </c>
    </row>
    <row r="75" spans="1:7" x14ac:dyDescent="0.2">
      <c r="A75" s="2" t="s">
        <v>7</v>
      </c>
      <c r="B75" s="2">
        <v>0.12</v>
      </c>
    </row>
    <row r="77" spans="1:7" x14ac:dyDescent="0.2">
      <c r="A77" s="4" t="s">
        <v>3</v>
      </c>
      <c r="B77" s="6">
        <f>(B73/B74-1)/B75</f>
        <v>1.3392857142857151</v>
      </c>
    </row>
    <row r="79" spans="1:7" x14ac:dyDescent="0.2">
      <c r="A79" s="26" t="s">
        <v>81</v>
      </c>
      <c r="B79" s="27"/>
      <c r="C79" s="27"/>
      <c r="D79" s="27"/>
      <c r="E79" s="27"/>
      <c r="F79" s="27"/>
      <c r="G79" s="27"/>
    </row>
    <row r="80" spans="1:7" x14ac:dyDescent="0.2">
      <c r="A80" s="27"/>
      <c r="B80" s="27"/>
      <c r="C80" s="27"/>
      <c r="D80" s="27"/>
      <c r="E80" s="27"/>
      <c r="F80" s="27"/>
      <c r="G80" s="27"/>
    </row>
    <row r="81" spans="1:7" x14ac:dyDescent="0.2">
      <c r="A81" s="27"/>
      <c r="B81" s="27"/>
      <c r="C81" s="27"/>
      <c r="D81" s="27"/>
      <c r="E81" s="27"/>
      <c r="F81" s="27"/>
      <c r="G81" s="27"/>
    </row>
    <row r="82" spans="1:7" x14ac:dyDescent="0.2">
      <c r="A82" s="27"/>
      <c r="B82" s="27"/>
      <c r="C82" s="27"/>
      <c r="D82" s="27"/>
      <c r="E82" s="27"/>
      <c r="F82" s="27"/>
      <c r="G82" s="27"/>
    </row>
    <row r="83" spans="1:7" x14ac:dyDescent="0.2">
      <c r="A83" s="27"/>
      <c r="B83" s="27"/>
      <c r="C83" s="27"/>
      <c r="D83" s="27"/>
      <c r="E83" s="27"/>
      <c r="F83" s="27"/>
      <c r="G83" s="27"/>
    </row>
    <row r="85" spans="1:7" x14ac:dyDescent="0.2">
      <c r="A85" s="2" t="s">
        <v>2</v>
      </c>
      <c r="B85" s="2">
        <v>220000</v>
      </c>
    </row>
    <row r="86" spans="1:7" x14ac:dyDescent="0.2">
      <c r="A86" s="2" t="s">
        <v>7</v>
      </c>
      <c r="B86" s="2">
        <v>0.17</v>
      </c>
    </row>
    <row r="87" spans="1:7" x14ac:dyDescent="0.2">
      <c r="A87" s="2" t="s">
        <v>3</v>
      </c>
      <c r="B87" s="2">
        <v>3</v>
      </c>
    </row>
    <row r="89" spans="1:7" x14ac:dyDescent="0.2">
      <c r="A89" s="2" t="s">
        <v>1</v>
      </c>
      <c r="B89" s="2">
        <f xml:space="preserve"> B85*(1+B87*B86)</f>
        <v>332200</v>
      </c>
    </row>
    <row r="91" spans="1:7" x14ac:dyDescent="0.2">
      <c r="A91" s="4" t="s">
        <v>10</v>
      </c>
      <c r="B91" s="4">
        <f>B89/B85</f>
        <v>1.51</v>
      </c>
    </row>
    <row r="93" spans="1:7" x14ac:dyDescent="0.2">
      <c r="A93" s="4" t="s">
        <v>15</v>
      </c>
      <c r="B93" s="4">
        <f>1 + B86*B87</f>
        <v>1.51</v>
      </c>
    </row>
    <row r="95" spans="1:7" x14ac:dyDescent="0.2">
      <c r="A95" s="26" t="s">
        <v>82</v>
      </c>
      <c r="B95" s="27"/>
      <c r="C95" s="27"/>
      <c r="D95" s="27"/>
      <c r="E95" s="27"/>
      <c r="F95" s="27"/>
      <c r="G95" s="27"/>
    </row>
    <row r="96" spans="1:7" x14ac:dyDescent="0.2">
      <c r="A96" s="27"/>
      <c r="B96" s="27"/>
      <c r="C96" s="27"/>
      <c r="D96" s="27"/>
      <c r="E96" s="27"/>
      <c r="F96" s="27"/>
      <c r="G96" s="27"/>
    </row>
    <row r="97" spans="1:7" x14ac:dyDescent="0.2">
      <c r="A97" s="27"/>
      <c r="B97" s="27"/>
      <c r="C97" s="27"/>
      <c r="D97" s="27"/>
      <c r="E97" s="27"/>
      <c r="F97" s="27"/>
      <c r="G97" s="27"/>
    </row>
    <row r="98" spans="1:7" x14ac:dyDescent="0.2">
      <c r="A98" s="27"/>
      <c r="B98" s="27"/>
      <c r="C98" s="27"/>
      <c r="D98" s="27"/>
      <c r="E98" s="27"/>
      <c r="F98" s="27"/>
      <c r="G98" s="27"/>
    </row>
    <row r="99" spans="1:7" x14ac:dyDescent="0.2">
      <c r="A99" s="27"/>
      <c r="B99" s="27"/>
      <c r="C99" s="27"/>
      <c r="D99" s="27"/>
      <c r="E99" s="27"/>
      <c r="F99" s="27"/>
      <c r="G99" s="27"/>
    </row>
    <row r="101" spans="1:7" x14ac:dyDescent="0.2">
      <c r="A101" s="2" t="s">
        <v>2</v>
      </c>
      <c r="B101" s="2">
        <v>89000</v>
      </c>
    </row>
    <row r="102" spans="1:7" x14ac:dyDescent="0.2">
      <c r="A102" s="2" t="s">
        <v>3</v>
      </c>
      <c r="B102" s="7">
        <f>11/12</f>
        <v>0.91666666666666663</v>
      </c>
    </row>
    <row r="103" spans="1:7" x14ac:dyDescent="0.2">
      <c r="A103" s="2" t="s">
        <v>1</v>
      </c>
      <c r="B103" s="2">
        <f>B101+8000</f>
        <v>97000</v>
      </c>
    </row>
    <row r="105" spans="1:7" x14ac:dyDescent="0.2">
      <c r="A105" s="4" t="s">
        <v>16</v>
      </c>
      <c r="B105" s="5">
        <f>(B103/B101-1)/B102 *100</f>
        <v>9.8059244126659859</v>
      </c>
    </row>
    <row r="107" spans="1:7" x14ac:dyDescent="0.2">
      <c r="A107" s="26" t="s">
        <v>83</v>
      </c>
      <c r="B107" s="27"/>
      <c r="C107" s="27"/>
      <c r="D107" s="27"/>
      <c r="E107" s="27"/>
      <c r="F107" s="27"/>
      <c r="G107" s="27"/>
    </row>
    <row r="108" spans="1:7" x14ac:dyDescent="0.2">
      <c r="A108" s="27"/>
      <c r="B108" s="27"/>
      <c r="C108" s="27"/>
      <c r="D108" s="27"/>
      <c r="E108" s="27"/>
      <c r="F108" s="27"/>
      <c r="G108" s="27"/>
    </row>
    <row r="109" spans="1:7" x14ac:dyDescent="0.2">
      <c r="A109" s="27"/>
      <c r="B109" s="27"/>
      <c r="C109" s="27"/>
      <c r="D109" s="27"/>
      <c r="E109" s="27"/>
      <c r="F109" s="27"/>
      <c r="G109" s="27"/>
    </row>
    <row r="110" spans="1:7" x14ac:dyDescent="0.2">
      <c r="A110" s="27"/>
      <c r="B110" s="27"/>
      <c r="C110" s="27"/>
      <c r="D110" s="27"/>
      <c r="E110" s="27"/>
      <c r="F110" s="27"/>
      <c r="G110" s="27"/>
    </row>
    <row r="112" spans="1:7" x14ac:dyDescent="0.2">
      <c r="A112" s="2" t="s">
        <v>2</v>
      </c>
      <c r="B112" s="2">
        <v>190000</v>
      </c>
    </row>
    <row r="113" spans="1:7" x14ac:dyDescent="0.2">
      <c r="A113" s="2" t="s">
        <v>3</v>
      </c>
      <c r="B113" s="2">
        <f>8/12</f>
        <v>0.66666666666666663</v>
      </c>
    </row>
    <row r="114" spans="1:7" x14ac:dyDescent="0.2">
      <c r="A114" s="2" t="s">
        <v>7</v>
      </c>
      <c r="B114" s="2">
        <v>0.18</v>
      </c>
    </row>
    <row r="116" spans="1:7" x14ac:dyDescent="0.2">
      <c r="A116" s="4" t="s">
        <v>7</v>
      </c>
      <c r="B116" s="4">
        <f>B112*(1+B114*B113) - B112</f>
        <v>22800.000000000029</v>
      </c>
    </row>
    <row r="118" spans="1:7" x14ac:dyDescent="0.2">
      <c r="A118" s="26" t="s">
        <v>84</v>
      </c>
      <c r="B118" s="27"/>
      <c r="C118" s="27"/>
      <c r="D118" s="27"/>
      <c r="E118" s="27"/>
      <c r="F118" s="27"/>
      <c r="G118" s="27"/>
    </row>
    <row r="119" spans="1:7" x14ac:dyDescent="0.2">
      <c r="A119" s="27"/>
      <c r="B119" s="27"/>
      <c r="C119" s="27"/>
      <c r="D119" s="27"/>
      <c r="E119" s="27"/>
      <c r="F119" s="27"/>
      <c r="G119" s="27"/>
    </row>
    <row r="120" spans="1:7" x14ac:dyDescent="0.2">
      <c r="A120" s="27"/>
      <c r="B120" s="27"/>
      <c r="C120" s="27"/>
      <c r="D120" s="27"/>
      <c r="E120" s="27"/>
      <c r="F120" s="27"/>
      <c r="G120" s="27"/>
    </row>
    <row r="121" spans="1:7" x14ac:dyDescent="0.2">
      <c r="A121" s="27"/>
      <c r="B121" s="27"/>
      <c r="C121" s="27"/>
      <c r="D121" s="27"/>
      <c r="E121" s="27"/>
      <c r="F121" s="27"/>
      <c r="G121" s="27"/>
    </row>
    <row r="122" spans="1:7" x14ac:dyDescent="0.2">
      <c r="A122" s="27"/>
      <c r="B122" s="27"/>
      <c r="C122" s="27"/>
      <c r="D122" s="27"/>
      <c r="E122" s="27"/>
      <c r="F122" s="27"/>
      <c r="G122" s="27"/>
    </row>
    <row r="124" spans="1:7" x14ac:dyDescent="0.2">
      <c r="A124" s="2" t="s">
        <v>28</v>
      </c>
      <c r="B124" s="2">
        <v>90000</v>
      </c>
    </row>
    <row r="125" spans="1:7" x14ac:dyDescent="0.2">
      <c r="A125" s="2" t="s">
        <v>3</v>
      </c>
      <c r="B125" s="2">
        <v>75</v>
      </c>
    </row>
    <row r="126" spans="1:7" x14ac:dyDescent="0.2">
      <c r="A126" s="2" t="s">
        <v>29</v>
      </c>
      <c r="B126" s="2">
        <v>360</v>
      </c>
    </row>
    <row r="127" spans="1:7" x14ac:dyDescent="0.2">
      <c r="A127" s="2" t="s">
        <v>7</v>
      </c>
      <c r="B127" s="2">
        <v>0.18</v>
      </c>
    </row>
    <row r="129" spans="1:7" x14ac:dyDescent="0.2">
      <c r="A129" s="2" t="s">
        <v>5</v>
      </c>
      <c r="B129" s="2">
        <f>B125/B126</f>
        <v>0.20833333333333334</v>
      </c>
    </row>
    <row r="131" spans="1:7" x14ac:dyDescent="0.2">
      <c r="A131" s="4" t="s">
        <v>1</v>
      </c>
      <c r="B131" s="4">
        <f>B124/(1+B127*B129)</f>
        <v>86746.987951807227</v>
      </c>
    </row>
    <row r="133" spans="1:7" x14ac:dyDescent="0.2">
      <c r="A133" s="26" t="s">
        <v>17</v>
      </c>
      <c r="B133" s="27"/>
      <c r="C133" s="27"/>
      <c r="D133" s="27"/>
      <c r="E133" s="27"/>
      <c r="F133" s="27"/>
      <c r="G133" s="27"/>
    </row>
    <row r="134" spans="1:7" x14ac:dyDescent="0.2">
      <c r="A134" s="27"/>
      <c r="B134" s="27"/>
      <c r="C134" s="27"/>
      <c r="D134" s="27"/>
      <c r="E134" s="27"/>
      <c r="F134" s="27"/>
      <c r="G134" s="27"/>
    </row>
    <row r="135" spans="1:7" x14ac:dyDescent="0.2">
      <c r="A135" s="27"/>
      <c r="B135" s="27"/>
      <c r="C135" s="27"/>
      <c r="D135" s="27"/>
      <c r="E135" s="27"/>
      <c r="F135" s="27"/>
      <c r="G135" s="27"/>
    </row>
    <row r="136" spans="1:7" x14ac:dyDescent="0.2">
      <c r="A136" s="27"/>
      <c r="B136" s="27"/>
      <c r="C136" s="27"/>
      <c r="D136" s="27"/>
      <c r="E136" s="27"/>
      <c r="F136" s="27"/>
      <c r="G136" s="27"/>
    </row>
    <row r="137" spans="1:7" x14ac:dyDescent="0.2">
      <c r="A137" s="27"/>
      <c r="B137" s="27"/>
      <c r="C137" s="27"/>
      <c r="D137" s="27"/>
      <c r="E137" s="27"/>
      <c r="F137" s="27"/>
      <c r="G137" s="27"/>
    </row>
    <row r="139" spans="1:7" x14ac:dyDescent="0.2">
      <c r="A139" s="2" t="s">
        <v>28</v>
      </c>
      <c r="B139" s="2">
        <v>70000</v>
      </c>
    </row>
    <row r="140" spans="1:7" x14ac:dyDescent="0.2">
      <c r="A140" s="2" t="s">
        <v>3</v>
      </c>
      <c r="B140" s="2">
        <v>55</v>
      </c>
    </row>
    <row r="141" spans="1:7" x14ac:dyDescent="0.2">
      <c r="A141" s="2" t="s">
        <v>29</v>
      </c>
      <c r="B141" s="2">
        <v>360</v>
      </c>
    </row>
    <row r="142" spans="1:7" x14ac:dyDescent="0.2">
      <c r="A142" s="2" t="s">
        <v>7</v>
      </c>
      <c r="B142" s="2">
        <v>0.21</v>
      </c>
    </row>
    <row r="144" spans="1:7" x14ac:dyDescent="0.2">
      <c r="A144" s="2" t="s">
        <v>5</v>
      </c>
      <c r="B144" s="2">
        <f>B140/B141</f>
        <v>0.15277777777777779</v>
      </c>
    </row>
    <row r="146" spans="1:7" x14ac:dyDescent="0.2">
      <c r="A146" s="4" t="s">
        <v>1</v>
      </c>
      <c r="B146" s="4">
        <f>B139/(1+B142*B144)</f>
        <v>67823.980621719835</v>
      </c>
    </row>
    <row r="152" spans="1:7" x14ac:dyDescent="0.2">
      <c r="A152" s="28" t="s">
        <v>18</v>
      </c>
      <c r="B152" s="29"/>
      <c r="C152" s="29"/>
      <c r="D152" s="29"/>
      <c r="E152" s="29"/>
      <c r="F152" s="29"/>
      <c r="G152" s="29"/>
    </row>
    <row r="153" spans="1:7" x14ac:dyDescent="0.2">
      <c r="A153" s="29"/>
      <c r="B153" s="29"/>
      <c r="C153" s="29"/>
      <c r="D153" s="29"/>
      <c r="E153" s="29"/>
      <c r="F153" s="29"/>
      <c r="G153" s="29"/>
    </row>
    <row r="154" spans="1:7" x14ac:dyDescent="0.2">
      <c r="A154" s="29"/>
      <c r="B154" s="29"/>
      <c r="C154" s="29"/>
      <c r="D154" s="29"/>
      <c r="E154" s="29"/>
      <c r="F154" s="29"/>
      <c r="G154" s="29"/>
    </row>
    <row r="155" spans="1:7" x14ac:dyDescent="0.2">
      <c r="A155" s="29"/>
      <c r="B155" s="29"/>
      <c r="C155" s="29"/>
      <c r="D155" s="29"/>
      <c r="E155" s="29"/>
      <c r="F155" s="29"/>
      <c r="G155" s="29"/>
    </row>
    <row r="156" spans="1:7" x14ac:dyDescent="0.2">
      <c r="A156" s="29"/>
      <c r="B156" s="29"/>
      <c r="C156" s="29"/>
      <c r="D156" s="29"/>
      <c r="E156" s="29"/>
      <c r="F156" s="29"/>
      <c r="G156" s="29"/>
    </row>
    <row r="158" spans="1:7" x14ac:dyDescent="0.2">
      <c r="A158" s="2" t="s">
        <v>2</v>
      </c>
      <c r="B158" s="2">
        <v>28000</v>
      </c>
    </row>
    <row r="159" spans="1:7" x14ac:dyDescent="0.2">
      <c r="A159" s="2" t="s">
        <v>3</v>
      </c>
      <c r="B159" s="2">
        <v>1</v>
      </c>
    </row>
    <row r="161" spans="1:7" x14ac:dyDescent="0.2">
      <c r="A161" s="2" t="s">
        <v>7</v>
      </c>
      <c r="B161" s="2">
        <v>9.5000000000000001E-2</v>
      </c>
    </row>
    <row r="163" spans="1:7" x14ac:dyDescent="0.2">
      <c r="A163" s="2" t="s">
        <v>1</v>
      </c>
      <c r="B163" s="2">
        <f xml:space="preserve"> B158*(1+B159*B161)</f>
        <v>30660</v>
      </c>
    </row>
    <row r="165" spans="1:7" x14ac:dyDescent="0.2">
      <c r="A165" s="4" t="s">
        <v>30</v>
      </c>
      <c r="B165" s="4">
        <f>(B163-B158)/12</f>
        <v>221.66666666666666</v>
      </c>
    </row>
    <row r="169" spans="1:7" x14ac:dyDescent="0.2">
      <c r="A169" s="26" t="s">
        <v>19</v>
      </c>
      <c r="B169" s="27"/>
      <c r="C169" s="27"/>
      <c r="D169" s="27"/>
      <c r="E169" s="27"/>
      <c r="F169" s="27"/>
      <c r="G169" s="27"/>
    </row>
    <row r="170" spans="1:7" x14ac:dyDescent="0.2">
      <c r="A170" s="27"/>
      <c r="B170" s="27"/>
      <c r="C170" s="27"/>
      <c r="D170" s="27"/>
      <c r="E170" s="27"/>
      <c r="F170" s="27"/>
      <c r="G170" s="27"/>
    </row>
    <row r="171" spans="1:7" x14ac:dyDescent="0.2">
      <c r="A171" s="27"/>
      <c r="B171" s="27"/>
      <c r="C171" s="27"/>
      <c r="D171" s="27"/>
      <c r="E171" s="27"/>
      <c r="F171" s="27"/>
      <c r="G171" s="27"/>
    </row>
    <row r="172" spans="1:7" x14ac:dyDescent="0.2">
      <c r="A172" s="27"/>
      <c r="B172" s="27"/>
      <c r="C172" s="27"/>
      <c r="D172" s="27"/>
      <c r="E172" s="27"/>
      <c r="F172" s="27"/>
      <c r="G172" s="27"/>
    </row>
    <row r="173" spans="1:7" x14ac:dyDescent="0.2">
      <c r="A173" s="27"/>
      <c r="B173" s="27"/>
      <c r="C173" s="27"/>
      <c r="D173" s="27"/>
      <c r="E173" s="27"/>
      <c r="F173" s="27"/>
      <c r="G173" s="27"/>
    </row>
    <row r="175" spans="1:7" x14ac:dyDescent="0.2">
      <c r="A175" s="2" t="s">
        <v>2</v>
      </c>
      <c r="B175" s="2">
        <v>35000</v>
      </c>
    </row>
    <row r="176" spans="1:7" x14ac:dyDescent="0.2">
      <c r="A176" s="2" t="s">
        <v>3</v>
      </c>
      <c r="B176" s="2">
        <v>4</v>
      </c>
    </row>
    <row r="178" spans="1:7" x14ac:dyDescent="0.2">
      <c r="A178" s="2" t="s">
        <v>7</v>
      </c>
      <c r="B178" s="2">
        <v>0.11</v>
      </c>
    </row>
    <row r="180" spans="1:7" x14ac:dyDescent="0.2">
      <c r="A180" s="2" t="s">
        <v>1</v>
      </c>
      <c r="B180" s="2">
        <f xml:space="preserve"> B175*(1+B176*B178)</f>
        <v>50400</v>
      </c>
    </row>
    <row r="182" spans="1:7" x14ac:dyDescent="0.2">
      <c r="A182" s="4" t="s">
        <v>31</v>
      </c>
      <c r="B182" s="4">
        <f>B180-B175</f>
        <v>15400</v>
      </c>
    </row>
    <row r="184" spans="1:7" x14ac:dyDescent="0.2">
      <c r="A184" s="28" t="s">
        <v>20</v>
      </c>
      <c r="B184" s="29"/>
      <c r="C184" s="29"/>
      <c r="D184" s="29"/>
      <c r="E184" s="29"/>
      <c r="F184" s="29"/>
      <c r="G184" s="29"/>
    </row>
    <row r="185" spans="1:7" x14ac:dyDescent="0.2">
      <c r="A185" s="29"/>
      <c r="B185" s="29"/>
      <c r="C185" s="29"/>
      <c r="D185" s="29"/>
      <c r="E185" s="29"/>
      <c r="F185" s="29"/>
      <c r="G185" s="29"/>
    </row>
    <row r="186" spans="1:7" x14ac:dyDescent="0.2">
      <c r="A186" s="29"/>
      <c r="B186" s="29"/>
      <c r="C186" s="29"/>
      <c r="D186" s="29"/>
      <c r="E186" s="29"/>
      <c r="F186" s="29"/>
      <c r="G186" s="29"/>
    </row>
    <row r="187" spans="1:7" x14ac:dyDescent="0.2">
      <c r="A187" s="29"/>
      <c r="B187" s="29"/>
      <c r="C187" s="29"/>
      <c r="D187" s="29"/>
      <c r="E187" s="29"/>
      <c r="F187" s="29"/>
      <c r="G187" s="29"/>
    </row>
    <row r="189" spans="1:7" x14ac:dyDescent="0.2">
      <c r="A189" s="2" t="s">
        <v>1</v>
      </c>
      <c r="B189" s="2">
        <v>65000</v>
      </c>
    </row>
    <row r="190" spans="1:7" x14ac:dyDescent="0.2">
      <c r="A190" s="2" t="s">
        <v>2</v>
      </c>
      <c r="B190" s="2">
        <v>50000</v>
      </c>
    </row>
    <row r="191" spans="1:7" x14ac:dyDescent="0.2">
      <c r="A191" s="2" t="s">
        <v>7</v>
      </c>
      <c r="B191" s="2">
        <v>0.14000000000000001</v>
      </c>
    </row>
    <row r="193" spans="1:7" x14ac:dyDescent="0.2">
      <c r="A193" s="4" t="s">
        <v>3</v>
      </c>
      <c r="B193" s="6">
        <f>(B189/B190-1)/B191</f>
        <v>2.1428571428571428</v>
      </c>
    </row>
    <row r="195" spans="1:7" x14ac:dyDescent="0.2">
      <c r="A195" s="26" t="s">
        <v>21</v>
      </c>
      <c r="B195" s="27"/>
      <c r="C195" s="27"/>
      <c r="D195" s="27"/>
      <c r="E195" s="27"/>
      <c r="F195" s="27"/>
      <c r="G195" s="27"/>
    </row>
    <row r="196" spans="1:7" x14ac:dyDescent="0.2">
      <c r="A196" s="27"/>
      <c r="B196" s="27"/>
      <c r="C196" s="27"/>
      <c r="D196" s="27"/>
      <c r="E196" s="27"/>
      <c r="F196" s="27"/>
      <c r="G196" s="27"/>
    </row>
    <row r="197" spans="1:7" x14ac:dyDescent="0.2">
      <c r="A197" s="27"/>
      <c r="B197" s="27"/>
      <c r="C197" s="27"/>
      <c r="D197" s="27"/>
      <c r="E197" s="27"/>
      <c r="F197" s="27"/>
      <c r="G197" s="27"/>
    </row>
    <row r="198" spans="1:7" x14ac:dyDescent="0.2">
      <c r="A198" s="27"/>
      <c r="B198" s="27"/>
      <c r="C198" s="27"/>
      <c r="D198" s="27"/>
      <c r="E198" s="27"/>
      <c r="F198" s="27"/>
      <c r="G198" s="27"/>
    </row>
    <row r="199" spans="1:7" x14ac:dyDescent="0.2">
      <c r="A199" s="27"/>
      <c r="B199" s="27"/>
      <c r="C199" s="27"/>
      <c r="D199" s="27"/>
      <c r="E199" s="27"/>
      <c r="F199" s="27"/>
      <c r="G199" s="27"/>
    </row>
    <row r="201" spans="1:7" x14ac:dyDescent="0.2">
      <c r="A201" s="2" t="s">
        <v>1</v>
      </c>
      <c r="B201" s="2">
        <v>150000</v>
      </c>
    </row>
    <row r="202" spans="1:7" x14ac:dyDescent="0.2">
      <c r="A202" s="2" t="s">
        <v>2</v>
      </c>
      <c r="B202" s="2">
        <v>130000</v>
      </c>
    </row>
    <row r="203" spans="1:7" x14ac:dyDescent="0.2">
      <c r="A203" s="2" t="s">
        <v>7</v>
      </c>
      <c r="B203" s="2">
        <v>7.0000000000000007E-2</v>
      </c>
    </row>
    <row r="205" spans="1:7" x14ac:dyDescent="0.2">
      <c r="A205" s="4" t="s">
        <v>3</v>
      </c>
      <c r="B205" s="6">
        <f>(B201/B202-1)/B203</f>
        <v>2.1978021978021962</v>
      </c>
    </row>
    <row r="207" spans="1:7" x14ac:dyDescent="0.2">
      <c r="A207" s="26" t="s">
        <v>22</v>
      </c>
      <c r="B207" s="27"/>
      <c r="C207" s="27"/>
      <c r="D207" s="27"/>
      <c r="E207" s="27"/>
      <c r="F207" s="27"/>
      <c r="G207" s="27"/>
    </row>
    <row r="208" spans="1:7" x14ac:dyDescent="0.2">
      <c r="A208" s="27"/>
      <c r="B208" s="27"/>
      <c r="C208" s="27"/>
      <c r="D208" s="27"/>
      <c r="E208" s="27"/>
      <c r="F208" s="27"/>
      <c r="G208" s="27"/>
    </row>
    <row r="209" spans="1:7" x14ac:dyDescent="0.2">
      <c r="A209" s="27"/>
      <c r="B209" s="27"/>
      <c r="C209" s="27"/>
      <c r="D209" s="27"/>
      <c r="E209" s="27"/>
      <c r="F209" s="27"/>
      <c r="G209" s="27"/>
    </row>
    <row r="210" spans="1:7" x14ac:dyDescent="0.2">
      <c r="A210" s="27"/>
      <c r="B210" s="27"/>
      <c r="C210" s="27"/>
      <c r="D210" s="27"/>
      <c r="E210" s="27"/>
      <c r="F210" s="27"/>
      <c r="G210" s="27"/>
    </row>
    <row r="211" spans="1:7" x14ac:dyDescent="0.2">
      <c r="A211" s="27"/>
      <c r="B211" s="27"/>
      <c r="C211" s="27"/>
      <c r="D211" s="27"/>
      <c r="E211" s="27"/>
      <c r="F211" s="27"/>
      <c r="G211" s="27"/>
    </row>
    <row r="213" spans="1:7" x14ac:dyDescent="0.2">
      <c r="A213" s="2" t="s">
        <v>1</v>
      </c>
      <c r="B213" s="2">
        <v>450000</v>
      </c>
    </row>
    <row r="214" spans="1:7" x14ac:dyDescent="0.2">
      <c r="A214" s="2" t="s">
        <v>2</v>
      </c>
      <c r="B214" s="2">
        <v>200000</v>
      </c>
    </row>
    <row r="216" spans="1:7" x14ac:dyDescent="0.2">
      <c r="A216" s="2" t="s">
        <v>3</v>
      </c>
      <c r="B216" s="3">
        <v>3</v>
      </c>
    </row>
    <row r="218" spans="1:7" x14ac:dyDescent="0.2">
      <c r="A218" s="2" t="s">
        <v>6</v>
      </c>
      <c r="B218" s="3">
        <f>B213/B214 - 1</f>
        <v>1.25</v>
      </c>
    </row>
    <row r="220" spans="1:7" x14ac:dyDescent="0.2">
      <c r="A220" s="4" t="s">
        <v>7</v>
      </c>
      <c r="B220" s="5">
        <f>B218/B216 * 100</f>
        <v>41.666666666666671</v>
      </c>
    </row>
    <row r="222" spans="1:7" x14ac:dyDescent="0.2">
      <c r="A222" s="26" t="s">
        <v>23</v>
      </c>
      <c r="B222" s="27"/>
      <c r="C222" s="27"/>
      <c r="D222" s="27"/>
      <c r="E222" s="27"/>
      <c r="F222" s="27"/>
      <c r="G222" s="27"/>
    </row>
    <row r="223" spans="1:7" x14ac:dyDescent="0.2">
      <c r="A223" s="27"/>
      <c r="B223" s="27"/>
      <c r="C223" s="27"/>
      <c r="D223" s="27"/>
      <c r="E223" s="27"/>
      <c r="F223" s="27"/>
      <c r="G223" s="27"/>
    </row>
    <row r="224" spans="1:7" x14ac:dyDescent="0.2">
      <c r="A224" s="27"/>
      <c r="B224" s="27"/>
      <c r="C224" s="27"/>
      <c r="D224" s="27"/>
      <c r="E224" s="27"/>
      <c r="F224" s="27"/>
      <c r="G224" s="27"/>
    </row>
    <row r="225" spans="1:7" x14ac:dyDescent="0.2">
      <c r="A225" s="27"/>
      <c r="B225" s="27"/>
      <c r="C225" s="27"/>
      <c r="D225" s="27"/>
      <c r="E225" s="27"/>
      <c r="F225" s="27"/>
      <c r="G225" s="27"/>
    </row>
    <row r="226" spans="1:7" x14ac:dyDescent="0.2">
      <c r="A226" s="27"/>
      <c r="B226" s="27"/>
      <c r="C226" s="27"/>
      <c r="D226" s="27"/>
      <c r="E226" s="27"/>
      <c r="F226" s="27"/>
      <c r="G226" s="27"/>
    </row>
    <row r="228" spans="1:7" x14ac:dyDescent="0.2">
      <c r="A228" s="2" t="s">
        <v>7</v>
      </c>
      <c r="B228" s="2">
        <v>0.1</v>
      </c>
    </row>
    <row r="229" spans="1:7" x14ac:dyDescent="0.2">
      <c r="A229" s="2" t="s">
        <v>30</v>
      </c>
      <c r="B229" s="2">
        <v>2000</v>
      </c>
    </row>
    <row r="230" spans="1:7" x14ac:dyDescent="0.2">
      <c r="A230" s="2" t="s">
        <v>3</v>
      </c>
      <c r="B230" s="2">
        <v>1</v>
      </c>
    </row>
    <row r="231" spans="1:7" x14ac:dyDescent="0.2">
      <c r="A231" s="2" t="s">
        <v>55</v>
      </c>
      <c r="B231" s="2">
        <f>(1+(B230)*B228)</f>
        <v>1.1000000000000001</v>
      </c>
    </row>
    <row r="232" spans="1:7" x14ac:dyDescent="0.2">
      <c r="A232" s="4" t="s">
        <v>2</v>
      </c>
      <c r="B232" s="4">
        <f>B229/B231</f>
        <v>1818.181818181818</v>
      </c>
    </row>
    <row r="234" spans="1:7" x14ac:dyDescent="0.2">
      <c r="A234" s="26" t="s">
        <v>24</v>
      </c>
      <c r="B234" s="27"/>
      <c r="C234" s="27"/>
      <c r="D234" s="27"/>
      <c r="E234" s="27"/>
      <c r="F234" s="27"/>
      <c r="G234" s="27"/>
    </row>
    <row r="235" spans="1:7" x14ac:dyDescent="0.2">
      <c r="A235" s="27"/>
      <c r="B235" s="27"/>
      <c r="C235" s="27"/>
      <c r="D235" s="27"/>
      <c r="E235" s="27"/>
      <c r="F235" s="27"/>
      <c r="G235" s="27"/>
    </row>
    <row r="236" spans="1:7" x14ac:dyDescent="0.2">
      <c r="A236" s="27"/>
      <c r="B236" s="27"/>
      <c r="C236" s="27"/>
      <c r="D236" s="27"/>
      <c r="E236" s="27"/>
      <c r="F236" s="27"/>
      <c r="G236" s="27"/>
    </row>
    <row r="237" spans="1:7" x14ac:dyDescent="0.2">
      <c r="A237" s="27"/>
      <c r="B237" s="27"/>
      <c r="C237" s="27"/>
      <c r="D237" s="27"/>
      <c r="E237" s="27"/>
      <c r="F237" s="27"/>
      <c r="G237" s="27"/>
    </row>
    <row r="238" spans="1:7" x14ac:dyDescent="0.2">
      <c r="A238" s="27"/>
      <c r="B238" s="27"/>
      <c r="C238" s="27"/>
      <c r="D238" s="27"/>
      <c r="E238" s="27"/>
      <c r="F238" s="27"/>
      <c r="G238" s="27"/>
    </row>
    <row r="241" spans="1:7" x14ac:dyDescent="0.2">
      <c r="A241" s="2" t="s">
        <v>7</v>
      </c>
      <c r="B241" s="2">
        <v>0.05</v>
      </c>
    </row>
    <row r="242" spans="1:7" x14ac:dyDescent="0.2">
      <c r="A242" s="2" t="s">
        <v>30</v>
      </c>
      <c r="B242" s="2">
        <v>2500</v>
      </c>
    </row>
    <row r="243" spans="1:7" x14ac:dyDescent="0.2">
      <c r="A243" s="2" t="s">
        <v>3</v>
      </c>
      <c r="B243" s="2">
        <v>10</v>
      </c>
    </row>
    <row r="244" spans="1:7" x14ac:dyDescent="0.2">
      <c r="A244" s="2" t="s">
        <v>55</v>
      </c>
      <c r="B244" s="2">
        <f>(1+(B243)*B241)</f>
        <v>1.5</v>
      </c>
    </row>
    <row r="245" spans="1:7" x14ac:dyDescent="0.2">
      <c r="A245" s="4" t="s">
        <v>2</v>
      </c>
      <c r="B245" s="4">
        <f>B242/B244</f>
        <v>1666.6666666666667</v>
      </c>
    </row>
    <row r="247" spans="1:7" x14ac:dyDescent="0.2">
      <c r="A247" s="28" t="s">
        <v>25</v>
      </c>
      <c r="B247" s="29"/>
      <c r="C247" s="29"/>
      <c r="D247" s="29"/>
      <c r="E247" s="29"/>
      <c r="F247" s="29"/>
      <c r="G247" s="29"/>
    </row>
    <row r="248" spans="1:7" x14ac:dyDescent="0.2">
      <c r="A248" s="29"/>
      <c r="B248" s="29"/>
      <c r="C248" s="29"/>
      <c r="D248" s="29"/>
      <c r="E248" s="29"/>
      <c r="F248" s="29"/>
      <c r="G248" s="29"/>
    </row>
    <row r="249" spans="1:7" x14ac:dyDescent="0.2">
      <c r="A249" s="29"/>
      <c r="B249" s="29"/>
      <c r="C249" s="29"/>
      <c r="D249" s="29"/>
      <c r="E249" s="29"/>
      <c r="F249" s="29"/>
      <c r="G249" s="29"/>
    </row>
    <row r="250" spans="1:7" x14ac:dyDescent="0.2">
      <c r="A250" s="29"/>
      <c r="B250" s="29"/>
      <c r="C250" s="29"/>
      <c r="D250" s="29"/>
      <c r="E250" s="29"/>
      <c r="F250" s="29"/>
      <c r="G250" s="29"/>
    </row>
    <row r="252" spans="1:7" x14ac:dyDescent="0.2">
      <c r="A252" s="2" t="s">
        <v>7</v>
      </c>
      <c r="B252" s="2">
        <v>0.04</v>
      </c>
    </row>
    <row r="253" spans="1:7" x14ac:dyDescent="0.2">
      <c r="A253" s="2" t="s">
        <v>30</v>
      </c>
      <c r="B253" s="2">
        <v>15000</v>
      </c>
    </row>
    <row r="254" spans="1:7" x14ac:dyDescent="0.2">
      <c r="A254" s="2" t="s">
        <v>3</v>
      </c>
      <c r="B254" s="2">
        <v>1</v>
      </c>
    </row>
    <row r="255" spans="1:7" x14ac:dyDescent="0.2">
      <c r="A255" s="2" t="s">
        <v>55</v>
      </c>
      <c r="B255" s="2">
        <f>(1+(B254)*B252)</f>
        <v>1.04</v>
      </c>
    </row>
    <row r="256" spans="1:7" x14ac:dyDescent="0.2">
      <c r="A256" s="4" t="s">
        <v>2</v>
      </c>
      <c r="B256" s="4">
        <f>B253/B255</f>
        <v>14423.076923076922</v>
      </c>
    </row>
    <row r="258" spans="1:7" x14ac:dyDescent="0.2">
      <c r="A258" s="28" t="s">
        <v>26</v>
      </c>
      <c r="B258" s="29"/>
      <c r="C258" s="29"/>
      <c r="D258" s="29"/>
      <c r="E258" s="29"/>
      <c r="F258" s="29"/>
      <c r="G258" s="29"/>
    </row>
    <row r="259" spans="1:7" x14ac:dyDescent="0.2">
      <c r="A259" s="29"/>
      <c r="B259" s="29"/>
      <c r="C259" s="29"/>
      <c r="D259" s="29"/>
      <c r="E259" s="29"/>
      <c r="F259" s="29"/>
      <c r="G259" s="29"/>
    </row>
    <row r="260" spans="1:7" x14ac:dyDescent="0.2">
      <c r="A260" s="29"/>
      <c r="B260" s="29"/>
      <c r="C260" s="29"/>
      <c r="D260" s="29"/>
      <c r="E260" s="29"/>
      <c r="F260" s="29"/>
      <c r="G260" s="29"/>
    </row>
    <row r="261" spans="1:7" x14ac:dyDescent="0.2">
      <c r="A261" s="29"/>
      <c r="B261" s="29"/>
      <c r="C261" s="29"/>
      <c r="D261" s="29"/>
      <c r="E261" s="29"/>
      <c r="F261" s="29"/>
      <c r="G261" s="29"/>
    </row>
    <row r="263" spans="1:7" x14ac:dyDescent="0.2">
      <c r="A263" s="2" t="s">
        <v>7</v>
      </c>
      <c r="B263" s="2">
        <v>0.08</v>
      </c>
    </row>
    <row r="264" spans="1:7" x14ac:dyDescent="0.2">
      <c r="A264" s="2" t="s">
        <v>30</v>
      </c>
      <c r="B264" s="2">
        <v>2500</v>
      </c>
    </row>
    <row r="265" spans="1:7" x14ac:dyDescent="0.2">
      <c r="A265" s="2" t="s">
        <v>55</v>
      </c>
      <c r="B265" s="2">
        <f>(1+(7/12)*B263)</f>
        <v>1.0466666666666666</v>
      </c>
    </row>
    <row r="267" spans="1:7" x14ac:dyDescent="0.2">
      <c r="A267" s="4" t="s">
        <v>2</v>
      </c>
      <c r="B267" s="4">
        <f>B264/B265</f>
        <v>2388.5350318471337</v>
      </c>
    </row>
    <row r="269" spans="1:7" x14ac:dyDescent="0.2">
      <c r="A269" s="26" t="s">
        <v>27</v>
      </c>
      <c r="B269" s="27"/>
      <c r="C269" s="27"/>
      <c r="D269" s="27"/>
      <c r="E269" s="27"/>
      <c r="F269" s="27"/>
      <c r="G269" s="27"/>
    </row>
    <row r="270" spans="1:7" x14ac:dyDescent="0.2">
      <c r="A270" s="27"/>
      <c r="B270" s="27"/>
      <c r="C270" s="27"/>
      <c r="D270" s="27"/>
      <c r="E270" s="27"/>
      <c r="F270" s="27"/>
      <c r="G270" s="27"/>
    </row>
    <row r="271" spans="1:7" x14ac:dyDescent="0.2">
      <c r="A271" s="27"/>
      <c r="B271" s="27"/>
      <c r="C271" s="27"/>
      <c r="D271" s="27"/>
      <c r="E271" s="27"/>
      <c r="F271" s="27"/>
      <c r="G271" s="27"/>
    </row>
    <row r="272" spans="1:7" x14ac:dyDescent="0.2">
      <c r="A272" s="27"/>
      <c r="B272" s="27"/>
      <c r="C272" s="27"/>
      <c r="D272" s="27"/>
      <c r="E272" s="27"/>
      <c r="F272" s="27"/>
      <c r="G272" s="27"/>
    </row>
    <row r="273" spans="1:7" x14ac:dyDescent="0.2">
      <c r="A273" s="27"/>
      <c r="B273" s="27"/>
      <c r="C273" s="27"/>
      <c r="D273" s="27"/>
      <c r="E273" s="27"/>
      <c r="F273" s="27"/>
      <c r="G273" s="27"/>
    </row>
    <row r="275" spans="1:7" x14ac:dyDescent="0.2">
      <c r="A275" s="2" t="s">
        <v>7</v>
      </c>
      <c r="B275" s="2">
        <v>0.1</v>
      </c>
    </row>
    <row r="276" spans="1:7" x14ac:dyDescent="0.2">
      <c r="A276" s="2" t="s">
        <v>30</v>
      </c>
      <c r="B276" s="2">
        <v>2500</v>
      </c>
    </row>
    <row r="277" spans="1:7" x14ac:dyDescent="0.2">
      <c r="A277" s="2" t="s">
        <v>3</v>
      </c>
      <c r="B277" s="2">
        <f>20/365</f>
        <v>5.4794520547945202E-2</v>
      </c>
    </row>
    <row r="278" spans="1:7" x14ac:dyDescent="0.2">
      <c r="A278" s="8" t="s">
        <v>55</v>
      </c>
      <c r="B278" s="8">
        <f>1+B277*B275</f>
        <v>1.0054794520547945</v>
      </c>
    </row>
    <row r="279" spans="1:7" x14ac:dyDescent="0.2">
      <c r="A279" s="4" t="s">
        <v>2</v>
      </c>
      <c r="B279" s="4">
        <f>B276/B278</f>
        <v>2486.3760217983654</v>
      </c>
    </row>
  </sheetData>
  <mergeCells count="20">
    <mergeCell ref="A1:G5"/>
    <mergeCell ref="A18:G22"/>
    <mergeCell ref="A31:G35"/>
    <mergeCell ref="A51:G55"/>
    <mergeCell ref="A68:G71"/>
    <mergeCell ref="A152:G156"/>
    <mergeCell ref="A169:G173"/>
    <mergeCell ref="A184:G187"/>
    <mergeCell ref="A195:G199"/>
    <mergeCell ref="A207:G211"/>
    <mergeCell ref="A79:G83"/>
    <mergeCell ref="A95:G99"/>
    <mergeCell ref="A107:G110"/>
    <mergeCell ref="A118:G122"/>
    <mergeCell ref="A133:G137"/>
    <mergeCell ref="A222:G226"/>
    <mergeCell ref="A234:G238"/>
    <mergeCell ref="A247:G250"/>
    <mergeCell ref="A258:G261"/>
    <mergeCell ref="A269:G27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17AA-8B84-1045-AB2E-8E69B91518CB}">
  <dimension ref="A1:I228"/>
  <sheetViews>
    <sheetView topLeftCell="A125" workbookViewId="0">
      <selection activeCell="B150" sqref="B150"/>
    </sheetView>
  </sheetViews>
  <sheetFormatPr baseColWidth="10" defaultColWidth="8.83203125" defaultRowHeight="16" x14ac:dyDescent="0.2"/>
  <cols>
    <col min="1" max="1" width="8.83203125" style="1"/>
    <col min="2" max="2" width="9.5" style="1" bestFit="1" customWidth="1"/>
    <col min="3" max="9" width="8.83203125" style="1"/>
    <col min="10" max="10" width="10.33203125" style="1" bestFit="1" customWidth="1"/>
    <col min="11" max="16384" width="8.83203125" style="1"/>
  </cols>
  <sheetData>
    <row r="1" spans="1:8" x14ac:dyDescent="0.2">
      <c r="A1" s="31" t="s">
        <v>257</v>
      </c>
      <c r="B1" s="31"/>
      <c r="C1" s="31"/>
      <c r="D1" s="31"/>
      <c r="E1" s="31"/>
      <c r="F1" s="31"/>
      <c r="G1" s="31"/>
      <c r="H1" s="31"/>
    </row>
    <row r="2" spans="1:8" x14ac:dyDescent="0.2">
      <c r="A2" s="31"/>
      <c r="B2" s="31"/>
      <c r="C2" s="31"/>
      <c r="D2" s="31"/>
      <c r="E2" s="31"/>
      <c r="F2" s="31"/>
      <c r="G2" s="31"/>
      <c r="H2" s="31"/>
    </row>
    <row r="3" spans="1:8" x14ac:dyDescent="0.2">
      <c r="A3" s="31"/>
      <c r="B3" s="31"/>
      <c r="C3" s="31"/>
      <c r="D3" s="31"/>
      <c r="E3" s="31"/>
      <c r="F3" s="31"/>
      <c r="G3" s="31"/>
      <c r="H3" s="31"/>
    </row>
    <row r="4" spans="1:8" x14ac:dyDescent="0.2">
      <c r="A4" s="31"/>
      <c r="B4" s="31"/>
      <c r="C4" s="31"/>
      <c r="D4" s="31"/>
      <c r="E4" s="31"/>
      <c r="F4" s="31"/>
      <c r="G4" s="31"/>
      <c r="H4" s="31"/>
    </row>
    <row r="5" spans="1:8" x14ac:dyDescent="0.2">
      <c r="A5" s="31"/>
      <c r="B5" s="31"/>
      <c r="C5" s="31"/>
      <c r="D5" s="31"/>
      <c r="E5" s="31"/>
      <c r="F5" s="31"/>
      <c r="G5" s="31"/>
      <c r="H5" s="31"/>
    </row>
    <row r="6" spans="1:8" x14ac:dyDescent="0.2">
      <c r="A6" s="2" t="s">
        <v>56</v>
      </c>
      <c r="B6" s="2">
        <v>0.11</v>
      </c>
    </row>
    <row r="7" spans="1:8" x14ac:dyDescent="0.2">
      <c r="A7" s="2" t="s">
        <v>260</v>
      </c>
      <c r="B7" s="2">
        <v>1000</v>
      </c>
    </row>
    <row r="8" spans="1:8" x14ac:dyDescent="0.2">
      <c r="A8" s="2" t="s">
        <v>5</v>
      </c>
      <c r="B8" s="2">
        <v>2</v>
      </c>
    </row>
    <row r="9" spans="1:8" x14ac:dyDescent="0.2">
      <c r="A9" s="2" t="s">
        <v>235</v>
      </c>
      <c r="B9" s="1">
        <v>0.08</v>
      </c>
    </row>
    <row r="10" spans="1:8" x14ac:dyDescent="0.2">
      <c r="A10" s="13"/>
    </row>
    <row r="11" spans="1:8" x14ac:dyDescent="0.2">
      <c r="A11" s="4" t="s">
        <v>261</v>
      </c>
      <c r="B11" s="4">
        <f>B6*B7*((1-(1+B9)^-B8)/B9)+B7*(1+B9)^-B8</f>
        <v>1053.4979423868313</v>
      </c>
    </row>
    <row r="12" spans="1:8" x14ac:dyDescent="0.2">
      <c r="A12" s="32" t="s">
        <v>263</v>
      </c>
      <c r="B12" s="32"/>
      <c r="C12" s="32"/>
      <c r="D12" s="32"/>
      <c r="E12" s="32"/>
      <c r="F12" s="32"/>
      <c r="G12" s="32"/>
      <c r="H12" s="32"/>
    </row>
    <row r="13" spans="1:8" x14ac:dyDescent="0.2">
      <c r="A13" s="32"/>
      <c r="B13" s="32"/>
      <c r="C13" s="32"/>
      <c r="D13" s="32"/>
      <c r="E13" s="32"/>
      <c r="F13" s="32"/>
      <c r="G13" s="32"/>
      <c r="H13" s="32"/>
    </row>
    <row r="14" spans="1:8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32"/>
      <c r="B15" s="32"/>
      <c r="C15" s="32"/>
      <c r="D15" s="32"/>
      <c r="E15" s="32"/>
      <c r="F15" s="32"/>
      <c r="G15" s="32"/>
      <c r="H15" s="32"/>
    </row>
    <row r="16" spans="1:8" x14ac:dyDescent="0.2">
      <c r="A16" s="32"/>
      <c r="B16" s="32"/>
      <c r="C16" s="32"/>
      <c r="D16" s="32"/>
      <c r="E16" s="32"/>
      <c r="F16" s="32"/>
      <c r="G16" s="32"/>
      <c r="H16" s="32"/>
    </row>
    <row r="17" spans="1:8" x14ac:dyDescent="0.2">
      <c r="A17" s="2" t="s">
        <v>56</v>
      </c>
      <c r="B17" s="2">
        <v>0.1</v>
      </c>
    </row>
    <row r="18" spans="1:8" x14ac:dyDescent="0.2">
      <c r="A18" s="2" t="s">
        <v>260</v>
      </c>
      <c r="B18" s="2">
        <v>1000</v>
      </c>
    </row>
    <row r="19" spans="1:8" x14ac:dyDescent="0.2">
      <c r="A19" s="2" t="s">
        <v>5</v>
      </c>
      <c r="B19" s="2">
        <v>2</v>
      </c>
    </row>
    <row r="20" spans="1:8" x14ac:dyDescent="0.2">
      <c r="A20" s="2" t="s">
        <v>235</v>
      </c>
      <c r="B20" s="1">
        <v>0.12</v>
      </c>
    </row>
    <row r="21" spans="1:8" x14ac:dyDescent="0.2">
      <c r="A21" s="13"/>
    </row>
    <row r="22" spans="1:8" x14ac:dyDescent="0.2">
      <c r="A22" s="4" t="s">
        <v>261</v>
      </c>
      <c r="B22" s="4">
        <f>B17*B18*((1-(1+B20)^-B19)/B20)+B18*(1+B20)^-B19</f>
        <v>966.19897959183675</v>
      </c>
    </row>
    <row r="24" spans="1:8" x14ac:dyDescent="0.2">
      <c r="A24" s="32" t="s">
        <v>265</v>
      </c>
      <c r="B24" s="32"/>
      <c r="C24" s="32"/>
      <c r="D24" s="32"/>
      <c r="E24" s="32"/>
      <c r="F24" s="32"/>
      <c r="G24" s="32"/>
      <c r="H24" s="32"/>
    </row>
    <row r="25" spans="1:8" x14ac:dyDescent="0.2">
      <c r="A25" s="32"/>
      <c r="B25" s="32"/>
      <c r="C25" s="32"/>
      <c r="D25" s="32"/>
      <c r="E25" s="32"/>
      <c r="F25" s="32"/>
      <c r="G25" s="32"/>
      <c r="H25" s="32"/>
    </row>
    <row r="26" spans="1:8" x14ac:dyDescent="0.2">
      <c r="A26" s="32"/>
      <c r="B26" s="32"/>
      <c r="C26" s="32"/>
      <c r="D26" s="32"/>
      <c r="E26" s="32"/>
      <c r="F26" s="32"/>
      <c r="G26" s="32"/>
      <c r="H26" s="32"/>
    </row>
    <row r="27" spans="1:8" x14ac:dyDescent="0.2">
      <c r="A27" s="32"/>
      <c r="B27" s="32"/>
      <c r="C27" s="32"/>
      <c r="D27" s="32"/>
      <c r="E27" s="32"/>
      <c r="F27" s="32"/>
      <c r="G27" s="32"/>
      <c r="H27" s="32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2" t="s">
        <v>56</v>
      </c>
      <c r="B29" s="2">
        <v>0.1</v>
      </c>
    </row>
    <row r="30" spans="1:8" x14ac:dyDescent="0.2">
      <c r="A30" s="2" t="s">
        <v>260</v>
      </c>
      <c r="B30" s="2">
        <v>1000</v>
      </c>
    </row>
    <row r="31" spans="1:8" x14ac:dyDescent="0.2">
      <c r="A31" s="2" t="s">
        <v>5</v>
      </c>
      <c r="B31" s="2">
        <v>2</v>
      </c>
    </row>
    <row r="32" spans="1:8" x14ac:dyDescent="0.2">
      <c r="A32" s="2" t="s">
        <v>235</v>
      </c>
      <c r="B32" s="1">
        <v>0.1</v>
      </c>
    </row>
    <row r="33" spans="1:8" x14ac:dyDescent="0.2">
      <c r="A33" s="13"/>
    </row>
    <row r="34" spans="1:8" x14ac:dyDescent="0.2">
      <c r="A34" s="4" t="s">
        <v>261</v>
      </c>
      <c r="B34" s="4">
        <f>B29*B30*((1-(1+B32)^-B31)/B32)+B30*(1+B32)^-B31</f>
        <v>1000</v>
      </c>
    </row>
    <row r="35" spans="1:8" x14ac:dyDescent="0.2">
      <c r="A35" s="32" t="s">
        <v>267</v>
      </c>
      <c r="B35" s="32"/>
      <c r="C35" s="32"/>
      <c r="D35" s="32"/>
      <c r="E35" s="32"/>
      <c r="F35" s="32"/>
      <c r="G35" s="32"/>
      <c r="H35" s="32"/>
    </row>
    <row r="36" spans="1:8" x14ac:dyDescent="0.2">
      <c r="A36" s="32"/>
      <c r="B36" s="32"/>
      <c r="C36" s="32"/>
      <c r="D36" s="32"/>
      <c r="E36" s="32"/>
      <c r="F36" s="32"/>
      <c r="G36" s="32"/>
      <c r="H36" s="32"/>
    </row>
    <row r="37" spans="1:8" x14ac:dyDescent="0.2">
      <c r="A37" s="32"/>
      <c r="B37" s="32"/>
      <c r="C37" s="32"/>
      <c r="D37" s="32"/>
      <c r="E37" s="32"/>
      <c r="F37" s="32"/>
      <c r="G37" s="32"/>
      <c r="H37" s="32"/>
    </row>
    <row r="38" spans="1:8" x14ac:dyDescent="0.2">
      <c r="A38" s="32"/>
      <c r="B38" s="32"/>
      <c r="C38" s="32"/>
      <c r="D38" s="32"/>
      <c r="E38" s="32"/>
      <c r="F38" s="32"/>
      <c r="G38" s="32"/>
      <c r="H38" s="32"/>
    </row>
    <row r="39" spans="1:8" x14ac:dyDescent="0.2">
      <c r="A39" s="32"/>
      <c r="B39" s="32"/>
      <c r="C39" s="32"/>
      <c r="D39" s="32"/>
      <c r="E39" s="32"/>
      <c r="F39" s="32"/>
      <c r="G39" s="32"/>
      <c r="H39" s="32"/>
    </row>
    <row r="40" spans="1:8" x14ac:dyDescent="0.2">
      <c r="A40" s="2" t="s">
        <v>56</v>
      </c>
      <c r="B40" s="2">
        <v>0.15</v>
      </c>
    </row>
    <row r="41" spans="1:8" x14ac:dyDescent="0.2">
      <c r="A41" s="2" t="s">
        <v>260</v>
      </c>
      <c r="B41" s="2">
        <v>2000</v>
      </c>
    </row>
    <row r="42" spans="1:8" x14ac:dyDescent="0.2">
      <c r="A42" s="2" t="s">
        <v>5</v>
      </c>
      <c r="B42" s="2">
        <v>5</v>
      </c>
    </row>
    <row r="43" spans="1:8" x14ac:dyDescent="0.2">
      <c r="A43" s="2" t="s">
        <v>235</v>
      </c>
      <c r="B43" s="1">
        <v>0.1</v>
      </c>
    </row>
    <row r="44" spans="1:8" x14ac:dyDescent="0.2">
      <c r="A44" s="13"/>
    </row>
    <row r="45" spans="1:8" x14ac:dyDescent="0.2">
      <c r="A45" s="4" t="s">
        <v>262</v>
      </c>
      <c r="B45" s="4">
        <f>B40*B41*((1-(1+B43)^-B42)/B43)+B41*(1+B43)^-B42</f>
        <v>2379.0786769408451</v>
      </c>
    </row>
    <row r="46" spans="1:8" x14ac:dyDescent="0.2">
      <c r="A46" s="32" t="s">
        <v>270</v>
      </c>
      <c r="B46" s="32"/>
      <c r="C46" s="32"/>
      <c r="D46" s="32"/>
      <c r="E46" s="32"/>
      <c r="F46" s="32"/>
      <c r="G46" s="32"/>
      <c r="H46" s="32"/>
    </row>
    <row r="47" spans="1:8" x14ac:dyDescent="0.2">
      <c r="A47" s="32"/>
      <c r="B47" s="32"/>
      <c r="C47" s="32"/>
      <c r="D47" s="32"/>
      <c r="E47" s="32"/>
      <c r="F47" s="32"/>
      <c r="G47" s="32"/>
      <c r="H47" s="32"/>
    </row>
    <row r="48" spans="1:8" x14ac:dyDescent="0.2">
      <c r="A48" s="32"/>
      <c r="B48" s="32"/>
      <c r="C48" s="32"/>
      <c r="D48" s="32"/>
      <c r="E48" s="32"/>
      <c r="F48" s="32"/>
      <c r="G48" s="32"/>
      <c r="H48" s="32"/>
    </row>
    <row r="49" spans="1:8" x14ac:dyDescent="0.2">
      <c r="A49" s="32"/>
      <c r="B49" s="32"/>
      <c r="C49" s="32"/>
      <c r="D49" s="32"/>
      <c r="E49" s="32"/>
      <c r="F49" s="32"/>
      <c r="G49" s="32"/>
      <c r="H49" s="32"/>
    </row>
    <row r="50" spans="1:8" x14ac:dyDescent="0.2">
      <c r="A50" s="32"/>
      <c r="B50" s="32"/>
      <c r="C50" s="32"/>
      <c r="D50" s="32"/>
      <c r="E50" s="32"/>
      <c r="F50" s="32"/>
      <c r="G50" s="32"/>
      <c r="H50" s="32"/>
    </row>
    <row r="51" spans="1:8" x14ac:dyDescent="0.2">
      <c r="A51" s="2" t="s">
        <v>56</v>
      </c>
      <c r="B51" s="2">
        <v>0.12</v>
      </c>
    </row>
    <row r="52" spans="1:8" x14ac:dyDescent="0.2">
      <c r="A52" s="2" t="s">
        <v>260</v>
      </c>
      <c r="B52" s="2">
        <v>3500</v>
      </c>
    </row>
    <row r="53" spans="1:8" x14ac:dyDescent="0.2">
      <c r="A53" s="2" t="s">
        <v>5</v>
      </c>
      <c r="B53" s="2">
        <v>5</v>
      </c>
    </row>
    <row r="54" spans="1:8" x14ac:dyDescent="0.2">
      <c r="A54" s="2" t="s">
        <v>235</v>
      </c>
      <c r="B54" s="1">
        <v>0.09</v>
      </c>
    </row>
    <row r="55" spans="1:8" x14ac:dyDescent="0.2">
      <c r="A55" s="13"/>
    </row>
    <row r="56" spans="1:8" x14ac:dyDescent="0.2">
      <c r="A56" s="4" t="s">
        <v>262</v>
      </c>
      <c r="B56" s="4">
        <f>B51*B52*((1-(1+B54)^-B53)/B54)+B52*(1+B54)^-B53</f>
        <v>3908.413382651931</v>
      </c>
    </row>
    <row r="57" spans="1:8" x14ac:dyDescent="0.2">
      <c r="A57" s="32" t="s">
        <v>272</v>
      </c>
      <c r="B57" s="33"/>
      <c r="C57" s="33"/>
      <c r="D57" s="33"/>
      <c r="E57" s="33"/>
      <c r="F57" s="33"/>
      <c r="G57" s="33"/>
    </row>
    <row r="58" spans="1:8" x14ac:dyDescent="0.2">
      <c r="A58" s="33"/>
      <c r="B58" s="33"/>
      <c r="C58" s="33"/>
      <c r="D58" s="33"/>
      <c r="E58" s="33"/>
      <c r="F58" s="33"/>
      <c r="G58" s="33"/>
    </row>
    <row r="59" spans="1:8" x14ac:dyDescent="0.2">
      <c r="A59" s="33"/>
      <c r="B59" s="33"/>
      <c r="C59" s="33"/>
      <c r="D59" s="33"/>
      <c r="E59" s="33"/>
      <c r="F59" s="33"/>
      <c r="G59" s="33"/>
    </row>
    <row r="60" spans="1:8" x14ac:dyDescent="0.2">
      <c r="A60" s="33"/>
      <c r="B60" s="33"/>
      <c r="C60" s="33"/>
      <c r="D60" s="33"/>
      <c r="E60" s="33"/>
      <c r="F60" s="33"/>
      <c r="G60" s="33"/>
    </row>
    <row r="61" spans="1:8" x14ac:dyDescent="0.2">
      <c r="A61" s="33"/>
      <c r="B61" s="33"/>
      <c r="C61" s="33"/>
      <c r="D61" s="33"/>
      <c r="E61" s="33"/>
      <c r="F61" s="33"/>
      <c r="G61" s="33"/>
    </row>
    <row r="62" spans="1:8" x14ac:dyDescent="0.2">
      <c r="A62" s="2" t="s">
        <v>56</v>
      </c>
      <c r="B62" s="2">
        <v>0.12</v>
      </c>
    </row>
    <row r="63" spans="1:8" x14ac:dyDescent="0.2">
      <c r="A63" s="2" t="s">
        <v>260</v>
      </c>
      <c r="B63" s="2">
        <v>2500</v>
      </c>
    </row>
    <row r="64" spans="1:8" x14ac:dyDescent="0.2">
      <c r="A64" s="2" t="s">
        <v>5</v>
      </c>
      <c r="B64" s="2">
        <v>5</v>
      </c>
    </row>
    <row r="65" spans="1:8" x14ac:dyDescent="0.2">
      <c r="A65" s="2" t="s">
        <v>235</v>
      </c>
      <c r="B65" s="1">
        <v>0.12</v>
      </c>
    </row>
    <row r="66" spans="1:8" x14ac:dyDescent="0.2">
      <c r="A66" s="13"/>
    </row>
    <row r="67" spans="1:8" x14ac:dyDescent="0.2">
      <c r="A67" s="4" t="s">
        <v>262</v>
      </c>
      <c r="B67" s="4">
        <f>B62*B63*((1-(1+B65)^-B64)/B65)+B63*(1+B65)^-B64</f>
        <v>2500</v>
      </c>
    </row>
    <row r="68" spans="1:8" x14ac:dyDescent="0.2">
      <c r="A68" s="32" t="s">
        <v>274</v>
      </c>
      <c r="B68" s="32"/>
      <c r="C68" s="32"/>
      <c r="D68" s="32"/>
      <c r="E68" s="32"/>
      <c r="F68" s="32"/>
      <c r="G68" s="32"/>
      <c r="H68" s="32"/>
    </row>
    <row r="69" spans="1:8" x14ac:dyDescent="0.2">
      <c r="A69" s="32"/>
      <c r="B69" s="32"/>
      <c r="C69" s="32"/>
      <c r="D69" s="32"/>
      <c r="E69" s="32"/>
      <c r="F69" s="32"/>
      <c r="G69" s="32"/>
      <c r="H69" s="32"/>
    </row>
    <row r="70" spans="1:8" x14ac:dyDescent="0.2">
      <c r="A70" s="32"/>
      <c r="B70" s="32"/>
      <c r="C70" s="32"/>
      <c r="D70" s="32"/>
      <c r="E70" s="32"/>
      <c r="F70" s="32"/>
      <c r="G70" s="32"/>
      <c r="H70" s="32"/>
    </row>
    <row r="71" spans="1:8" x14ac:dyDescent="0.2">
      <c r="A71" s="32"/>
      <c r="B71" s="32"/>
      <c r="C71" s="32"/>
      <c r="D71" s="32"/>
      <c r="E71" s="32"/>
      <c r="F71" s="32"/>
      <c r="G71" s="32"/>
      <c r="H71" s="32"/>
    </row>
    <row r="72" spans="1:8" x14ac:dyDescent="0.2">
      <c r="A72" s="32"/>
      <c r="B72" s="32"/>
      <c r="C72" s="32"/>
      <c r="D72" s="32"/>
      <c r="E72" s="32"/>
      <c r="F72" s="32"/>
      <c r="G72" s="32"/>
      <c r="H72" s="32"/>
    </row>
    <row r="73" spans="1:8" x14ac:dyDescent="0.2">
      <c r="A73" s="2" t="s">
        <v>56</v>
      </c>
      <c r="B73" s="2">
        <v>0.12</v>
      </c>
    </row>
    <row r="74" spans="1:8" x14ac:dyDescent="0.2">
      <c r="A74" s="2" t="s">
        <v>260</v>
      </c>
      <c r="B74" s="2">
        <v>2500</v>
      </c>
    </row>
    <row r="75" spans="1:8" x14ac:dyDescent="0.2">
      <c r="A75" s="2" t="s">
        <v>5</v>
      </c>
      <c r="B75" s="2">
        <v>5</v>
      </c>
    </row>
    <row r="76" spans="1:8" x14ac:dyDescent="0.2">
      <c r="A76" s="2" t="s">
        <v>235</v>
      </c>
      <c r="B76" s="1">
        <v>0.13</v>
      </c>
    </row>
    <row r="77" spans="1:8" x14ac:dyDescent="0.2">
      <c r="A77" s="13"/>
    </row>
    <row r="78" spans="1:8" x14ac:dyDescent="0.2">
      <c r="A78" s="4" t="s">
        <v>262</v>
      </c>
      <c r="B78" s="4">
        <f>B73*B74*((1-(1+B76)^-B75)/B76)+B74*(1+B76)^-B75</f>
        <v>2412.0692184614322</v>
      </c>
    </row>
    <row r="79" spans="1:8" x14ac:dyDescent="0.2">
      <c r="A79" s="34" t="s">
        <v>276</v>
      </c>
      <c r="B79" s="34"/>
      <c r="C79" s="34"/>
      <c r="D79" s="34"/>
      <c r="E79" s="34"/>
      <c r="F79" s="34"/>
      <c r="G79" s="34"/>
      <c r="H79" s="34"/>
    </row>
    <row r="80" spans="1:8" x14ac:dyDescent="0.2">
      <c r="A80" s="34"/>
      <c r="B80" s="34"/>
      <c r="C80" s="34"/>
      <c r="D80" s="34"/>
      <c r="E80" s="34"/>
      <c r="F80" s="34"/>
      <c r="G80" s="34"/>
      <c r="H80" s="34"/>
    </row>
    <row r="81" spans="1:8" x14ac:dyDescent="0.2">
      <c r="A81" s="34"/>
      <c r="B81" s="34"/>
      <c r="C81" s="34"/>
      <c r="D81" s="34"/>
      <c r="E81" s="34"/>
      <c r="F81" s="34"/>
      <c r="G81" s="34"/>
      <c r="H81" s="34"/>
    </row>
    <row r="82" spans="1:8" x14ac:dyDescent="0.2">
      <c r="A82" s="34"/>
      <c r="B82" s="34"/>
      <c r="C82" s="34"/>
      <c r="D82" s="34"/>
      <c r="E82" s="34"/>
      <c r="F82" s="34"/>
      <c r="G82" s="34"/>
      <c r="H82" s="34"/>
    </row>
    <row r="83" spans="1:8" x14ac:dyDescent="0.2">
      <c r="A83" s="34"/>
      <c r="B83" s="34"/>
      <c r="C83" s="34"/>
      <c r="D83" s="34"/>
      <c r="E83" s="34"/>
      <c r="F83" s="34"/>
      <c r="G83" s="34"/>
      <c r="H83" s="34"/>
    </row>
    <row r="84" spans="1:8" x14ac:dyDescent="0.2">
      <c r="A84" s="2" t="s">
        <v>259</v>
      </c>
      <c r="B84" s="2">
        <v>0.09</v>
      </c>
    </row>
    <row r="85" spans="1:8" x14ac:dyDescent="0.2">
      <c r="A85" s="2" t="s">
        <v>260</v>
      </c>
      <c r="B85" s="2">
        <v>2000</v>
      </c>
    </row>
    <row r="86" spans="1:8" x14ac:dyDescent="0.2">
      <c r="A86" s="2" t="s">
        <v>5</v>
      </c>
      <c r="B86" s="2">
        <v>8</v>
      </c>
    </row>
    <row r="87" spans="1:8" x14ac:dyDescent="0.2">
      <c r="A87" s="2" t="s">
        <v>262</v>
      </c>
      <c r="B87" s="1">
        <f>B85+B85*10%</f>
        <v>2200</v>
      </c>
    </row>
    <row r="88" spans="1:8" x14ac:dyDescent="0.2">
      <c r="A88" s="13" t="s">
        <v>29</v>
      </c>
      <c r="B88" s="1">
        <f>B87/B85</f>
        <v>1.1000000000000001</v>
      </c>
    </row>
    <row r="89" spans="1:8" x14ac:dyDescent="0.2">
      <c r="A89" s="4" t="s">
        <v>148</v>
      </c>
      <c r="B89" s="5">
        <f>(2*(B84*B86+1-B88))/(B88-1+B86*(1+B88))</f>
        <v>7.3372781065088738E-2</v>
      </c>
      <c r="C89" s="22"/>
    </row>
    <row r="90" spans="1:8" x14ac:dyDescent="0.2">
      <c r="A90" s="32" t="s">
        <v>278</v>
      </c>
      <c r="B90" s="32"/>
      <c r="C90" s="32"/>
      <c r="D90" s="32"/>
      <c r="E90" s="32"/>
      <c r="F90" s="32"/>
      <c r="G90" s="32"/>
      <c r="H90" s="32"/>
    </row>
    <row r="91" spans="1:8" x14ac:dyDescent="0.2">
      <c r="A91" s="32"/>
      <c r="B91" s="32"/>
      <c r="C91" s="32"/>
      <c r="D91" s="32"/>
      <c r="E91" s="32"/>
      <c r="F91" s="32"/>
      <c r="G91" s="32"/>
      <c r="H91" s="32"/>
    </row>
    <row r="92" spans="1:8" x14ac:dyDescent="0.2">
      <c r="A92" s="32"/>
      <c r="B92" s="32"/>
      <c r="C92" s="32"/>
      <c r="D92" s="32"/>
      <c r="E92" s="32"/>
      <c r="F92" s="32"/>
      <c r="G92" s="32"/>
      <c r="H92" s="32"/>
    </row>
    <row r="93" spans="1:8" x14ac:dyDescent="0.2">
      <c r="A93" s="32"/>
      <c r="B93" s="32"/>
      <c r="C93" s="32"/>
      <c r="D93" s="32"/>
      <c r="E93" s="32"/>
      <c r="F93" s="32"/>
      <c r="G93" s="32"/>
      <c r="H93" s="32"/>
    </row>
    <row r="94" spans="1:8" x14ac:dyDescent="0.2">
      <c r="A94" s="32"/>
      <c r="B94" s="32"/>
      <c r="C94" s="32"/>
      <c r="D94" s="32"/>
      <c r="E94" s="32"/>
      <c r="F94" s="32"/>
      <c r="G94" s="32"/>
      <c r="H94" s="32"/>
    </row>
    <row r="95" spans="1:8" x14ac:dyDescent="0.2">
      <c r="A95" s="2" t="s">
        <v>259</v>
      </c>
      <c r="B95" s="2">
        <v>0.09</v>
      </c>
    </row>
    <row r="96" spans="1:8" x14ac:dyDescent="0.2">
      <c r="A96" s="2" t="s">
        <v>260</v>
      </c>
      <c r="B96" s="2">
        <v>2000</v>
      </c>
    </row>
    <row r="97" spans="1:8" x14ac:dyDescent="0.2">
      <c r="A97" s="2" t="s">
        <v>5</v>
      </c>
      <c r="B97" s="2">
        <v>8</v>
      </c>
    </row>
    <row r="98" spans="1:8" x14ac:dyDescent="0.2">
      <c r="A98" s="2" t="s">
        <v>262</v>
      </c>
      <c r="B98" s="1">
        <f>B96-B96*5%</f>
        <v>1900</v>
      </c>
    </row>
    <row r="99" spans="1:8" x14ac:dyDescent="0.2">
      <c r="A99" s="13" t="s">
        <v>29</v>
      </c>
      <c r="B99" s="1">
        <f>B98/B96</f>
        <v>0.95</v>
      </c>
    </row>
    <row r="100" spans="1:8" x14ac:dyDescent="0.2">
      <c r="A100" s="4" t="s">
        <v>148</v>
      </c>
      <c r="B100" s="5">
        <f>(2*(B95*B97+1-B99))/(B99-1+B97*(1+B99))</f>
        <v>9.9035369774919627E-2</v>
      </c>
      <c r="C100" s="22"/>
    </row>
    <row r="101" spans="1:8" x14ac:dyDescent="0.2">
      <c r="A101" s="32" t="s">
        <v>280</v>
      </c>
      <c r="B101" s="32"/>
      <c r="C101" s="32"/>
      <c r="D101" s="32"/>
      <c r="E101" s="32"/>
      <c r="F101" s="32"/>
      <c r="G101" s="32"/>
      <c r="H101" s="32"/>
    </row>
    <row r="102" spans="1:8" x14ac:dyDescent="0.2">
      <c r="A102" s="32"/>
      <c r="B102" s="32"/>
      <c r="C102" s="32"/>
      <c r="D102" s="32"/>
      <c r="E102" s="32"/>
      <c r="F102" s="32"/>
      <c r="G102" s="32"/>
      <c r="H102" s="32"/>
    </row>
    <row r="103" spans="1:8" x14ac:dyDescent="0.2">
      <c r="A103" s="32"/>
      <c r="B103" s="32"/>
      <c r="C103" s="32"/>
      <c r="D103" s="32"/>
      <c r="E103" s="32"/>
      <c r="F103" s="32"/>
      <c r="G103" s="32"/>
      <c r="H103" s="32"/>
    </row>
    <row r="104" spans="1:8" x14ac:dyDescent="0.2">
      <c r="A104" s="32"/>
      <c r="B104" s="32"/>
      <c r="C104" s="32"/>
      <c r="D104" s="32"/>
      <c r="E104" s="32"/>
      <c r="F104" s="32"/>
      <c r="G104" s="32"/>
      <c r="H104" s="32"/>
    </row>
    <row r="105" spans="1:8" x14ac:dyDescent="0.2">
      <c r="A105" s="32"/>
      <c r="B105" s="32"/>
      <c r="C105" s="32"/>
      <c r="D105" s="32"/>
      <c r="E105" s="32"/>
      <c r="F105" s="32"/>
      <c r="G105" s="32"/>
      <c r="H105" s="32"/>
    </row>
    <row r="106" spans="1:8" x14ac:dyDescent="0.2">
      <c r="A106" s="2" t="s">
        <v>259</v>
      </c>
      <c r="B106" s="2">
        <f>50/C106/100</f>
        <v>0.05</v>
      </c>
      <c r="C106" s="1">
        <f>1000/100</f>
        <v>10</v>
      </c>
    </row>
    <row r="107" spans="1:8" x14ac:dyDescent="0.2">
      <c r="A107" s="2" t="s">
        <v>260</v>
      </c>
      <c r="B107" s="2">
        <v>1000</v>
      </c>
    </row>
    <row r="108" spans="1:8" x14ac:dyDescent="0.2">
      <c r="A108" s="2" t="s">
        <v>5</v>
      </c>
      <c r="B108" s="2">
        <v>5</v>
      </c>
    </row>
    <row r="109" spans="1:8" x14ac:dyDescent="0.2">
      <c r="A109" s="2" t="s">
        <v>262</v>
      </c>
      <c r="B109" s="1">
        <f>B107-B107*5%</f>
        <v>950</v>
      </c>
    </row>
    <row r="110" spans="1:8" x14ac:dyDescent="0.2">
      <c r="A110" s="13" t="s">
        <v>29</v>
      </c>
      <c r="B110" s="1">
        <f>B109/B107</f>
        <v>0.95</v>
      </c>
    </row>
    <row r="111" spans="1:8" x14ac:dyDescent="0.2">
      <c r="A111" s="4" t="s">
        <v>148</v>
      </c>
      <c r="B111" s="5">
        <f>(2*(B106*B108+1-B110))/(B110-1+B108*(1+B110))</f>
        <v>6.18556701030928E-2</v>
      </c>
    </row>
    <row r="117" spans="1:7" x14ac:dyDescent="0.2">
      <c r="A117" s="32" t="s">
        <v>258</v>
      </c>
      <c r="B117" s="33"/>
      <c r="C117" s="33"/>
      <c r="D117" s="33"/>
      <c r="E117" s="33"/>
      <c r="F117" s="33"/>
      <c r="G117" s="33"/>
    </row>
    <row r="118" spans="1:7" x14ac:dyDescent="0.2">
      <c r="A118" s="33"/>
      <c r="B118" s="33"/>
      <c r="C118" s="33"/>
      <c r="D118" s="33"/>
      <c r="E118" s="33"/>
      <c r="F118" s="33"/>
      <c r="G118" s="33"/>
    </row>
    <row r="119" spans="1:7" x14ac:dyDescent="0.2">
      <c r="A119" s="33"/>
      <c r="B119" s="33"/>
      <c r="C119" s="33"/>
      <c r="D119" s="33"/>
      <c r="E119" s="33"/>
      <c r="F119" s="33"/>
      <c r="G119" s="33"/>
    </row>
    <row r="120" spans="1:7" x14ac:dyDescent="0.2">
      <c r="A120" s="33"/>
      <c r="B120" s="33"/>
      <c r="C120" s="33"/>
      <c r="D120" s="33"/>
      <c r="E120" s="33"/>
      <c r="F120" s="33"/>
      <c r="G120" s="33"/>
    </row>
    <row r="121" spans="1:7" x14ac:dyDescent="0.2">
      <c r="A121" s="33"/>
      <c r="B121" s="33"/>
      <c r="C121" s="33"/>
      <c r="D121" s="33"/>
      <c r="E121" s="33"/>
      <c r="F121" s="33"/>
      <c r="G121" s="33"/>
    </row>
    <row r="122" spans="1:7" x14ac:dyDescent="0.2">
      <c r="A122" s="2" t="s">
        <v>259</v>
      </c>
      <c r="B122" s="2">
        <f>800/C122/100</f>
        <v>0.16</v>
      </c>
      <c r="C122" s="1">
        <f>5000/100</f>
        <v>50</v>
      </c>
    </row>
    <row r="123" spans="1:7" x14ac:dyDescent="0.2">
      <c r="A123" s="2" t="s">
        <v>260</v>
      </c>
      <c r="B123" s="2">
        <v>3000</v>
      </c>
    </row>
    <row r="124" spans="1:7" x14ac:dyDescent="0.2">
      <c r="A124" s="2" t="s">
        <v>5</v>
      </c>
      <c r="B124" s="2">
        <v>5</v>
      </c>
    </row>
    <row r="125" spans="1:7" x14ac:dyDescent="0.2">
      <c r="A125" s="2" t="s">
        <v>235</v>
      </c>
      <c r="B125" s="1">
        <v>0.1</v>
      </c>
    </row>
    <row r="126" spans="1:7" x14ac:dyDescent="0.2">
      <c r="A126" s="13"/>
    </row>
    <row r="127" spans="1:7" x14ac:dyDescent="0.2">
      <c r="A127" s="4" t="s">
        <v>262</v>
      </c>
      <c r="B127" s="4">
        <f>B122*B123*((1-(1+B125)^-B124)/B125)+B123*(1+B125)^-B124</f>
        <v>3682.3416184935213</v>
      </c>
    </row>
    <row r="128" spans="1:7" x14ac:dyDescent="0.2">
      <c r="A128" s="32" t="s">
        <v>264</v>
      </c>
      <c r="B128" s="33"/>
      <c r="C128" s="33"/>
      <c r="D128" s="33"/>
      <c r="E128" s="33"/>
      <c r="F128" s="33"/>
      <c r="G128" s="33"/>
    </row>
    <row r="129" spans="1:9" x14ac:dyDescent="0.2">
      <c r="A129" s="33"/>
      <c r="B129" s="33"/>
      <c r="C129" s="33"/>
      <c r="D129" s="33"/>
      <c r="E129" s="33"/>
      <c r="F129" s="33"/>
      <c r="G129" s="33"/>
    </row>
    <row r="130" spans="1:9" x14ac:dyDescent="0.2">
      <c r="A130" s="33"/>
      <c r="B130" s="33"/>
      <c r="C130" s="33"/>
      <c r="D130" s="33"/>
      <c r="E130" s="33"/>
      <c r="F130" s="33"/>
      <c r="G130" s="33"/>
    </row>
    <row r="131" spans="1:9" x14ac:dyDescent="0.2">
      <c r="A131" s="33"/>
      <c r="B131" s="33"/>
      <c r="C131" s="33"/>
      <c r="D131" s="33"/>
      <c r="E131" s="33"/>
      <c r="F131" s="33"/>
      <c r="G131" s="33"/>
    </row>
    <row r="132" spans="1:9" x14ac:dyDescent="0.2">
      <c r="A132" s="33"/>
      <c r="B132" s="33"/>
      <c r="C132" s="33"/>
      <c r="D132" s="33"/>
      <c r="E132" s="33"/>
      <c r="F132" s="33"/>
      <c r="G132" s="33"/>
    </row>
    <row r="133" spans="1:9" x14ac:dyDescent="0.2">
      <c r="A133" s="2" t="s">
        <v>5</v>
      </c>
      <c r="B133" s="2">
        <v>5</v>
      </c>
    </row>
    <row r="134" spans="1:9" x14ac:dyDescent="0.2">
      <c r="A134" s="2" t="s">
        <v>235</v>
      </c>
      <c r="B134" s="2">
        <v>0.11</v>
      </c>
    </row>
    <row r="135" spans="1:9" x14ac:dyDescent="0.2">
      <c r="A135" s="2"/>
      <c r="B135" s="2"/>
    </row>
    <row r="136" spans="1:9" x14ac:dyDescent="0.2">
      <c r="A136" s="2"/>
    </row>
    <row r="137" spans="1:9" x14ac:dyDescent="0.2">
      <c r="A137" s="13"/>
    </row>
    <row r="138" spans="1:9" x14ac:dyDescent="0.2">
      <c r="A138" s="4" t="s">
        <v>122</v>
      </c>
      <c r="B138" s="5">
        <f>(1+B134)/B134*(1-(1+B134)^-B133)</f>
        <v>4.1024456895909092</v>
      </c>
    </row>
    <row r="140" spans="1:9" x14ac:dyDescent="0.2">
      <c r="A140" s="32" t="s">
        <v>266</v>
      </c>
      <c r="B140" s="32"/>
      <c r="C140" s="32"/>
      <c r="D140" s="32"/>
      <c r="E140" s="32"/>
      <c r="F140" s="32"/>
      <c r="G140" s="32"/>
      <c r="H140" s="32"/>
      <c r="I140" s="32"/>
    </row>
    <row r="141" spans="1:9" x14ac:dyDescent="0.2">
      <c r="A141" s="32"/>
      <c r="B141" s="32"/>
      <c r="C141" s="32"/>
      <c r="D141" s="32"/>
      <c r="E141" s="32"/>
      <c r="F141" s="32"/>
      <c r="G141" s="32"/>
      <c r="H141" s="32"/>
      <c r="I141" s="32"/>
    </row>
    <row r="142" spans="1:9" x14ac:dyDescent="0.2">
      <c r="A142" s="32"/>
      <c r="B142" s="32"/>
      <c r="C142" s="32"/>
      <c r="D142" s="32"/>
      <c r="E142" s="32"/>
      <c r="F142" s="32"/>
      <c r="G142" s="32"/>
      <c r="H142" s="32"/>
      <c r="I142" s="32"/>
    </row>
    <row r="143" spans="1:9" x14ac:dyDescent="0.2">
      <c r="A143" s="32"/>
      <c r="B143" s="32"/>
      <c r="C143" s="32"/>
      <c r="D143" s="32"/>
      <c r="E143" s="32"/>
      <c r="F143" s="32"/>
      <c r="G143" s="32"/>
      <c r="H143" s="32"/>
      <c r="I143" s="32"/>
    </row>
    <row r="144" spans="1:9" x14ac:dyDescent="0.2">
      <c r="A144" s="32"/>
      <c r="B144" s="32"/>
      <c r="C144" s="32"/>
      <c r="D144" s="32"/>
      <c r="E144" s="32"/>
      <c r="F144" s="32"/>
      <c r="G144" s="32"/>
      <c r="H144" s="32"/>
      <c r="I144" s="32"/>
    </row>
    <row r="145" spans="1:9" x14ac:dyDescent="0.2">
      <c r="A145" s="2" t="s">
        <v>5</v>
      </c>
      <c r="B145" s="2">
        <v>5</v>
      </c>
    </row>
    <row r="146" spans="1:9" x14ac:dyDescent="0.2">
      <c r="A146" s="2" t="s">
        <v>259</v>
      </c>
      <c r="B146" s="2">
        <v>0.08</v>
      </c>
    </row>
    <row r="147" spans="1:9" x14ac:dyDescent="0.2">
      <c r="A147" s="2" t="s">
        <v>235</v>
      </c>
      <c r="B147" s="2">
        <v>0.05</v>
      </c>
    </row>
    <row r="148" spans="1:9" x14ac:dyDescent="0.2">
      <c r="A148" s="2"/>
    </row>
    <row r="149" spans="1:9" x14ac:dyDescent="0.2">
      <c r="A149" s="13"/>
    </row>
    <row r="150" spans="1:9" x14ac:dyDescent="0.2">
      <c r="A150" s="4" t="s">
        <v>122</v>
      </c>
      <c r="B150" s="5">
        <f>((1+B147)/B147)-((B145*(B146-B147)+1+B147)/(B146*((1+B147)^B145-1)+B147))</f>
        <v>4.3570322259865435</v>
      </c>
    </row>
    <row r="151" spans="1:9" x14ac:dyDescent="0.2">
      <c r="A151" s="32" t="s">
        <v>268</v>
      </c>
      <c r="B151" s="32"/>
      <c r="C151" s="32"/>
      <c r="D151" s="32"/>
      <c r="E151" s="32"/>
      <c r="F151" s="32"/>
      <c r="G151" s="32"/>
      <c r="H151" s="32"/>
      <c r="I151" s="32"/>
    </row>
    <row r="152" spans="1:9" x14ac:dyDescent="0.2">
      <c r="A152" s="32"/>
      <c r="B152" s="32"/>
      <c r="C152" s="32"/>
      <c r="D152" s="32"/>
      <c r="E152" s="32"/>
      <c r="F152" s="32"/>
      <c r="G152" s="32"/>
      <c r="H152" s="32"/>
      <c r="I152" s="32"/>
    </row>
    <row r="153" spans="1:9" x14ac:dyDescent="0.2">
      <c r="A153" s="32"/>
      <c r="B153" s="32"/>
      <c r="C153" s="32"/>
      <c r="D153" s="32"/>
      <c r="E153" s="32"/>
      <c r="F153" s="32"/>
      <c r="G153" s="32"/>
      <c r="H153" s="32"/>
      <c r="I153" s="32"/>
    </row>
    <row r="154" spans="1:9" x14ac:dyDescent="0.2">
      <c r="A154" s="32"/>
      <c r="B154" s="32"/>
      <c r="C154" s="32"/>
      <c r="D154" s="32"/>
      <c r="E154" s="32"/>
      <c r="F154" s="32"/>
      <c r="G154" s="32"/>
      <c r="H154" s="32"/>
      <c r="I154" s="32"/>
    </row>
    <row r="155" spans="1:9" x14ac:dyDescent="0.2">
      <c r="A155" s="32"/>
      <c r="B155" s="32"/>
      <c r="C155" s="32"/>
      <c r="D155" s="32"/>
      <c r="E155" s="32"/>
      <c r="F155" s="32"/>
      <c r="G155" s="32"/>
      <c r="H155" s="32"/>
      <c r="I155" s="32"/>
    </row>
    <row r="156" spans="1:9" x14ac:dyDescent="0.2">
      <c r="A156" s="2" t="s">
        <v>122</v>
      </c>
      <c r="B156" s="2">
        <v>10</v>
      </c>
    </row>
    <row r="157" spans="1:9" x14ac:dyDescent="0.2">
      <c r="A157" s="2" t="s">
        <v>235</v>
      </c>
      <c r="B157" s="2">
        <v>0.13</v>
      </c>
    </row>
    <row r="158" spans="1:9" x14ac:dyDescent="0.2">
      <c r="A158" s="2"/>
      <c r="B158" s="2">
        <v>0.12</v>
      </c>
    </row>
    <row r="159" spans="1:9" x14ac:dyDescent="0.2">
      <c r="A159" s="2" t="s">
        <v>269</v>
      </c>
      <c r="B159" s="2">
        <f>B157-B158</f>
        <v>1.0000000000000009E-2</v>
      </c>
    </row>
    <row r="160" spans="1:9" x14ac:dyDescent="0.2">
      <c r="A160" s="13"/>
      <c r="B160" s="13"/>
    </row>
    <row r="161" spans="1:9" x14ac:dyDescent="0.2">
      <c r="A161" s="4" t="s">
        <v>7</v>
      </c>
      <c r="B161" s="5">
        <f>-(B156/(1+B158)) *B159</f>
        <v>-8.9285714285714343E-2</v>
      </c>
      <c r="C161" s="23">
        <f>B161*-100</f>
        <v>8.9285714285714342</v>
      </c>
      <c r="D161" s="1" t="s">
        <v>251</v>
      </c>
    </row>
    <row r="162" spans="1:9" x14ac:dyDescent="0.2">
      <c r="A162" s="32" t="s">
        <v>271</v>
      </c>
      <c r="B162" s="32"/>
      <c r="C162" s="32"/>
      <c r="D162" s="32"/>
      <c r="E162" s="32"/>
      <c r="F162" s="32"/>
      <c r="G162" s="32"/>
      <c r="H162" s="32"/>
      <c r="I162" s="32"/>
    </row>
    <row r="163" spans="1:9" x14ac:dyDescent="0.2">
      <c r="A163" s="32"/>
      <c r="B163" s="32"/>
      <c r="C163" s="32"/>
      <c r="D163" s="32"/>
      <c r="E163" s="32"/>
      <c r="F163" s="32"/>
      <c r="G163" s="32"/>
      <c r="H163" s="32"/>
      <c r="I163" s="32"/>
    </row>
    <row r="164" spans="1:9" x14ac:dyDescent="0.2">
      <c r="A164" s="32"/>
      <c r="B164" s="32"/>
      <c r="C164" s="32"/>
      <c r="D164" s="32"/>
      <c r="E164" s="32"/>
      <c r="F164" s="32"/>
      <c r="G164" s="32"/>
      <c r="H164" s="32"/>
      <c r="I164" s="32"/>
    </row>
    <row r="165" spans="1:9" x14ac:dyDescent="0.2">
      <c r="A165" s="32"/>
      <c r="B165" s="32"/>
      <c r="C165" s="32"/>
      <c r="D165" s="32"/>
      <c r="E165" s="32"/>
      <c r="F165" s="32"/>
      <c r="G165" s="32"/>
      <c r="H165" s="32"/>
      <c r="I165" s="32"/>
    </row>
    <row r="166" spans="1:9" x14ac:dyDescent="0.2">
      <c r="A166" s="32"/>
      <c r="B166" s="32"/>
      <c r="C166" s="32"/>
      <c r="D166" s="32"/>
      <c r="E166" s="32"/>
      <c r="F166" s="32"/>
      <c r="G166" s="32"/>
      <c r="H166" s="32"/>
      <c r="I166" s="32"/>
    </row>
    <row r="167" spans="1:9" x14ac:dyDescent="0.2">
      <c r="A167" s="2" t="s">
        <v>122</v>
      </c>
      <c r="B167" s="2">
        <v>5</v>
      </c>
    </row>
    <row r="168" spans="1:9" x14ac:dyDescent="0.2">
      <c r="A168" s="2" t="s">
        <v>235</v>
      </c>
      <c r="B168" s="2">
        <v>0.09</v>
      </c>
    </row>
    <row r="169" spans="1:9" x14ac:dyDescent="0.2">
      <c r="A169" s="2"/>
      <c r="B169" s="2">
        <v>7.0000000000000007E-2</v>
      </c>
    </row>
    <row r="170" spans="1:9" x14ac:dyDescent="0.2">
      <c r="A170" s="2" t="s">
        <v>269</v>
      </c>
      <c r="B170" s="2">
        <f>B168-B169</f>
        <v>1.999999999999999E-2</v>
      </c>
    </row>
    <row r="171" spans="1:9" x14ac:dyDescent="0.2">
      <c r="A171" s="13"/>
      <c r="B171" s="13"/>
    </row>
    <row r="172" spans="1:9" x14ac:dyDescent="0.2">
      <c r="A172" s="4" t="s">
        <v>7</v>
      </c>
      <c r="B172" s="5">
        <f>-(B167/(1+B169)) *B170</f>
        <v>-9.34579439252336E-2</v>
      </c>
      <c r="C172" s="23">
        <f>B172*-100</f>
        <v>9.3457943925233593</v>
      </c>
      <c r="D172" s="1" t="s">
        <v>251</v>
      </c>
    </row>
    <row r="173" spans="1:9" x14ac:dyDescent="0.2">
      <c r="A173" s="32" t="s">
        <v>273</v>
      </c>
      <c r="B173" s="32"/>
      <c r="C173" s="32"/>
      <c r="D173" s="32"/>
      <c r="E173" s="32"/>
      <c r="F173" s="32"/>
      <c r="G173" s="32"/>
      <c r="H173" s="32"/>
      <c r="I173" s="32"/>
    </row>
    <row r="174" spans="1:9" x14ac:dyDescent="0.2">
      <c r="A174" s="32"/>
      <c r="B174" s="32"/>
      <c r="C174" s="32"/>
      <c r="D174" s="32"/>
      <c r="E174" s="32"/>
      <c r="F174" s="32"/>
      <c r="G174" s="32"/>
      <c r="H174" s="32"/>
      <c r="I174" s="32"/>
    </row>
    <row r="175" spans="1:9" x14ac:dyDescent="0.2">
      <c r="A175" s="32"/>
      <c r="B175" s="32"/>
      <c r="C175" s="32"/>
      <c r="D175" s="32"/>
      <c r="E175" s="32"/>
      <c r="F175" s="32"/>
      <c r="G175" s="32"/>
      <c r="H175" s="32"/>
      <c r="I175" s="32"/>
    </row>
    <row r="176" spans="1:9" x14ac:dyDescent="0.2">
      <c r="A176" s="32"/>
      <c r="B176" s="32"/>
      <c r="C176" s="32"/>
      <c r="D176" s="32"/>
      <c r="E176" s="32"/>
      <c r="F176" s="32"/>
      <c r="G176" s="32"/>
      <c r="H176" s="32"/>
      <c r="I176" s="32"/>
    </row>
    <row r="177" spans="1:9" x14ac:dyDescent="0.2">
      <c r="A177" s="32"/>
      <c r="B177" s="32"/>
      <c r="C177" s="32"/>
      <c r="D177" s="32"/>
      <c r="E177" s="32"/>
      <c r="F177" s="32"/>
      <c r="G177" s="32"/>
      <c r="H177" s="32"/>
      <c r="I177" s="32"/>
    </row>
    <row r="178" spans="1:9" x14ac:dyDescent="0.2">
      <c r="A178" s="2" t="s">
        <v>259</v>
      </c>
      <c r="B178" s="2">
        <v>0.1</v>
      </c>
    </row>
    <row r="179" spans="1:9" x14ac:dyDescent="0.2">
      <c r="A179" s="2" t="s">
        <v>260</v>
      </c>
      <c r="B179" s="2">
        <v>1000</v>
      </c>
    </row>
    <row r="180" spans="1:9" x14ac:dyDescent="0.2">
      <c r="A180" s="2" t="s">
        <v>5</v>
      </c>
      <c r="B180" s="2">
        <v>5</v>
      </c>
    </row>
    <row r="181" spans="1:9" x14ac:dyDescent="0.2">
      <c r="A181" s="2" t="s">
        <v>262</v>
      </c>
      <c r="B181" s="2">
        <v>900</v>
      </c>
    </row>
    <row r="182" spans="1:9" x14ac:dyDescent="0.2">
      <c r="A182" s="2" t="s">
        <v>29</v>
      </c>
      <c r="B182" s="2">
        <f>B181/B179</f>
        <v>0.9</v>
      </c>
    </row>
    <row r="183" spans="1:9" x14ac:dyDescent="0.2">
      <c r="A183" s="4" t="s">
        <v>148</v>
      </c>
      <c r="B183" s="5">
        <f>(2*(B178*B180+1-B182))/(B182-1+B180*(1+B182))</f>
        <v>0.1276595744680851</v>
      </c>
      <c r="D183" s="15"/>
    </row>
    <row r="184" spans="1:9" x14ac:dyDescent="0.2">
      <c r="A184" s="32" t="s">
        <v>275</v>
      </c>
      <c r="B184" s="33"/>
      <c r="C184" s="33"/>
      <c r="D184" s="33"/>
      <c r="E184" s="33"/>
      <c r="F184" s="33"/>
      <c r="G184" s="33"/>
    </row>
    <row r="185" spans="1:9" x14ac:dyDescent="0.2">
      <c r="A185" s="33"/>
      <c r="B185" s="33"/>
      <c r="C185" s="33"/>
      <c r="D185" s="33"/>
      <c r="E185" s="33"/>
      <c r="F185" s="33"/>
      <c r="G185" s="33"/>
    </row>
    <row r="186" spans="1:9" x14ac:dyDescent="0.2">
      <c r="A186" s="33"/>
      <c r="B186" s="33"/>
      <c r="C186" s="33"/>
      <c r="D186" s="33"/>
      <c r="E186" s="33"/>
      <c r="F186" s="33"/>
      <c r="G186" s="33"/>
    </row>
    <row r="187" spans="1:9" x14ac:dyDescent="0.2">
      <c r="A187" s="33"/>
      <c r="B187" s="33"/>
      <c r="C187" s="33"/>
      <c r="D187" s="33"/>
      <c r="E187" s="33"/>
      <c r="F187" s="33"/>
      <c r="G187" s="33"/>
    </row>
    <row r="188" spans="1:9" x14ac:dyDescent="0.2">
      <c r="A188" s="33"/>
      <c r="B188" s="33"/>
      <c r="C188" s="33"/>
      <c r="D188" s="33"/>
      <c r="E188" s="33"/>
      <c r="F188" s="33"/>
      <c r="G188" s="33"/>
    </row>
    <row r="189" spans="1:9" x14ac:dyDescent="0.2">
      <c r="A189" s="2" t="s">
        <v>259</v>
      </c>
      <c r="B189" s="2">
        <v>0.1</v>
      </c>
    </row>
    <row r="190" spans="1:9" x14ac:dyDescent="0.2">
      <c r="A190" s="2" t="s">
        <v>260</v>
      </c>
      <c r="B190" s="2">
        <v>1100</v>
      </c>
    </row>
    <row r="191" spans="1:9" x14ac:dyDescent="0.2">
      <c r="A191" s="2" t="s">
        <v>5</v>
      </c>
      <c r="B191" s="2">
        <v>6</v>
      </c>
    </row>
    <row r="192" spans="1:9" x14ac:dyDescent="0.2">
      <c r="A192" s="2" t="s">
        <v>262</v>
      </c>
      <c r="B192" s="2">
        <v>1000</v>
      </c>
    </row>
    <row r="193" spans="1:7" x14ac:dyDescent="0.2">
      <c r="A193" s="2" t="s">
        <v>29</v>
      </c>
      <c r="B193" s="2">
        <f>B192/B190</f>
        <v>0.90909090909090906</v>
      </c>
    </row>
    <row r="194" spans="1:7" x14ac:dyDescent="0.2">
      <c r="A194" s="4" t="s">
        <v>148</v>
      </c>
      <c r="B194" s="5">
        <f>(2*(B189*B191+1-B193))/(B193-1+B191*(1+B193))</f>
        <v>0.12160000000000003</v>
      </c>
    </row>
    <row r="195" spans="1:7" x14ac:dyDescent="0.2">
      <c r="A195" s="32" t="s">
        <v>277</v>
      </c>
      <c r="B195" s="33"/>
      <c r="C195" s="33"/>
      <c r="D195" s="33"/>
      <c r="E195" s="33"/>
      <c r="F195" s="33"/>
      <c r="G195" s="33"/>
    </row>
    <row r="196" spans="1:7" x14ac:dyDescent="0.2">
      <c r="A196" s="33"/>
      <c r="B196" s="33"/>
      <c r="C196" s="33"/>
      <c r="D196" s="33"/>
      <c r="E196" s="33"/>
      <c r="F196" s="33"/>
      <c r="G196" s="33"/>
    </row>
    <row r="197" spans="1:7" x14ac:dyDescent="0.2">
      <c r="A197" s="33"/>
      <c r="B197" s="33"/>
      <c r="C197" s="33"/>
      <c r="D197" s="33"/>
      <c r="E197" s="33"/>
      <c r="F197" s="33"/>
      <c r="G197" s="33"/>
    </row>
    <row r="198" spans="1:7" x14ac:dyDescent="0.2">
      <c r="A198" s="33"/>
      <c r="B198" s="33"/>
      <c r="C198" s="33"/>
      <c r="D198" s="33"/>
      <c r="E198" s="33"/>
      <c r="F198" s="33"/>
      <c r="G198" s="33"/>
    </row>
    <row r="199" spans="1:7" x14ac:dyDescent="0.2">
      <c r="A199" s="33"/>
      <c r="B199" s="33"/>
      <c r="C199" s="33"/>
      <c r="D199" s="33"/>
      <c r="E199" s="33"/>
      <c r="F199" s="33"/>
      <c r="G199" s="33"/>
    </row>
    <row r="200" spans="1:7" x14ac:dyDescent="0.2">
      <c r="A200" s="2" t="s">
        <v>122</v>
      </c>
      <c r="B200" s="2">
        <v>8</v>
      </c>
      <c r="C200" s="2" t="s">
        <v>260</v>
      </c>
      <c r="D200" s="2">
        <v>2500</v>
      </c>
    </row>
    <row r="201" spans="1:7" x14ac:dyDescent="0.2">
      <c r="A201" s="2" t="s">
        <v>235</v>
      </c>
      <c r="B201" s="2">
        <v>7.0000000000000007E-2</v>
      </c>
    </row>
    <row r="202" spans="1:7" x14ac:dyDescent="0.2">
      <c r="A202" s="2"/>
      <c r="B202" s="2">
        <v>0.06</v>
      </c>
    </row>
    <row r="203" spans="1:7" x14ac:dyDescent="0.2">
      <c r="A203" s="2" t="s">
        <v>269</v>
      </c>
      <c r="B203" s="2">
        <f>B201-B202</f>
        <v>1.0000000000000009E-2</v>
      </c>
    </row>
    <row r="204" spans="1:7" x14ac:dyDescent="0.2">
      <c r="A204" s="2" t="s">
        <v>7</v>
      </c>
      <c r="B204" s="9">
        <f>-(B200/(1+B202)) *B203</f>
        <v>-7.54716981132076E-2</v>
      </c>
      <c r="C204" s="25">
        <f>B204*-100</f>
        <v>7.5471698113207601</v>
      </c>
      <c r="D204" s="2" t="s">
        <v>251</v>
      </c>
    </row>
    <row r="205" spans="1:7" x14ac:dyDescent="0.2">
      <c r="A205" s="2" t="s">
        <v>262</v>
      </c>
      <c r="B205" s="25">
        <f>D200+D200*C204%</f>
        <v>2688.6792452830191</v>
      </c>
    </row>
    <row r="206" spans="1:7" x14ac:dyDescent="0.2">
      <c r="A206" s="32" t="s">
        <v>279</v>
      </c>
      <c r="B206" s="33"/>
      <c r="C206" s="33"/>
      <c r="D206" s="33"/>
      <c r="E206" s="33"/>
      <c r="F206" s="33"/>
      <c r="G206" s="33"/>
    </row>
    <row r="207" spans="1:7" x14ac:dyDescent="0.2">
      <c r="A207" s="33"/>
      <c r="B207" s="33"/>
      <c r="C207" s="33"/>
      <c r="D207" s="33"/>
      <c r="E207" s="33"/>
      <c r="F207" s="33"/>
      <c r="G207" s="33"/>
    </row>
    <row r="208" spans="1:7" x14ac:dyDescent="0.2">
      <c r="A208" s="33"/>
      <c r="B208" s="33"/>
      <c r="C208" s="33"/>
      <c r="D208" s="33"/>
      <c r="E208" s="33"/>
      <c r="F208" s="33"/>
      <c r="G208" s="33"/>
    </row>
    <row r="209" spans="1:7" x14ac:dyDescent="0.2">
      <c r="A209" s="33"/>
      <c r="B209" s="33"/>
      <c r="C209" s="33"/>
      <c r="D209" s="33"/>
      <c r="E209" s="33"/>
      <c r="F209" s="33"/>
      <c r="G209" s="33"/>
    </row>
    <row r="210" spans="1:7" x14ac:dyDescent="0.2">
      <c r="A210" s="33"/>
      <c r="B210" s="33"/>
      <c r="C210" s="33"/>
      <c r="D210" s="33"/>
      <c r="E210" s="33"/>
      <c r="F210" s="33"/>
      <c r="G210" s="33"/>
    </row>
    <row r="211" spans="1:7" x14ac:dyDescent="0.2">
      <c r="A211" s="2" t="s">
        <v>122</v>
      </c>
      <c r="B211" s="2">
        <v>8</v>
      </c>
    </row>
    <row r="212" spans="1:7" x14ac:dyDescent="0.2">
      <c r="A212" s="2" t="s">
        <v>235</v>
      </c>
      <c r="B212" s="2">
        <v>0.11</v>
      </c>
    </row>
    <row r="213" spans="1:7" x14ac:dyDescent="0.2">
      <c r="A213" s="2"/>
      <c r="B213" s="2">
        <v>0.1</v>
      </c>
    </row>
    <row r="214" spans="1:7" x14ac:dyDescent="0.2">
      <c r="A214" s="2" t="s">
        <v>269</v>
      </c>
      <c r="B214" s="2">
        <f>B212-B213</f>
        <v>9.999999999999995E-3</v>
      </c>
    </row>
    <row r="215" spans="1:7" x14ac:dyDescent="0.2">
      <c r="A215" s="13"/>
      <c r="B215" s="13"/>
    </row>
    <row r="216" spans="1:7" x14ac:dyDescent="0.2">
      <c r="A216" s="2" t="s">
        <v>7</v>
      </c>
      <c r="B216" s="9">
        <f>-(B211/(1+B213)) *B214</f>
        <v>-7.2727272727272682E-2</v>
      </c>
      <c r="C216" s="23">
        <f>B216*-100</f>
        <v>7.272727272727268</v>
      </c>
      <c r="D216" s="1" t="s">
        <v>251</v>
      </c>
    </row>
    <row r="218" spans="1:7" x14ac:dyDescent="0.2">
      <c r="A218" s="32" t="s">
        <v>281</v>
      </c>
      <c r="B218" s="33"/>
      <c r="C218" s="33"/>
      <c r="D218" s="33"/>
      <c r="E218" s="33"/>
      <c r="F218" s="33"/>
      <c r="G218" s="33"/>
    </row>
    <row r="219" spans="1:7" x14ac:dyDescent="0.2">
      <c r="A219" s="33"/>
      <c r="B219" s="33"/>
      <c r="C219" s="33"/>
      <c r="D219" s="33"/>
      <c r="E219" s="33"/>
      <c r="F219" s="33"/>
      <c r="G219" s="33"/>
    </row>
    <row r="220" spans="1:7" x14ac:dyDescent="0.2">
      <c r="A220" s="33"/>
      <c r="B220" s="33"/>
      <c r="C220" s="33"/>
      <c r="D220" s="33"/>
      <c r="E220" s="33"/>
      <c r="F220" s="33"/>
      <c r="G220" s="33"/>
    </row>
    <row r="221" spans="1:7" x14ac:dyDescent="0.2">
      <c r="A221" s="33"/>
      <c r="B221" s="33"/>
      <c r="C221" s="33"/>
      <c r="D221" s="33"/>
      <c r="E221" s="33"/>
      <c r="F221" s="33"/>
      <c r="G221" s="33"/>
    </row>
    <row r="222" spans="1:7" x14ac:dyDescent="0.2">
      <c r="A222" s="33"/>
      <c r="B222" s="33"/>
      <c r="C222" s="33"/>
      <c r="D222" s="33"/>
      <c r="E222" s="33"/>
      <c r="F222" s="33"/>
      <c r="G222" s="33"/>
    </row>
    <row r="223" spans="1:7" x14ac:dyDescent="0.2">
      <c r="A223" s="2" t="s">
        <v>122</v>
      </c>
      <c r="B223" s="2">
        <v>5</v>
      </c>
      <c r="C223" s="2" t="s">
        <v>260</v>
      </c>
      <c r="D223" s="2">
        <v>2000</v>
      </c>
    </row>
    <row r="224" spans="1:7" x14ac:dyDescent="0.2">
      <c r="A224" s="2" t="s">
        <v>235</v>
      </c>
      <c r="B224" s="2">
        <v>0.09</v>
      </c>
    </row>
    <row r="225" spans="1:4" x14ac:dyDescent="0.2">
      <c r="A225" s="2"/>
      <c r="B225" s="2">
        <v>0.08</v>
      </c>
    </row>
    <row r="226" spans="1:4" x14ac:dyDescent="0.2">
      <c r="A226" s="2" t="s">
        <v>269</v>
      </c>
      <c r="B226" s="2">
        <f>B224-B225</f>
        <v>9.999999999999995E-3</v>
      </c>
    </row>
    <row r="227" spans="1:4" x14ac:dyDescent="0.2">
      <c r="A227" s="2" t="s">
        <v>7</v>
      </c>
      <c r="B227" s="9">
        <f>-(B223/(1+B225)) *B226</f>
        <v>-4.6296296296296273E-2</v>
      </c>
      <c r="C227" s="25">
        <f>B227*-100</f>
        <v>4.6296296296296271</v>
      </c>
      <c r="D227" s="2" t="s">
        <v>251</v>
      </c>
    </row>
    <row r="228" spans="1:4" x14ac:dyDescent="0.2">
      <c r="A228" s="2" t="s">
        <v>262</v>
      </c>
      <c r="B228" s="25">
        <f>D223+D223*C227%</f>
        <v>2092.5925925925926</v>
      </c>
    </row>
  </sheetData>
  <mergeCells count="20">
    <mergeCell ref="A162:I166"/>
    <mergeCell ref="A57:G61"/>
    <mergeCell ref="A140:I144"/>
    <mergeCell ref="A101:H105"/>
    <mergeCell ref="A218:G222"/>
    <mergeCell ref="A68:H72"/>
    <mergeCell ref="A184:G188"/>
    <mergeCell ref="A79:H83"/>
    <mergeCell ref="A195:G199"/>
    <mergeCell ref="A90:H94"/>
    <mergeCell ref="A206:G210"/>
    <mergeCell ref="A173:I177"/>
    <mergeCell ref="A151:I155"/>
    <mergeCell ref="A1:H5"/>
    <mergeCell ref="A117:G121"/>
    <mergeCell ref="A12:H16"/>
    <mergeCell ref="A128:G132"/>
    <mergeCell ref="A24:H28"/>
    <mergeCell ref="A35:H39"/>
    <mergeCell ref="A46:H5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BF56-6DB5-F54A-8D7A-043A45DA4413}">
  <dimension ref="B20:C25"/>
  <sheetViews>
    <sheetView workbookViewId="0">
      <selection activeCell="G20" sqref="G20"/>
    </sheetView>
  </sheetViews>
  <sheetFormatPr baseColWidth="10" defaultRowHeight="15" x14ac:dyDescent="0.2"/>
  <sheetData>
    <row r="20" spans="2:3" x14ac:dyDescent="0.2">
      <c r="B20" t="s">
        <v>214</v>
      </c>
      <c r="C20">
        <f>EXP(0.09/12)</f>
        <v>1.0075281954445339</v>
      </c>
    </row>
    <row r="21" spans="2:3" x14ac:dyDescent="0.2">
      <c r="B21" t="s">
        <v>287</v>
      </c>
      <c r="C21">
        <f>1400/1000</f>
        <v>1.4</v>
      </c>
    </row>
    <row r="22" spans="2:3" x14ac:dyDescent="0.2">
      <c r="B22" t="s">
        <v>114</v>
      </c>
      <c r="C22">
        <f>800/1000</f>
        <v>0.8</v>
      </c>
    </row>
    <row r="23" spans="2:3" x14ac:dyDescent="0.2">
      <c r="B23" t="s">
        <v>341</v>
      </c>
      <c r="C23">
        <f>MAX(1400-1100, 0)</f>
        <v>300</v>
      </c>
    </row>
    <row r="24" spans="2:3" x14ac:dyDescent="0.2">
      <c r="B24" t="s">
        <v>342</v>
      </c>
      <c r="C24">
        <f>MAX(800-1100, 0)</f>
        <v>0</v>
      </c>
    </row>
    <row r="25" spans="2:3" x14ac:dyDescent="0.2">
      <c r="B25" t="s">
        <v>320</v>
      </c>
      <c r="C25">
        <f>(C20-C22)/(C21-C22)*C23/C20</f>
        <v>102.9887780723446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9D68-9186-2445-9809-375D5CAEB602}">
  <dimension ref="A1:I229"/>
  <sheetViews>
    <sheetView tabSelected="1" topLeftCell="A201" workbookViewId="0">
      <selection activeCell="N227" sqref="N227"/>
    </sheetView>
  </sheetViews>
  <sheetFormatPr baseColWidth="10" defaultColWidth="8.83203125" defaultRowHeight="16" x14ac:dyDescent="0.2"/>
  <cols>
    <col min="1" max="8" width="8.83203125" style="1"/>
    <col min="9" max="9" width="16.6640625" style="1" customWidth="1"/>
    <col min="10" max="16384" width="8.83203125" style="1"/>
  </cols>
  <sheetData>
    <row r="1" spans="1:8" x14ac:dyDescent="0.2">
      <c r="A1" s="31" t="s">
        <v>282</v>
      </c>
      <c r="B1" s="31"/>
      <c r="C1" s="31"/>
      <c r="D1" s="31"/>
      <c r="E1" s="31"/>
      <c r="F1" s="31"/>
      <c r="G1" s="31"/>
      <c r="H1" s="31"/>
    </row>
    <row r="2" spans="1:8" x14ac:dyDescent="0.2">
      <c r="A2" s="31"/>
      <c r="B2" s="31"/>
      <c r="C2" s="31"/>
      <c r="D2" s="31"/>
      <c r="E2" s="31"/>
      <c r="F2" s="31"/>
      <c r="G2" s="31"/>
      <c r="H2" s="31"/>
    </row>
    <row r="3" spans="1:8" x14ac:dyDescent="0.2">
      <c r="A3" s="31"/>
      <c r="B3" s="31"/>
      <c r="C3" s="31"/>
      <c r="D3" s="31"/>
      <c r="E3" s="31"/>
      <c r="F3" s="31"/>
      <c r="G3" s="31"/>
      <c r="H3" s="31"/>
    </row>
    <row r="4" spans="1:8" x14ac:dyDescent="0.2">
      <c r="A4" s="31"/>
      <c r="B4" s="31"/>
      <c r="C4" s="31"/>
      <c r="D4" s="31"/>
      <c r="E4" s="31"/>
      <c r="F4" s="31"/>
      <c r="G4" s="31"/>
      <c r="H4" s="31"/>
    </row>
    <row r="5" spans="1:8" x14ac:dyDescent="0.2">
      <c r="A5" s="31"/>
      <c r="B5" s="31"/>
      <c r="C5" s="31"/>
      <c r="D5" s="31"/>
      <c r="E5" s="31"/>
      <c r="F5" s="31"/>
      <c r="G5" s="31"/>
      <c r="H5" s="31"/>
    </row>
    <row r="6" spans="1:8" x14ac:dyDescent="0.2">
      <c r="A6" s="2">
        <v>0.1</v>
      </c>
      <c r="B6" s="2">
        <v>0.4</v>
      </c>
    </row>
    <row r="7" spans="1:8" x14ac:dyDescent="0.2">
      <c r="A7" s="2">
        <v>0.2</v>
      </c>
      <c r="B7" s="2">
        <v>0.6</v>
      </c>
    </row>
    <row r="8" spans="1:8" x14ac:dyDescent="0.2">
      <c r="A8" s="2">
        <v>0.6</v>
      </c>
      <c r="B8" s="2">
        <v>0.8</v>
      </c>
    </row>
    <row r="9" spans="1:8" x14ac:dyDescent="0.2">
      <c r="A9" s="2"/>
      <c r="B9" s="2"/>
    </row>
    <row r="10" spans="1:8" x14ac:dyDescent="0.2">
      <c r="A10" s="13"/>
    </row>
    <row r="11" spans="1:8" x14ac:dyDescent="0.2">
      <c r="A11" s="2" t="s">
        <v>287</v>
      </c>
      <c r="B11" s="9">
        <f>(A6*B7^2*B8^2+A7*B6^2+B8^2+A8*B6^2*B7^2)/(B7^2*B8^2+B6^2+B8^2+B6^2*B7^2)</f>
        <v>0.6705882352941176</v>
      </c>
    </row>
    <row r="12" spans="1:8" x14ac:dyDescent="0.2">
      <c r="A12" s="32" t="s">
        <v>289</v>
      </c>
      <c r="B12" s="32"/>
      <c r="C12" s="32"/>
      <c r="D12" s="32"/>
      <c r="E12" s="32"/>
      <c r="F12" s="32"/>
      <c r="G12" s="32"/>
      <c r="H12" s="32"/>
    </row>
    <row r="13" spans="1:8" x14ac:dyDescent="0.2">
      <c r="A13" s="32"/>
      <c r="B13" s="32"/>
      <c r="C13" s="32"/>
      <c r="D13" s="32"/>
      <c r="E13" s="32"/>
      <c r="F13" s="32"/>
      <c r="G13" s="32"/>
      <c r="H13" s="32"/>
    </row>
    <row r="14" spans="1:8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32"/>
      <c r="B15" s="32"/>
      <c r="C15" s="32"/>
      <c r="D15" s="32"/>
      <c r="E15" s="32"/>
      <c r="F15" s="32"/>
      <c r="G15" s="32"/>
      <c r="H15" s="32"/>
    </row>
    <row r="16" spans="1:8" x14ac:dyDescent="0.2">
      <c r="A16" s="32"/>
      <c r="B16" s="32"/>
      <c r="C16" s="32"/>
      <c r="D16" s="32"/>
      <c r="E16" s="32"/>
      <c r="F16" s="32"/>
      <c r="G16" s="32"/>
      <c r="H16" s="32"/>
    </row>
    <row r="17" spans="1:8" x14ac:dyDescent="0.2">
      <c r="A17" s="2">
        <v>0.2</v>
      </c>
      <c r="B17" s="2">
        <v>0.5</v>
      </c>
    </row>
    <row r="18" spans="1:8" x14ac:dyDescent="0.2">
      <c r="A18" s="2">
        <v>0.4</v>
      </c>
      <c r="B18" s="2">
        <v>0.7</v>
      </c>
    </row>
    <row r="19" spans="1:8" x14ac:dyDescent="0.2">
      <c r="A19" s="2"/>
      <c r="B19" s="2"/>
    </row>
    <row r="20" spans="1:8" x14ac:dyDescent="0.2">
      <c r="A20" s="2"/>
      <c r="B20" s="2"/>
    </row>
    <row r="22" spans="1:8" x14ac:dyDescent="0.2">
      <c r="A22" s="2" t="s">
        <v>287</v>
      </c>
      <c r="B22" s="9">
        <f>(A17*B18+A18*B17)/(B17+B18)</f>
        <v>0.28333333333333333</v>
      </c>
    </row>
    <row r="24" spans="1:8" x14ac:dyDescent="0.2">
      <c r="A24" s="32" t="s">
        <v>294</v>
      </c>
      <c r="B24" s="32"/>
      <c r="C24" s="32"/>
      <c r="D24" s="32"/>
      <c r="E24" s="32"/>
      <c r="F24" s="32"/>
      <c r="G24" s="32"/>
      <c r="H24" s="32"/>
    </row>
    <row r="25" spans="1:8" x14ac:dyDescent="0.2">
      <c r="A25" s="32"/>
      <c r="B25" s="32"/>
      <c r="C25" s="32"/>
      <c r="D25" s="32"/>
      <c r="E25" s="32"/>
      <c r="F25" s="32"/>
      <c r="G25" s="32"/>
      <c r="H25" s="32"/>
    </row>
    <row r="26" spans="1:8" x14ac:dyDescent="0.2">
      <c r="A26" s="32"/>
      <c r="B26" s="32"/>
      <c r="C26" s="32"/>
      <c r="D26" s="32"/>
      <c r="E26" s="32"/>
      <c r="F26" s="32"/>
      <c r="G26" s="32"/>
      <c r="H26" s="32"/>
    </row>
    <row r="27" spans="1:8" x14ac:dyDescent="0.2">
      <c r="A27" s="32"/>
      <c r="B27" s="32"/>
      <c r="C27" s="32"/>
      <c r="D27" s="32"/>
      <c r="E27" s="32"/>
      <c r="F27" s="32"/>
      <c r="G27" s="32"/>
      <c r="H27" s="32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2">
        <v>0.35</v>
      </c>
      <c r="B29" s="2">
        <v>0.2</v>
      </c>
      <c r="C29" s="1" t="s">
        <v>296</v>
      </c>
    </row>
    <row r="30" spans="1:8" x14ac:dyDescent="0.2">
      <c r="A30" s="2">
        <v>0.75</v>
      </c>
      <c r="B30" s="2">
        <v>0.6</v>
      </c>
      <c r="C30" s="1">
        <f>B29^2-2*B31*B29*B30+B30^2</f>
        <v>0.28000000000000003</v>
      </c>
      <c r="D30" s="1">
        <f>B31*B29-B30</f>
        <v>-0.5</v>
      </c>
      <c r="E30" s="1">
        <f>B30^2-B32^2</f>
        <v>5.749999999999994E-2</v>
      </c>
    </row>
    <row r="31" spans="1:8" x14ac:dyDescent="0.2">
      <c r="A31" s="2" t="s">
        <v>235</v>
      </c>
      <c r="B31" s="2">
        <f>1/2</f>
        <v>0.5</v>
      </c>
      <c r="D31" s="1" t="s">
        <v>122</v>
      </c>
      <c r="E31" s="1">
        <f>B30^2*D30^2-C30*E30</f>
        <v>7.3900000000000007E-2</v>
      </c>
    </row>
    <row r="32" spans="1:8" x14ac:dyDescent="0.2">
      <c r="A32" s="2" t="s">
        <v>148</v>
      </c>
      <c r="B32" s="2">
        <v>0.55000000000000004</v>
      </c>
      <c r="C32" s="1" t="s">
        <v>119</v>
      </c>
      <c r="D32" s="15">
        <f>(-B30*D30+SQRT(E31))/C30</f>
        <v>2.0423055156477274</v>
      </c>
      <c r="E32" s="15">
        <f>(-B30*D30-SQRT(E31))/C30</f>
        <v>0.10055162720941506</v>
      </c>
      <c r="F32" s="1" t="s">
        <v>298</v>
      </c>
    </row>
    <row r="33" spans="1:8" x14ac:dyDescent="0.2">
      <c r="C33" s="1" t="s">
        <v>120</v>
      </c>
      <c r="D33" s="15">
        <f>1-D32</f>
        <v>-1.0423055156477274</v>
      </c>
      <c r="E33" s="15">
        <f>1-E32</f>
        <v>0.89944837279058498</v>
      </c>
    </row>
    <row r="34" spans="1:8" x14ac:dyDescent="0.2">
      <c r="A34" s="2" t="s">
        <v>287</v>
      </c>
      <c r="B34" s="9">
        <f>A29*E32+A30*E33</f>
        <v>0.70977934911623397</v>
      </c>
    </row>
    <row r="35" spans="1:8" x14ac:dyDescent="0.2">
      <c r="A35" s="32" t="s">
        <v>299</v>
      </c>
      <c r="B35" s="32"/>
      <c r="C35" s="32"/>
      <c r="D35" s="32"/>
      <c r="E35" s="32"/>
      <c r="F35" s="32"/>
      <c r="G35" s="32"/>
      <c r="H35" s="32"/>
    </row>
    <row r="36" spans="1:8" x14ac:dyDescent="0.2">
      <c r="A36" s="32"/>
      <c r="B36" s="32"/>
      <c r="C36" s="32"/>
      <c r="D36" s="32"/>
      <c r="E36" s="32"/>
      <c r="F36" s="32"/>
      <c r="G36" s="32"/>
      <c r="H36" s="32"/>
    </row>
    <row r="37" spans="1:8" x14ac:dyDescent="0.2">
      <c r="A37" s="32"/>
      <c r="B37" s="32"/>
      <c r="C37" s="32"/>
      <c r="D37" s="32"/>
      <c r="E37" s="32"/>
      <c r="F37" s="32"/>
      <c r="G37" s="32"/>
      <c r="H37" s="32"/>
    </row>
    <row r="38" spans="1:8" x14ac:dyDescent="0.2">
      <c r="A38" s="32"/>
      <c r="B38" s="32"/>
      <c r="C38" s="32"/>
      <c r="D38" s="32"/>
      <c r="E38" s="32"/>
      <c r="F38" s="32"/>
      <c r="G38" s="32"/>
      <c r="H38" s="32"/>
    </row>
    <row r="39" spans="1:8" x14ac:dyDescent="0.2">
      <c r="A39" s="32"/>
      <c r="B39" s="32"/>
      <c r="C39" s="32"/>
      <c r="D39" s="32"/>
      <c r="E39" s="32"/>
      <c r="F39" s="32"/>
      <c r="G39" s="32"/>
      <c r="H39" s="32"/>
    </row>
    <row r="40" spans="1:8" x14ac:dyDescent="0.2">
      <c r="A40" s="2" t="s">
        <v>301</v>
      </c>
      <c r="B40" s="2">
        <v>0.12</v>
      </c>
      <c r="C40" s="1" t="s">
        <v>119</v>
      </c>
      <c r="D40" s="1" t="s">
        <v>285</v>
      </c>
      <c r="E40" s="1">
        <f>2/5</f>
        <v>0.4</v>
      </c>
    </row>
    <row r="41" spans="1:8" x14ac:dyDescent="0.2">
      <c r="A41" s="2" t="s">
        <v>302</v>
      </c>
      <c r="B41" s="2">
        <v>0.26</v>
      </c>
      <c r="C41" s="1" t="s">
        <v>120</v>
      </c>
      <c r="D41" s="1" t="s">
        <v>303</v>
      </c>
      <c r="E41" s="1">
        <f>3/5</f>
        <v>0.6</v>
      </c>
    </row>
    <row r="42" spans="1:8" x14ac:dyDescent="0.2">
      <c r="A42" s="2"/>
      <c r="B42" s="2"/>
      <c r="C42" s="1" t="s">
        <v>305</v>
      </c>
      <c r="D42" s="1" t="s">
        <v>306</v>
      </c>
    </row>
    <row r="43" spans="1:8" x14ac:dyDescent="0.2">
      <c r="A43" s="2"/>
      <c r="B43" s="2"/>
    </row>
    <row r="45" spans="1:8" x14ac:dyDescent="0.2">
      <c r="A45" s="2" t="s">
        <v>287</v>
      </c>
      <c r="B45" s="9">
        <f>B40*E40+B41*E41</f>
        <v>0.20400000000000001</v>
      </c>
    </row>
    <row r="46" spans="1:8" x14ac:dyDescent="0.2">
      <c r="A46" s="32" t="s">
        <v>308</v>
      </c>
      <c r="B46" s="32"/>
      <c r="C46" s="32"/>
      <c r="D46" s="32"/>
      <c r="E46" s="32"/>
      <c r="F46" s="32"/>
      <c r="G46" s="32"/>
      <c r="H46" s="32"/>
    </row>
    <row r="47" spans="1:8" x14ac:dyDescent="0.2">
      <c r="A47" s="32"/>
      <c r="B47" s="32"/>
      <c r="C47" s="32"/>
      <c r="D47" s="32"/>
      <c r="E47" s="32"/>
      <c r="F47" s="32"/>
      <c r="G47" s="32"/>
      <c r="H47" s="32"/>
    </row>
    <row r="48" spans="1:8" x14ac:dyDescent="0.2">
      <c r="A48" s="32"/>
      <c r="B48" s="32"/>
      <c r="C48" s="32"/>
      <c r="D48" s="32"/>
      <c r="E48" s="32"/>
      <c r="F48" s="32"/>
      <c r="G48" s="32"/>
      <c r="H48" s="32"/>
    </row>
    <row r="49" spans="1:8" x14ac:dyDescent="0.2">
      <c r="A49" s="32"/>
      <c r="B49" s="32"/>
      <c r="C49" s="32"/>
      <c r="D49" s="32"/>
      <c r="E49" s="32"/>
      <c r="F49" s="32"/>
      <c r="G49" s="32"/>
      <c r="H49" s="32"/>
    </row>
    <row r="50" spans="1:8" x14ac:dyDescent="0.2">
      <c r="A50" s="32"/>
      <c r="B50" s="32"/>
      <c r="C50" s="32"/>
      <c r="D50" s="32"/>
      <c r="E50" s="32"/>
      <c r="F50" s="32"/>
      <c r="G50" s="32"/>
      <c r="H50" s="32"/>
    </row>
    <row r="51" spans="1:8" x14ac:dyDescent="0.2">
      <c r="A51" s="2">
        <v>0.7</v>
      </c>
      <c r="B51" s="2">
        <v>0.12</v>
      </c>
    </row>
    <row r="52" spans="1:8" x14ac:dyDescent="0.2">
      <c r="A52" s="2">
        <v>0.12</v>
      </c>
      <c r="B52" s="2">
        <v>0.24</v>
      </c>
    </row>
    <row r="53" spans="1:8" x14ac:dyDescent="0.2">
      <c r="A53" s="2" t="s">
        <v>235</v>
      </c>
      <c r="B53" s="2">
        <v>0.35</v>
      </c>
    </row>
    <row r="54" spans="1:8" x14ac:dyDescent="0.2">
      <c r="A54" s="2"/>
      <c r="B54" s="2"/>
    </row>
    <row r="56" spans="1:8" x14ac:dyDescent="0.2">
      <c r="A56" s="2" t="s">
        <v>287</v>
      </c>
      <c r="B56" s="9">
        <f xml:space="preserve"> (A51*(B51^2+B52^2-2*B53*B51*B52)+A52*(B51^2+B52^2-2*B53*B51*B52))/(B51^2+B52^2-2*B53*B51*B52)</f>
        <v>0.82</v>
      </c>
    </row>
    <row r="57" spans="1:8" x14ac:dyDescent="0.2">
      <c r="A57" s="32" t="s">
        <v>310</v>
      </c>
      <c r="B57" s="33"/>
      <c r="C57" s="33"/>
      <c r="D57" s="33"/>
      <c r="E57" s="33"/>
      <c r="F57" s="33"/>
      <c r="G57" s="33"/>
    </row>
    <row r="58" spans="1:8" x14ac:dyDescent="0.2">
      <c r="A58" s="33"/>
      <c r="B58" s="33"/>
      <c r="C58" s="33"/>
      <c r="D58" s="33"/>
      <c r="E58" s="33"/>
      <c r="F58" s="33"/>
      <c r="G58" s="33"/>
    </row>
    <row r="59" spans="1:8" x14ac:dyDescent="0.2">
      <c r="A59" s="33"/>
      <c r="B59" s="33"/>
      <c r="C59" s="33"/>
      <c r="D59" s="33"/>
      <c r="E59" s="33"/>
      <c r="F59" s="33"/>
      <c r="G59" s="33"/>
    </row>
    <row r="60" spans="1:8" x14ac:dyDescent="0.2">
      <c r="A60" s="33"/>
      <c r="B60" s="33"/>
      <c r="C60" s="33"/>
      <c r="D60" s="33"/>
      <c r="E60" s="33"/>
      <c r="F60" s="33"/>
      <c r="G60" s="33"/>
    </row>
    <row r="61" spans="1:8" x14ac:dyDescent="0.2">
      <c r="A61" s="33"/>
      <c r="B61" s="33"/>
      <c r="C61" s="33"/>
      <c r="D61" s="33"/>
      <c r="E61" s="33"/>
      <c r="F61" s="33"/>
      <c r="G61" s="33"/>
    </row>
    <row r="62" spans="1:8" x14ac:dyDescent="0.2">
      <c r="A62" s="2">
        <v>0.18</v>
      </c>
      <c r="B62" s="2">
        <v>0.06</v>
      </c>
    </row>
    <row r="63" spans="1:8" x14ac:dyDescent="0.2">
      <c r="A63" s="2">
        <v>0.1</v>
      </c>
      <c r="B63" s="2">
        <v>0.05</v>
      </c>
    </row>
    <row r="64" spans="1:8" x14ac:dyDescent="0.2">
      <c r="A64" s="2" t="s">
        <v>235</v>
      </c>
      <c r="B64" s="2">
        <v>-0.5</v>
      </c>
    </row>
    <row r="65" spans="1:8" x14ac:dyDescent="0.2">
      <c r="A65" s="2"/>
      <c r="B65" s="2"/>
    </row>
    <row r="67" spans="1:8" x14ac:dyDescent="0.2">
      <c r="A67" s="2" t="s">
        <v>148</v>
      </c>
      <c r="B67" s="7">
        <f>(B62*B63*SQRT((B63-B64*B62)*(B62-B64*B63)))/(B62^2+B63^2-2*B64*B62*B63)</f>
        <v>2.7185311817259295E-2</v>
      </c>
    </row>
    <row r="68" spans="1:8" x14ac:dyDescent="0.2">
      <c r="A68" s="32" t="s">
        <v>313</v>
      </c>
      <c r="B68" s="32"/>
      <c r="C68" s="32"/>
      <c r="D68" s="32"/>
      <c r="E68" s="32"/>
      <c r="F68" s="32"/>
      <c r="G68" s="32"/>
      <c r="H68" s="32"/>
    </row>
    <row r="69" spans="1:8" x14ac:dyDescent="0.2">
      <c r="A69" s="32"/>
      <c r="B69" s="32"/>
      <c r="C69" s="32"/>
      <c r="D69" s="32"/>
      <c r="E69" s="32"/>
      <c r="F69" s="32"/>
      <c r="G69" s="32"/>
      <c r="H69" s="32"/>
    </row>
    <row r="70" spans="1:8" x14ac:dyDescent="0.2">
      <c r="A70" s="32"/>
      <c r="B70" s="32"/>
      <c r="C70" s="32"/>
      <c r="D70" s="32"/>
      <c r="E70" s="32"/>
      <c r="F70" s="32"/>
      <c r="G70" s="32"/>
      <c r="H70" s="32"/>
    </row>
    <row r="71" spans="1:8" x14ac:dyDescent="0.2">
      <c r="A71" s="32"/>
      <c r="B71" s="32"/>
      <c r="C71" s="32"/>
      <c r="D71" s="32"/>
      <c r="E71" s="32"/>
      <c r="F71" s="32"/>
      <c r="G71" s="32"/>
      <c r="H71" s="32"/>
    </row>
    <row r="72" spans="1:8" x14ac:dyDescent="0.2">
      <c r="A72" s="32"/>
      <c r="B72" s="32"/>
      <c r="C72" s="32"/>
      <c r="D72" s="32"/>
      <c r="E72" s="32"/>
      <c r="F72" s="32"/>
      <c r="G72" s="32"/>
      <c r="H72" s="32"/>
    </row>
    <row r="73" spans="1:8" x14ac:dyDescent="0.2">
      <c r="A73" s="2" t="s">
        <v>315</v>
      </c>
      <c r="B73" s="2">
        <v>0.11</v>
      </c>
    </row>
    <row r="74" spans="1:8" x14ac:dyDescent="0.2">
      <c r="A74" s="2"/>
      <c r="B74" s="2"/>
    </row>
    <row r="75" spans="1:8" x14ac:dyDescent="0.2">
      <c r="A75" s="2"/>
      <c r="B75" s="2"/>
    </row>
    <row r="76" spans="1:8" x14ac:dyDescent="0.2">
      <c r="A76" s="2"/>
      <c r="B76" s="2"/>
    </row>
    <row r="78" spans="1:8" x14ac:dyDescent="0.2">
      <c r="A78" s="2" t="s">
        <v>317</v>
      </c>
      <c r="B78" s="7">
        <f>(1-B73)/(1+2+3+4+5+7+8+9+10)</f>
        <v>1.8163265306122448E-2</v>
      </c>
    </row>
    <row r="79" spans="1:8" x14ac:dyDescent="0.2">
      <c r="A79" s="34" t="s">
        <v>318</v>
      </c>
      <c r="B79" s="34"/>
      <c r="C79" s="34"/>
      <c r="D79" s="34"/>
      <c r="E79" s="34"/>
      <c r="F79" s="34"/>
      <c r="G79" s="34"/>
      <c r="H79" s="34"/>
    </row>
    <row r="80" spans="1:8" x14ac:dyDescent="0.2">
      <c r="A80" s="34"/>
      <c r="B80" s="34"/>
      <c r="C80" s="34"/>
      <c r="D80" s="34"/>
      <c r="E80" s="34"/>
      <c r="F80" s="34"/>
      <c r="G80" s="34"/>
      <c r="H80" s="34"/>
    </row>
    <row r="81" spans="1:8" x14ac:dyDescent="0.2">
      <c r="A81" s="34"/>
      <c r="B81" s="34"/>
      <c r="C81" s="34"/>
      <c r="D81" s="34"/>
      <c r="E81" s="34"/>
      <c r="F81" s="34"/>
      <c r="G81" s="34"/>
      <c r="H81" s="34"/>
    </row>
    <row r="82" spans="1:8" x14ac:dyDescent="0.2">
      <c r="A82" s="34"/>
      <c r="B82" s="34"/>
      <c r="C82" s="34"/>
      <c r="D82" s="34"/>
      <c r="E82" s="34"/>
      <c r="F82" s="34"/>
      <c r="G82" s="34"/>
      <c r="H82" s="34"/>
    </row>
    <row r="83" spans="1:8" x14ac:dyDescent="0.2">
      <c r="A83" s="34"/>
      <c r="B83" s="34"/>
      <c r="C83" s="34"/>
      <c r="D83" s="34"/>
      <c r="E83" s="34"/>
      <c r="F83" s="34"/>
      <c r="G83" s="34"/>
      <c r="H83" s="34"/>
    </row>
    <row r="84" spans="1:8" x14ac:dyDescent="0.2">
      <c r="A84" s="2">
        <v>0.12</v>
      </c>
      <c r="B84" s="2">
        <v>0.14000000000000001</v>
      </c>
      <c r="C84" s="1" t="s">
        <v>119</v>
      </c>
      <c r="D84" s="15">
        <f>1-D85</f>
        <v>0.6333333333333333</v>
      </c>
    </row>
    <row r="85" spans="1:8" x14ac:dyDescent="0.2">
      <c r="A85" s="2">
        <v>0.18</v>
      </c>
      <c r="B85" s="2">
        <v>0.15</v>
      </c>
      <c r="C85" s="1" t="s">
        <v>120</v>
      </c>
      <c r="D85" s="15">
        <f>2.2/6</f>
        <v>0.3666666666666667</v>
      </c>
    </row>
    <row r="86" spans="1:8" x14ac:dyDescent="0.2">
      <c r="A86" s="2" t="s">
        <v>235</v>
      </c>
      <c r="B86" s="2">
        <v>-0.5</v>
      </c>
      <c r="C86" s="1" t="s">
        <v>305</v>
      </c>
    </row>
    <row r="87" spans="1:8" x14ac:dyDescent="0.2">
      <c r="A87" s="2" t="s">
        <v>287</v>
      </c>
      <c r="B87" s="2">
        <v>14.2</v>
      </c>
      <c r="C87" s="1" t="s">
        <v>323</v>
      </c>
      <c r="E87" s="1" t="s">
        <v>324</v>
      </c>
    </row>
    <row r="88" spans="1:8" x14ac:dyDescent="0.2">
      <c r="A88" s="13"/>
    </row>
    <row r="89" spans="1:8" x14ac:dyDescent="0.2">
      <c r="A89" s="2" t="s">
        <v>148</v>
      </c>
      <c r="B89" s="7">
        <f>SQRT(D84^2*B84^2+2*B84*B85*D84*D85*B86+B85^2*D85^2)</f>
        <v>7.7524906392146722E-2</v>
      </c>
      <c r="C89" s="22"/>
    </row>
    <row r="90" spans="1:8" x14ac:dyDescent="0.2">
      <c r="A90" s="32" t="s">
        <v>328</v>
      </c>
      <c r="B90" s="32"/>
      <c r="C90" s="32"/>
      <c r="D90" s="32"/>
      <c r="E90" s="32"/>
      <c r="F90" s="32"/>
      <c r="G90" s="32"/>
      <c r="H90" s="32"/>
    </row>
    <row r="91" spans="1:8" x14ac:dyDescent="0.2">
      <c r="A91" s="32"/>
      <c r="B91" s="32"/>
      <c r="C91" s="32"/>
      <c r="D91" s="32"/>
      <c r="E91" s="32"/>
      <c r="F91" s="32"/>
      <c r="G91" s="32"/>
      <c r="H91" s="32"/>
    </row>
    <row r="92" spans="1:8" x14ac:dyDescent="0.2">
      <c r="A92" s="32"/>
      <c r="B92" s="32"/>
      <c r="C92" s="32"/>
      <c r="D92" s="32"/>
      <c r="E92" s="32"/>
      <c r="F92" s="32"/>
      <c r="G92" s="32"/>
      <c r="H92" s="32"/>
    </row>
    <row r="93" spans="1:8" x14ac:dyDescent="0.2">
      <c r="A93" s="32"/>
      <c r="B93" s="32"/>
      <c r="C93" s="32"/>
      <c r="D93" s="32"/>
      <c r="E93" s="32"/>
      <c r="F93" s="32"/>
      <c r="G93" s="32"/>
      <c r="H93" s="32"/>
    </row>
    <row r="94" spans="1:8" x14ac:dyDescent="0.2">
      <c r="A94" s="32"/>
      <c r="B94" s="32"/>
      <c r="C94" s="32"/>
      <c r="D94" s="32"/>
      <c r="E94" s="32"/>
      <c r="F94" s="32"/>
      <c r="G94" s="32"/>
      <c r="H94" s="32"/>
    </row>
    <row r="95" spans="1:8" x14ac:dyDescent="0.2">
      <c r="A95" s="2" t="s">
        <v>119</v>
      </c>
      <c r="B95" s="9">
        <f>E98</f>
        <v>0.55356537528527383</v>
      </c>
      <c r="C95" s="1" t="s">
        <v>3</v>
      </c>
    </row>
    <row r="96" spans="1:8" x14ac:dyDescent="0.2">
      <c r="A96" s="2" t="s">
        <v>120</v>
      </c>
      <c r="B96" s="9">
        <f>B95^2</f>
        <v>0.30643462471472604</v>
      </c>
      <c r="C96" s="1" t="s">
        <v>331</v>
      </c>
      <c r="D96" s="1" t="s">
        <v>332</v>
      </c>
    </row>
    <row r="97" spans="1:8" x14ac:dyDescent="0.2">
      <c r="A97" s="2" t="s">
        <v>284</v>
      </c>
      <c r="B97" s="9">
        <f>1/7</f>
        <v>0.14285714285714285</v>
      </c>
      <c r="D97" s="1" t="s">
        <v>122</v>
      </c>
      <c r="E97" s="1">
        <f>1^2 -4 * 1 *-0.86</f>
        <v>4.4399999999999995</v>
      </c>
    </row>
    <row r="98" spans="1:8" x14ac:dyDescent="0.2">
      <c r="A98" s="2" t="s">
        <v>286</v>
      </c>
      <c r="B98" s="2"/>
      <c r="D98" s="1" t="s">
        <v>333</v>
      </c>
      <c r="E98" s="1">
        <f>(-1+SQRT(E97))/2</f>
        <v>0.55356537528527383</v>
      </c>
      <c r="F98" s="1">
        <f>(-1-SQRT(E97))/2</f>
        <v>-1.5535653752852738</v>
      </c>
    </row>
    <row r="99" spans="1:8" x14ac:dyDescent="0.2">
      <c r="A99" s="13"/>
    </row>
    <row r="100" spans="1:8" x14ac:dyDescent="0.2">
      <c r="A100" s="2" t="s">
        <v>179</v>
      </c>
      <c r="B100" s="7">
        <f>B95</f>
        <v>0.55356537528527383</v>
      </c>
      <c r="C100" s="22"/>
    </row>
    <row r="101" spans="1:8" x14ac:dyDescent="0.2">
      <c r="A101" s="32" t="s">
        <v>334</v>
      </c>
      <c r="B101" s="32"/>
      <c r="C101" s="32"/>
      <c r="D101" s="32"/>
      <c r="E101" s="32"/>
      <c r="F101" s="32"/>
      <c r="G101" s="32"/>
      <c r="H101" s="32"/>
    </row>
    <row r="102" spans="1:8" x14ac:dyDescent="0.2">
      <c r="A102" s="32"/>
      <c r="B102" s="32"/>
      <c r="C102" s="32"/>
      <c r="D102" s="32"/>
      <c r="E102" s="32"/>
      <c r="F102" s="32"/>
      <c r="G102" s="32"/>
      <c r="H102" s="32"/>
    </row>
    <row r="103" spans="1:8" x14ac:dyDescent="0.2">
      <c r="A103" s="32"/>
      <c r="B103" s="32"/>
      <c r="C103" s="32"/>
      <c r="D103" s="32"/>
      <c r="E103" s="32"/>
      <c r="F103" s="32"/>
      <c r="G103" s="32"/>
      <c r="H103" s="32"/>
    </row>
    <row r="104" spans="1:8" x14ac:dyDescent="0.2">
      <c r="A104" s="32"/>
      <c r="B104" s="32"/>
      <c r="C104" s="32"/>
      <c r="D104" s="32"/>
      <c r="E104" s="32"/>
      <c r="F104" s="32"/>
      <c r="G104" s="32"/>
      <c r="H104" s="32"/>
    </row>
    <row r="105" spans="1:8" x14ac:dyDescent="0.2">
      <c r="A105" s="32"/>
      <c r="B105" s="32"/>
      <c r="C105" s="32"/>
      <c r="D105" s="32"/>
      <c r="E105" s="32"/>
      <c r="F105" s="32"/>
      <c r="G105" s="32"/>
      <c r="H105" s="32"/>
    </row>
    <row r="106" spans="1:8" x14ac:dyDescent="0.2">
      <c r="A106" s="2" t="s">
        <v>301</v>
      </c>
      <c r="B106" s="2">
        <v>0.11</v>
      </c>
      <c r="C106" s="1" t="s">
        <v>336</v>
      </c>
      <c r="D106" s="1" t="s">
        <v>3</v>
      </c>
      <c r="E106" s="15">
        <f>B108/3.4</f>
        <v>2.9411764705882356E-2</v>
      </c>
    </row>
    <row r="107" spans="1:8" x14ac:dyDescent="0.2">
      <c r="A107" s="2" t="s">
        <v>302</v>
      </c>
      <c r="B107" s="2">
        <v>0.18</v>
      </c>
      <c r="C107" s="1" t="s">
        <v>337</v>
      </c>
      <c r="D107" s="1" t="s">
        <v>338</v>
      </c>
      <c r="E107" s="15">
        <f>E106*2.4</f>
        <v>7.0588235294117646E-2</v>
      </c>
    </row>
    <row r="108" spans="1:8" x14ac:dyDescent="0.2">
      <c r="A108" s="2" t="s">
        <v>148</v>
      </c>
      <c r="B108" s="2">
        <v>0.1</v>
      </c>
    </row>
    <row r="109" spans="1:8" x14ac:dyDescent="0.2">
      <c r="A109" s="2"/>
      <c r="B109" s="2"/>
    </row>
    <row r="110" spans="1:8" x14ac:dyDescent="0.2">
      <c r="A110" s="13"/>
      <c r="B110" s="24"/>
    </row>
    <row r="111" spans="1:8" x14ac:dyDescent="0.2">
      <c r="A111" s="2" t="s">
        <v>339</v>
      </c>
      <c r="B111" s="2">
        <f>E107^2/(E106^2+E107^2)</f>
        <v>0.85207100591715967</v>
      </c>
    </row>
    <row r="118" spans="1:7" x14ac:dyDescent="0.2">
      <c r="A118" s="32" t="s">
        <v>283</v>
      </c>
      <c r="B118" s="33"/>
      <c r="C118" s="33"/>
      <c r="D118" s="33"/>
      <c r="E118" s="33"/>
      <c r="F118" s="33"/>
      <c r="G118" s="33"/>
    </row>
    <row r="119" spans="1:7" x14ac:dyDescent="0.2">
      <c r="A119" s="33"/>
      <c r="B119" s="33"/>
      <c r="C119" s="33"/>
      <c r="D119" s="33"/>
      <c r="E119" s="33"/>
      <c r="F119" s="33"/>
      <c r="G119" s="33"/>
    </row>
    <row r="120" spans="1:7" x14ac:dyDescent="0.2">
      <c r="A120" s="33"/>
      <c r="B120" s="33"/>
      <c r="C120" s="33"/>
      <c r="D120" s="33"/>
      <c r="E120" s="33"/>
      <c r="F120" s="33"/>
      <c r="G120" s="33"/>
    </row>
    <row r="121" spans="1:7" x14ac:dyDescent="0.2">
      <c r="A121" s="33"/>
      <c r="B121" s="33"/>
      <c r="C121" s="33"/>
      <c r="D121" s="33"/>
      <c r="E121" s="33"/>
      <c r="F121" s="33"/>
      <c r="G121" s="33"/>
    </row>
    <row r="122" spans="1:7" x14ac:dyDescent="0.2">
      <c r="A122" s="33"/>
      <c r="B122" s="33"/>
      <c r="C122" s="33"/>
      <c r="D122" s="33"/>
      <c r="E122" s="33"/>
      <c r="F122" s="33"/>
      <c r="G122" s="33"/>
    </row>
    <row r="123" spans="1:7" x14ac:dyDescent="0.2">
      <c r="A123" s="2" t="s">
        <v>119</v>
      </c>
      <c r="B123" s="2">
        <v>0.05</v>
      </c>
      <c r="D123" s="22"/>
    </row>
    <row r="124" spans="1:7" x14ac:dyDescent="0.2">
      <c r="A124" s="2" t="s">
        <v>120</v>
      </c>
      <c r="B124" s="9">
        <f>(1-0.05)/3</f>
        <v>0.31666666666666665</v>
      </c>
      <c r="C124" s="1" t="s">
        <v>3</v>
      </c>
      <c r="D124" s="22"/>
    </row>
    <row r="125" spans="1:7" x14ac:dyDescent="0.2">
      <c r="A125" s="2" t="s">
        <v>284</v>
      </c>
      <c r="B125" s="9">
        <f>B124*2</f>
        <v>0.6333333333333333</v>
      </c>
      <c r="C125" s="1" t="s">
        <v>285</v>
      </c>
    </row>
    <row r="126" spans="1:7" x14ac:dyDescent="0.2">
      <c r="A126" s="2" t="s">
        <v>286</v>
      </c>
      <c r="B126" s="2"/>
    </row>
    <row r="128" spans="1:7" x14ac:dyDescent="0.2">
      <c r="A128" s="2" t="s">
        <v>288</v>
      </c>
      <c r="B128" s="9">
        <f>B124</f>
        <v>0.31666666666666665</v>
      </c>
    </row>
    <row r="129" spans="1:9" x14ac:dyDescent="0.2">
      <c r="A129" s="32" t="s">
        <v>290</v>
      </c>
      <c r="B129" s="33"/>
      <c r="C129" s="33"/>
      <c r="D129" s="33"/>
      <c r="E129" s="33"/>
      <c r="F129" s="33"/>
      <c r="G129" s="33"/>
    </row>
    <row r="130" spans="1:9" x14ac:dyDescent="0.2">
      <c r="A130" s="33"/>
      <c r="B130" s="33"/>
      <c r="C130" s="33"/>
      <c r="D130" s="33"/>
      <c r="E130" s="33"/>
      <c r="F130" s="33"/>
      <c r="G130" s="33"/>
    </row>
    <row r="131" spans="1:9" x14ac:dyDescent="0.2">
      <c r="A131" s="33"/>
      <c r="B131" s="33"/>
      <c r="C131" s="33"/>
      <c r="D131" s="33"/>
      <c r="E131" s="33"/>
      <c r="F131" s="33"/>
      <c r="G131" s="33"/>
    </row>
    <row r="132" spans="1:9" x14ac:dyDescent="0.2">
      <c r="A132" s="33"/>
      <c r="B132" s="33"/>
      <c r="C132" s="33"/>
      <c r="D132" s="33"/>
      <c r="E132" s="33"/>
      <c r="F132" s="33"/>
      <c r="G132" s="33"/>
    </row>
    <row r="133" spans="1:9" x14ac:dyDescent="0.2">
      <c r="A133" s="33"/>
      <c r="B133" s="33"/>
      <c r="C133" s="33"/>
      <c r="D133" s="33"/>
      <c r="E133" s="33"/>
      <c r="F133" s="33"/>
      <c r="G133" s="33"/>
    </row>
    <row r="134" spans="1:9" x14ac:dyDescent="0.2">
      <c r="A134" s="2">
        <v>0.14000000000000001</v>
      </c>
      <c r="B134" s="2">
        <v>0.27</v>
      </c>
      <c r="C134" s="1" t="s">
        <v>119</v>
      </c>
      <c r="D134" s="15">
        <f>1-D135</f>
        <v>0.65217391304347827</v>
      </c>
    </row>
    <row r="135" spans="1:9" x14ac:dyDescent="0.2">
      <c r="A135" s="2">
        <v>0.37</v>
      </c>
      <c r="B135" s="2">
        <v>0.46</v>
      </c>
      <c r="C135" s="1" t="s">
        <v>120</v>
      </c>
      <c r="D135" s="15">
        <f>8/23</f>
        <v>0.34782608695652173</v>
      </c>
    </row>
    <row r="136" spans="1:9" x14ac:dyDescent="0.2">
      <c r="A136" s="2" t="s">
        <v>235</v>
      </c>
      <c r="B136" s="2">
        <v>-1</v>
      </c>
      <c r="C136" s="1" t="s">
        <v>291</v>
      </c>
    </row>
    <row r="137" spans="1:9" x14ac:dyDescent="0.2">
      <c r="A137" s="2" t="s">
        <v>287</v>
      </c>
      <c r="B137" s="2">
        <v>0.2</v>
      </c>
      <c r="C137" s="1" t="s">
        <v>292</v>
      </c>
      <c r="E137" s="1" t="s">
        <v>293</v>
      </c>
    </row>
    <row r="139" spans="1:9" x14ac:dyDescent="0.2">
      <c r="A139" s="2" t="s">
        <v>148</v>
      </c>
      <c r="B139" s="9">
        <f>D134*B134-B135*D135</f>
        <v>1.6086956521739137E-2</v>
      </c>
    </row>
    <row r="141" spans="1:9" x14ac:dyDescent="0.2">
      <c r="A141" s="32" t="s">
        <v>295</v>
      </c>
      <c r="B141" s="32"/>
      <c r="C141" s="32"/>
      <c r="D141" s="32"/>
      <c r="E141" s="32"/>
      <c r="F141" s="32"/>
      <c r="G141" s="32"/>
      <c r="H141" s="32"/>
      <c r="I141" s="32"/>
    </row>
    <row r="142" spans="1:9" x14ac:dyDescent="0.2">
      <c r="A142" s="32"/>
      <c r="B142" s="32"/>
      <c r="C142" s="32"/>
      <c r="D142" s="32"/>
      <c r="E142" s="32"/>
      <c r="F142" s="32"/>
      <c r="G142" s="32"/>
      <c r="H142" s="32"/>
      <c r="I142" s="32"/>
    </row>
    <row r="143" spans="1:9" x14ac:dyDescent="0.2">
      <c r="A143" s="32"/>
      <c r="B143" s="32"/>
      <c r="C143" s="32"/>
      <c r="D143" s="32"/>
      <c r="E143" s="32"/>
      <c r="F143" s="32"/>
      <c r="G143" s="32"/>
      <c r="H143" s="32"/>
      <c r="I143" s="32"/>
    </row>
    <row r="144" spans="1:9" x14ac:dyDescent="0.2">
      <c r="A144" s="32"/>
      <c r="B144" s="32"/>
      <c r="C144" s="32"/>
      <c r="D144" s="32"/>
      <c r="E144" s="32"/>
      <c r="F144" s="32"/>
      <c r="G144" s="32"/>
      <c r="H144" s="32"/>
      <c r="I144" s="32"/>
    </row>
    <row r="145" spans="1:9" x14ac:dyDescent="0.2">
      <c r="A145" s="32"/>
      <c r="B145" s="32"/>
      <c r="C145" s="32"/>
      <c r="D145" s="32"/>
      <c r="E145" s="32"/>
      <c r="F145" s="32"/>
      <c r="G145" s="32"/>
      <c r="H145" s="32"/>
      <c r="I145" s="32"/>
    </row>
    <row r="146" spans="1:9" x14ac:dyDescent="0.2">
      <c r="A146" s="2" t="s">
        <v>119</v>
      </c>
      <c r="B146" s="1">
        <f>B148*1.56</f>
        <v>0.45093749999999999</v>
      </c>
      <c r="C146" s="1" t="s">
        <v>297</v>
      </c>
    </row>
    <row r="147" spans="1:9" x14ac:dyDescent="0.2">
      <c r="A147" s="2" t="s">
        <v>120</v>
      </c>
      <c r="B147" s="2">
        <v>0.26</v>
      </c>
    </row>
    <row r="148" spans="1:9" x14ac:dyDescent="0.2">
      <c r="A148" s="2" t="s">
        <v>284</v>
      </c>
      <c r="B148" s="1">
        <f>(1-0.26)/2.56</f>
        <v>0.2890625</v>
      </c>
      <c r="C148" s="1" t="s">
        <v>3</v>
      </c>
    </row>
    <row r="149" spans="1:9" x14ac:dyDescent="0.2">
      <c r="A149" s="2"/>
      <c r="B149" s="2"/>
      <c r="C149" s="1" t="s">
        <v>286</v>
      </c>
    </row>
    <row r="150" spans="1:9" x14ac:dyDescent="0.2">
      <c r="A150" s="13"/>
      <c r="B150" s="13"/>
    </row>
    <row r="151" spans="1:9" x14ac:dyDescent="0.2">
      <c r="A151" s="2" t="s">
        <v>179</v>
      </c>
      <c r="B151" s="9">
        <f>B146</f>
        <v>0.45093749999999999</v>
      </c>
    </row>
    <row r="152" spans="1:9" x14ac:dyDescent="0.2">
      <c r="A152" s="32" t="s">
        <v>300</v>
      </c>
      <c r="B152" s="32"/>
      <c r="C152" s="32"/>
      <c r="D152" s="32"/>
      <c r="E152" s="32"/>
      <c r="F152" s="32"/>
      <c r="G152" s="32"/>
      <c r="H152" s="32"/>
      <c r="I152" s="32"/>
    </row>
    <row r="153" spans="1:9" x14ac:dyDescent="0.2">
      <c r="A153" s="32"/>
      <c r="B153" s="32"/>
      <c r="C153" s="32"/>
      <c r="D153" s="32"/>
      <c r="E153" s="32"/>
      <c r="F153" s="32"/>
      <c r="G153" s="32"/>
      <c r="H153" s="32"/>
      <c r="I153" s="32"/>
    </row>
    <row r="154" spans="1:9" x14ac:dyDescent="0.2">
      <c r="A154" s="32"/>
      <c r="B154" s="32"/>
      <c r="C154" s="32"/>
      <c r="D154" s="32"/>
      <c r="E154" s="32"/>
      <c r="F154" s="32"/>
      <c r="G154" s="32"/>
      <c r="H154" s="32"/>
      <c r="I154" s="32"/>
    </row>
    <row r="155" spans="1:9" x14ac:dyDescent="0.2">
      <c r="A155" s="32"/>
      <c r="B155" s="32"/>
      <c r="C155" s="32"/>
      <c r="D155" s="32"/>
      <c r="E155" s="32"/>
      <c r="F155" s="32"/>
      <c r="G155" s="32"/>
      <c r="H155" s="32"/>
      <c r="I155" s="32"/>
    </row>
    <row r="156" spans="1:9" x14ac:dyDescent="0.2">
      <c r="A156" s="32"/>
      <c r="B156" s="32"/>
      <c r="C156" s="32"/>
      <c r="D156" s="32"/>
      <c r="E156" s="32"/>
      <c r="F156" s="32"/>
      <c r="G156" s="32"/>
      <c r="H156" s="32"/>
      <c r="I156" s="32"/>
    </row>
    <row r="157" spans="1:9" x14ac:dyDescent="0.2">
      <c r="A157" s="2" t="s">
        <v>119</v>
      </c>
      <c r="B157" s="2">
        <v>0.4</v>
      </c>
      <c r="C157" s="1">
        <v>0.4</v>
      </c>
    </row>
    <row r="158" spans="1:9" x14ac:dyDescent="0.2">
      <c r="A158" s="2" t="s">
        <v>120</v>
      </c>
      <c r="B158" s="1">
        <f>B159*1.46</f>
        <v>0.35609756097560974</v>
      </c>
      <c r="C158" s="1" t="s">
        <v>304</v>
      </c>
    </row>
    <row r="159" spans="1:9" x14ac:dyDescent="0.2">
      <c r="A159" s="2" t="s">
        <v>284</v>
      </c>
      <c r="B159" s="1">
        <f>0.6/2.46</f>
        <v>0.24390243902439024</v>
      </c>
      <c r="C159" s="1" t="s">
        <v>3</v>
      </c>
    </row>
    <row r="160" spans="1:9" x14ac:dyDescent="0.2">
      <c r="A160" s="2"/>
      <c r="B160" s="2"/>
      <c r="C160" s="1" t="s">
        <v>286</v>
      </c>
    </row>
    <row r="161" spans="1:9" x14ac:dyDescent="0.2">
      <c r="A161" s="13"/>
      <c r="B161" s="13"/>
    </row>
    <row r="162" spans="1:9" x14ac:dyDescent="0.2">
      <c r="A162" s="2" t="s">
        <v>307</v>
      </c>
      <c r="B162" s="3">
        <f>B159</f>
        <v>0.24390243902439024</v>
      </c>
    </row>
    <row r="163" spans="1:9" x14ac:dyDescent="0.2">
      <c r="A163" s="32" t="s">
        <v>309</v>
      </c>
      <c r="B163" s="32"/>
      <c r="C163" s="32"/>
      <c r="D163" s="32"/>
      <c r="E163" s="32"/>
      <c r="F163" s="32"/>
      <c r="G163" s="32"/>
      <c r="H163" s="32"/>
      <c r="I163" s="32"/>
    </row>
    <row r="164" spans="1:9" x14ac:dyDescent="0.2">
      <c r="A164" s="32"/>
      <c r="B164" s="32"/>
      <c r="C164" s="32"/>
      <c r="D164" s="32"/>
      <c r="E164" s="32"/>
      <c r="F164" s="32"/>
      <c r="G164" s="32"/>
      <c r="H164" s="32"/>
      <c r="I164" s="32"/>
    </row>
    <row r="165" spans="1:9" x14ac:dyDescent="0.2">
      <c r="A165" s="32"/>
      <c r="B165" s="32"/>
      <c r="C165" s="32"/>
      <c r="D165" s="32"/>
      <c r="E165" s="32"/>
      <c r="F165" s="32"/>
      <c r="G165" s="32"/>
      <c r="H165" s="32"/>
      <c r="I165" s="32"/>
    </row>
    <row r="166" spans="1:9" x14ac:dyDescent="0.2">
      <c r="A166" s="32"/>
      <c r="B166" s="32"/>
      <c r="C166" s="32"/>
      <c r="D166" s="32"/>
      <c r="E166" s="32"/>
      <c r="F166" s="32"/>
      <c r="G166" s="32"/>
      <c r="H166" s="32"/>
      <c r="I166" s="32"/>
    </row>
    <row r="167" spans="1:9" x14ac:dyDescent="0.2">
      <c r="A167" s="32"/>
      <c r="B167" s="32"/>
      <c r="C167" s="32"/>
      <c r="D167" s="32"/>
      <c r="E167" s="32"/>
      <c r="F167" s="32"/>
      <c r="G167" s="32"/>
      <c r="H167" s="32"/>
      <c r="I167" s="32"/>
    </row>
    <row r="168" spans="1:9" x14ac:dyDescent="0.2">
      <c r="A168" s="2">
        <v>0.12</v>
      </c>
      <c r="B168" s="2">
        <v>0.18</v>
      </c>
    </row>
    <row r="169" spans="1:9" x14ac:dyDescent="0.2">
      <c r="A169" s="2">
        <v>0.2</v>
      </c>
      <c r="B169" s="2">
        <v>0.46</v>
      </c>
    </row>
    <row r="170" spans="1:9" x14ac:dyDescent="0.2">
      <c r="A170" s="2" t="s">
        <v>235</v>
      </c>
      <c r="B170" s="2">
        <v>-1</v>
      </c>
    </row>
    <row r="171" spans="1:9" x14ac:dyDescent="0.2">
      <c r="A171" s="2"/>
      <c r="B171" s="2"/>
    </row>
    <row r="172" spans="1:9" x14ac:dyDescent="0.2">
      <c r="A172" s="13"/>
      <c r="B172" s="13"/>
    </row>
    <row r="173" spans="1:9" x14ac:dyDescent="0.2">
      <c r="A173" s="2" t="s">
        <v>287</v>
      </c>
      <c r="B173" s="9">
        <f>(A168*B169+A169*B168)/(B168+B169)</f>
        <v>0.14250000000000002</v>
      </c>
    </row>
    <row r="174" spans="1:9" x14ac:dyDescent="0.2">
      <c r="A174" s="32" t="s">
        <v>311</v>
      </c>
      <c r="B174" s="32"/>
      <c r="C174" s="32"/>
      <c r="D174" s="32"/>
      <c r="E174" s="32"/>
      <c r="F174" s="32"/>
      <c r="G174" s="32"/>
      <c r="H174" s="32"/>
      <c r="I174" s="32"/>
    </row>
    <row r="175" spans="1:9" x14ac:dyDescent="0.2">
      <c r="A175" s="32"/>
      <c r="B175" s="32"/>
      <c r="C175" s="32"/>
      <c r="D175" s="32"/>
      <c r="E175" s="32"/>
      <c r="F175" s="32"/>
      <c r="G175" s="32"/>
      <c r="H175" s="32"/>
      <c r="I175" s="32"/>
    </row>
    <row r="176" spans="1:9" x14ac:dyDescent="0.2">
      <c r="A176" s="32"/>
      <c r="B176" s="32"/>
      <c r="C176" s="32"/>
      <c r="D176" s="32"/>
      <c r="E176" s="32"/>
      <c r="F176" s="32"/>
      <c r="G176" s="32"/>
      <c r="H176" s="32"/>
      <c r="I176" s="32"/>
    </row>
    <row r="177" spans="1:9" x14ac:dyDescent="0.2">
      <c r="A177" s="32"/>
      <c r="B177" s="32"/>
      <c r="C177" s="32"/>
      <c r="D177" s="32"/>
      <c r="E177" s="32"/>
      <c r="F177" s="32"/>
      <c r="G177" s="32"/>
      <c r="H177" s="32"/>
      <c r="I177" s="32"/>
    </row>
    <row r="178" spans="1:9" x14ac:dyDescent="0.2">
      <c r="A178" s="32"/>
      <c r="B178" s="32"/>
      <c r="C178" s="32"/>
      <c r="D178" s="32"/>
      <c r="E178" s="32"/>
      <c r="F178" s="32"/>
      <c r="G178" s="32"/>
      <c r="H178" s="32"/>
      <c r="I178" s="32"/>
    </row>
    <row r="179" spans="1:9" x14ac:dyDescent="0.2">
      <c r="A179" s="2" t="s">
        <v>301</v>
      </c>
      <c r="B179" s="2">
        <v>-0.15</v>
      </c>
    </row>
    <row r="180" spans="1:9" x14ac:dyDescent="0.2">
      <c r="A180" s="2" t="s">
        <v>302</v>
      </c>
      <c r="B180" s="2">
        <v>0.18</v>
      </c>
    </row>
    <row r="181" spans="1:9" x14ac:dyDescent="0.2">
      <c r="A181" s="2" t="s">
        <v>312</v>
      </c>
      <c r="B181" s="2">
        <v>0.23</v>
      </c>
    </row>
    <row r="182" spans="1:9" x14ac:dyDescent="0.2">
      <c r="A182" s="2" t="s">
        <v>90</v>
      </c>
      <c r="B182" s="2">
        <f>1/3</f>
        <v>0.33333333333333331</v>
      </c>
    </row>
    <row r="183" spans="1:9" x14ac:dyDescent="0.2">
      <c r="A183" s="13"/>
    </row>
    <row r="184" spans="1:9" x14ac:dyDescent="0.2">
      <c r="A184" s="2" t="s">
        <v>287</v>
      </c>
      <c r="B184" s="2">
        <f>B182*B179+B180*B182+B181*B182</f>
        <v>8.666666666666667E-2</v>
      </c>
    </row>
    <row r="185" spans="1:9" x14ac:dyDescent="0.2">
      <c r="A185" s="32" t="s">
        <v>314</v>
      </c>
      <c r="B185" s="33"/>
      <c r="C185" s="33"/>
      <c r="D185" s="33"/>
      <c r="E185" s="33"/>
      <c r="F185" s="33"/>
      <c r="G185" s="33"/>
    </row>
    <row r="186" spans="1:9" x14ac:dyDescent="0.2">
      <c r="A186" s="33"/>
      <c r="B186" s="33"/>
      <c r="C186" s="33"/>
      <c r="D186" s="33"/>
      <c r="E186" s="33"/>
      <c r="F186" s="33"/>
      <c r="G186" s="33"/>
    </row>
    <row r="187" spans="1:9" x14ac:dyDescent="0.2">
      <c r="A187" s="33"/>
      <c r="B187" s="33"/>
      <c r="C187" s="33"/>
      <c r="D187" s="33"/>
      <c r="E187" s="33"/>
      <c r="F187" s="33"/>
      <c r="G187" s="33"/>
    </row>
    <row r="188" spans="1:9" x14ac:dyDescent="0.2">
      <c r="A188" s="33"/>
      <c r="B188" s="33"/>
      <c r="C188" s="33"/>
      <c r="D188" s="33"/>
      <c r="E188" s="33"/>
      <c r="F188" s="33"/>
      <c r="G188" s="33"/>
    </row>
    <row r="189" spans="1:9" x14ac:dyDescent="0.2">
      <c r="A189" s="33"/>
      <c r="B189" s="33"/>
      <c r="C189" s="33"/>
      <c r="D189" s="33"/>
      <c r="E189" s="33"/>
      <c r="F189" s="33"/>
      <c r="G189" s="33"/>
    </row>
    <row r="190" spans="1:9" x14ac:dyDescent="0.2">
      <c r="A190" s="2">
        <v>0.17</v>
      </c>
      <c r="B190" s="2"/>
      <c r="C190" s="1" t="s">
        <v>119</v>
      </c>
      <c r="D190" s="1" t="s">
        <v>3</v>
      </c>
      <c r="E190" s="1">
        <f>1/5</f>
        <v>0.2</v>
      </c>
    </row>
    <row r="191" spans="1:9" x14ac:dyDescent="0.2">
      <c r="A191" s="2">
        <v>0.27</v>
      </c>
      <c r="B191" s="2"/>
      <c r="C191" s="1" t="s">
        <v>120</v>
      </c>
      <c r="D191" s="1" t="s">
        <v>316</v>
      </c>
      <c r="E191" s="1">
        <f>4/5</f>
        <v>0.8</v>
      </c>
    </row>
    <row r="192" spans="1:9" x14ac:dyDescent="0.2">
      <c r="A192" s="2" t="s">
        <v>235</v>
      </c>
      <c r="B192" s="2">
        <v>-1</v>
      </c>
    </row>
    <row r="193" spans="1:7" x14ac:dyDescent="0.2">
      <c r="A193" s="2"/>
      <c r="B193" s="2"/>
    </row>
    <row r="194" spans="1:7" x14ac:dyDescent="0.2">
      <c r="A194" s="13"/>
      <c r="B194" s="13"/>
    </row>
    <row r="195" spans="1:7" x14ac:dyDescent="0.2">
      <c r="A195" s="2" t="s">
        <v>287</v>
      </c>
      <c r="B195" s="9">
        <f>A190*E190+A191*E191</f>
        <v>0.25</v>
      </c>
    </row>
    <row r="196" spans="1:7" x14ac:dyDescent="0.2">
      <c r="A196" s="32" t="s">
        <v>319</v>
      </c>
      <c r="B196" s="33"/>
      <c r="C196" s="33"/>
      <c r="D196" s="33"/>
      <c r="E196" s="33"/>
      <c r="F196" s="33"/>
      <c r="G196" s="33"/>
    </row>
    <row r="197" spans="1:7" x14ac:dyDescent="0.2">
      <c r="A197" s="33"/>
      <c r="B197" s="33"/>
      <c r="C197" s="33"/>
      <c r="D197" s="33"/>
      <c r="E197" s="33"/>
      <c r="F197" s="33"/>
      <c r="G197" s="33"/>
    </row>
    <row r="198" spans="1:7" x14ac:dyDescent="0.2">
      <c r="A198" s="33"/>
      <c r="B198" s="33"/>
      <c r="C198" s="33"/>
      <c r="D198" s="33"/>
      <c r="E198" s="33"/>
      <c r="F198" s="33"/>
      <c r="G198" s="33"/>
    </row>
    <row r="199" spans="1:7" x14ac:dyDescent="0.2">
      <c r="A199" s="33"/>
      <c r="B199" s="33"/>
      <c r="C199" s="33"/>
      <c r="D199" s="33"/>
      <c r="E199" s="33"/>
      <c r="F199" s="33"/>
      <c r="G199" s="33"/>
    </row>
    <row r="200" spans="1:7" x14ac:dyDescent="0.2">
      <c r="A200" s="33"/>
      <c r="B200" s="33"/>
      <c r="C200" s="33"/>
      <c r="D200" s="33"/>
      <c r="E200" s="33"/>
      <c r="F200" s="33"/>
      <c r="G200" s="33"/>
    </row>
    <row r="201" spans="1:7" x14ac:dyDescent="0.2">
      <c r="A201" s="2"/>
      <c r="B201" s="2" t="s">
        <v>179</v>
      </c>
      <c r="C201" s="1" t="s">
        <v>288</v>
      </c>
      <c r="D201" s="1" t="s">
        <v>320</v>
      </c>
      <c r="E201" s="1" t="s">
        <v>122</v>
      </c>
    </row>
    <row r="202" spans="1:7" x14ac:dyDescent="0.2">
      <c r="A202" s="2" t="s">
        <v>321</v>
      </c>
      <c r="B202" s="2">
        <v>200</v>
      </c>
      <c r="C202" s="1">
        <v>350</v>
      </c>
      <c r="D202" s="1">
        <v>150</v>
      </c>
      <c r="E202" s="1">
        <v>400</v>
      </c>
    </row>
    <row r="203" spans="1:7" x14ac:dyDescent="0.2">
      <c r="A203" s="2" t="s">
        <v>322</v>
      </c>
      <c r="B203" s="2">
        <v>70</v>
      </c>
      <c r="C203" s="1">
        <v>90</v>
      </c>
      <c r="D203" s="1">
        <v>180</v>
      </c>
      <c r="E203" s="1">
        <v>300</v>
      </c>
    </row>
    <row r="204" spans="1:7" x14ac:dyDescent="0.2">
      <c r="A204" s="2" t="s">
        <v>325</v>
      </c>
      <c r="B204" s="2">
        <v>100</v>
      </c>
      <c r="C204" s="1">
        <v>60</v>
      </c>
      <c r="D204" s="1">
        <v>250</v>
      </c>
      <c r="E204" s="1">
        <v>310</v>
      </c>
    </row>
    <row r="205" spans="1:7" x14ac:dyDescent="0.2">
      <c r="A205" s="13"/>
      <c r="B205" s="13" t="s">
        <v>326</v>
      </c>
      <c r="C205" s="1">
        <f>B202*B203+C202*C203+D202*D203+E202*E203</f>
        <v>192500</v>
      </c>
      <c r="D205" s="1" t="s">
        <v>327</v>
      </c>
      <c r="E205" s="1">
        <f>B202*B204+C202*C204+D202*D204+E202*E204</f>
        <v>202500</v>
      </c>
    </row>
    <row r="206" spans="1:7" x14ac:dyDescent="0.2">
      <c r="A206" s="2" t="s">
        <v>287</v>
      </c>
      <c r="B206" s="9">
        <f>(E205-C205)/C205*100</f>
        <v>5.1948051948051948</v>
      </c>
      <c r="C206" s="1" t="s">
        <v>251</v>
      </c>
    </row>
    <row r="207" spans="1:7" x14ac:dyDescent="0.2">
      <c r="A207" s="32" t="s">
        <v>329</v>
      </c>
      <c r="B207" s="33"/>
      <c r="C207" s="33"/>
      <c r="D207" s="33"/>
      <c r="E207" s="33"/>
      <c r="F207" s="33"/>
      <c r="G207" s="33"/>
    </row>
    <row r="208" spans="1:7" x14ac:dyDescent="0.2">
      <c r="A208" s="33"/>
      <c r="B208" s="33"/>
      <c r="C208" s="33"/>
      <c r="D208" s="33"/>
      <c r="E208" s="33"/>
      <c r="F208" s="33"/>
      <c r="G208" s="33"/>
    </row>
    <row r="209" spans="1:7" x14ac:dyDescent="0.2">
      <c r="A209" s="33"/>
      <c r="B209" s="33"/>
      <c r="C209" s="33"/>
      <c r="D209" s="33"/>
      <c r="E209" s="33"/>
      <c r="F209" s="33"/>
      <c r="G209" s="33"/>
    </row>
    <row r="210" spans="1:7" x14ac:dyDescent="0.2">
      <c r="A210" s="33"/>
      <c r="B210" s="33"/>
      <c r="C210" s="33"/>
      <c r="D210" s="33"/>
      <c r="E210" s="33"/>
      <c r="F210" s="33"/>
      <c r="G210" s="33"/>
    </row>
    <row r="211" spans="1:7" x14ac:dyDescent="0.2">
      <c r="A211" s="33"/>
      <c r="B211" s="33"/>
      <c r="C211" s="33"/>
      <c r="D211" s="33"/>
      <c r="E211" s="33"/>
      <c r="F211" s="33"/>
      <c r="G211" s="33"/>
    </row>
    <row r="212" spans="1:7" x14ac:dyDescent="0.2">
      <c r="A212" s="2">
        <v>0.32</v>
      </c>
      <c r="B212" s="2" t="s">
        <v>119</v>
      </c>
      <c r="C212" s="1" t="s">
        <v>330</v>
      </c>
      <c r="D212" s="15">
        <f>D213-24/100*D213</f>
        <v>0.43181818181818188</v>
      </c>
    </row>
    <row r="213" spans="1:7" x14ac:dyDescent="0.2">
      <c r="A213" s="13">
        <v>0.28000000000000003</v>
      </c>
      <c r="B213" s="13" t="s">
        <v>120</v>
      </c>
      <c r="C213" s="1" t="s">
        <v>3</v>
      </c>
      <c r="D213" s="15">
        <f>1/(2-24/100)</f>
        <v>0.56818181818181823</v>
      </c>
    </row>
    <row r="214" spans="1:7" x14ac:dyDescent="0.2">
      <c r="A214" s="13" t="s">
        <v>235</v>
      </c>
      <c r="B214" s="13">
        <v>-1</v>
      </c>
      <c r="C214" s="1" t="s">
        <v>305</v>
      </c>
    </row>
    <row r="215" spans="1:7" x14ac:dyDescent="0.2">
      <c r="A215" s="13"/>
      <c r="B215" s="13"/>
    </row>
    <row r="216" spans="1:7" x14ac:dyDescent="0.2">
      <c r="A216" s="13"/>
      <c r="B216" s="13"/>
    </row>
    <row r="217" spans="1:7" x14ac:dyDescent="0.2">
      <c r="A217" s="2" t="s">
        <v>287</v>
      </c>
      <c r="B217" s="9">
        <f>A212*D212+A213*D213</f>
        <v>0.29727272727272736</v>
      </c>
    </row>
    <row r="219" spans="1:7" x14ac:dyDescent="0.2">
      <c r="A219" s="32" t="s">
        <v>335</v>
      </c>
      <c r="B219" s="33"/>
      <c r="C219" s="33"/>
      <c r="D219" s="33"/>
      <c r="E219" s="33"/>
      <c r="F219" s="33"/>
      <c r="G219" s="33"/>
    </row>
    <row r="220" spans="1:7" x14ac:dyDescent="0.2">
      <c r="A220" s="33"/>
      <c r="B220" s="33"/>
      <c r="C220" s="33"/>
      <c r="D220" s="33"/>
      <c r="E220" s="33"/>
      <c r="F220" s="33"/>
      <c r="G220" s="33"/>
    </row>
    <row r="221" spans="1:7" x14ac:dyDescent="0.2">
      <c r="A221" s="33"/>
      <c r="B221" s="33"/>
      <c r="C221" s="33"/>
      <c r="D221" s="33"/>
      <c r="E221" s="33"/>
      <c r="F221" s="33"/>
      <c r="G221" s="33"/>
    </row>
    <row r="222" spans="1:7" x14ac:dyDescent="0.2">
      <c r="A222" s="33"/>
      <c r="B222" s="33"/>
      <c r="C222" s="33"/>
      <c r="D222" s="33"/>
      <c r="E222" s="33"/>
      <c r="F222" s="33"/>
      <c r="G222" s="33"/>
    </row>
    <row r="223" spans="1:7" x14ac:dyDescent="0.2">
      <c r="A223" s="33"/>
      <c r="B223" s="33"/>
      <c r="C223" s="33"/>
      <c r="D223" s="33"/>
      <c r="E223" s="33"/>
      <c r="F223" s="33"/>
      <c r="G223" s="33"/>
    </row>
    <row r="224" spans="1:7" x14ac:dyDescent="0.2">
      <c r="A224" s="2">
        <v>0.65</v>
      </c>
      <c r="B224" s="2">
        <v>0.3</v>
      </c>
    </row>
    <row r="225" spans="1:3" x14ac:dyDescent="0.2">
      <c r="A225" s="2">
        <v>0.48</v>
      </c>
      <c r="B225" s="9">
        <f>SQRT(C225)</f>
        <v>0.40883108632154813</v>
      </c>
      <c r="C225" s="1">
        <f>(B224^2-B227*B224^2)/B227</f>
        <v>0.16714285714285715</v>
      </c>
    </row>
    <row r="226" spans="1:3" x14ac:dyDescent="0.2">
      <c r="A226" s="2" t="s">
        <v>119</v>
      </c>
      <c r="B226" s="2">
        <v>0.65</v>
      </c>
    </row>
    <row r="227" spans="1:3" x14ac:dyDescent="0.2">
      <c r="A227" s="2" t="s">
        <v>120</v>
      </c>
      <c r="B227" s="2">
        <v>0.35</v>
      </c>
    </row>
    <row r="228" spans="1:3" x14ac:dyDescent="0.2">
      <c r="A228" s="13"/>
      <c r="B228" s="13"/>
    </row>
    <row r="229" spans="1:3" x14ac:dyDescent="0.2">
      <c r="A229" s="2" t="s">
        <v>148</v>
      </c>
      <c r="B229" s="9">
        <f>(B224*B225)/(SQRT(B224^2+B225^2))</f>
        <v>0.24186773244895646</v>
      </c>
    </row>
  </sheetData>
  <mergeCells count="20">
    <mergeCell ref="A163:I167"/>
    <mergeCell ref="A57:G61"/>
    <mergeCell ref="A141:I145"/>
    <mergeCell ref="A101:H105"/>
    <mergeCell ref="A219:G223"/>
    <mergeCell ref="A68:H72"/>
    <mergeCell ref="A185:G189"/>
    <mergeCell ref="A79:H83"/>
    <mergeCell ref="A196:G200"/>
    <mergeCell ref="A90:H94"/>
    <mergeCell ref="A207:G211"/>
    <mergeCell ref="A174:I178"/>
    <mergeCell ref="A152:I156"/>
    <mergeCell ref="A1:H5"/>
    <mergeCell ref="A118:G122"/>
    <mergeCell ref="A12:H16"/>
    <mergeCell ref="A129:G133"/>
    <mergeCell ref="A24:H28"/>
    <mergeCell ref="A35:H39"/>
    <mergeCell ref="A46:H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5"/>
  <sheetViews>
    <sheetView topLeftCell="A12" zoomScale="150" workbookViewId="0">
      <selection activeCell="B23" sqref="B23"/>
    </sheetView>
  </sheetViews>
  <sheetFormatPr baseColWidth="10" defaultColWidth="8.83203125" defaultRowHeight="16" x14ac:dyDescent="0.2"/>
  <cols>
    <col min="1" max="1" width="8.83203125" style="1"/>
    <col min="2" max="2" width="9.5" style="1" bestFit="1" customWidth="1"/>
    <col min="3" max="16384" width="8.83203125" style="1"/>
  </cols>
  <sheetData>
    <row r="1" spans="1:7" ht="15" customHeight="1" x14ac:dyDescent="0.2">
      <c r="A1" s="26" t="s">
        <v>32</v>
      </c>
      <c r="B1" s="26"/>
      <c r="C1" s="26"/>
      <c r="D1" s="26"/>
      <c r="E1" s="26"/>
      <c r="F1" s="26"/>
      <c r="G1" s="26"/>
    </row>
    <row r="2" spans="1:7" x14ac:dyDescent="0.2">
      <c r="A2" s="26"/>
      <c r="B2" s="26"/>
      <c r="C2" s="26"/>
      <c r="D2" s="26"/>
      <c r="E2" s="26"/>
      <c r="F2" s="26"/>
      <c r="G2" s="26"/>
    </row>
    <row r="3" spans="1:7" x14ac:dyDescent="0.2">
      <c r="A3" s="26"/>
      <c r="B3" s="26"/>
      <c r="C3" s="26"/>
      <c r="D3" s="26"/>
      <c r="E3" s="26"/>
      <c r="F3" s="26"/>
      <c r="G3" s="26"/>
    </row>
    <row r="4" spans="1:7" x14ac:dyDescent="0.2">
      <c r="A4" s="26"/>
      <c r="B4" s="26"/>
      <c r="C4" s="26"/>
      <c r="D4" s="26"/>
      <c r="E4" s="26"/>
      <c r="F4" s="26"/>
      <c r="G4" s="26"/>
    </row>
    <row r="5" spans="1:7" x14ac:dyDescent="0.2">
      <c r="A5" s="26"/>
      <c r="B5" s="26"/>
      <c r="C5" s="26"/>
      <c r="D5" s="26"/>
      <c r="E5" s="26"/>
      <c r="F5" s="26"/>
      <c r="G5" s="26"/>
    </row>
    <row r="6" spans="1:7" x14ac:dyDescent="0.2">
      <c r="A6" s="2" t="s">
        <v>2</v>
      </c>
      <c r="B6" s="2">
        <v>30000</v>
      </c>
    </row>
    <row r="7" spans="1:7" x14ac:dyDescent="0.2">
      <c r="A7" s="2" t="s">
        <v>7</v>
      </c>
      <c r="B7" s="2">
        <v>0.06</v>
      </c>
    </row>
    <row r="8" spans="1:7" x14ac:dyDescent="0.2">
      <c r="A8" s="2" t="s">
        <v>3</v>
      </c>
      <c r="B8" s="2">
        <f>284-68</f>
        <v>216</v>
      </c>
    </row>
    <row r="9" spans="1:7" x14ac:dyDescent="0.2">
      <c r="A9" s="2" t="s">
        <v>4</v>
      </c>
      <c r="B9" s="2">
        <v>365</v>
      </c>
    </row>
    <row r="11" spans="1:7" x14ac:dyDescent="0.2">
      <c r="A11" s="2" t="s">
        <v>5</v>
      </c>
      <c r="B11" s="9">
        <f>B8/B9</f>
        <v>0.59178082191780823</v>
      </c>
    </row>
    <row r="13" spans="1:7" x14ac:dyDescent="0.2">
      <c r="A13" s="4" t="s">
        <v>1</v>
      </c>
      <c r="B13" s="4">
        <f>B6*(1+B7)^B11</f>
        <v>31052.515015992842</v>
      </c>
    </row>
    <row r="14" spans="1:7" x14ac:dyDescent="0.2">
      <c r="A14" s="26" t="s">
        <v>33</v>
      </c>
      <c r="B14" s="27"/>
      <c r="C14" s="27"/>
      <c r="D14" s="27"/>
      <c r="E14" s="27"/>
      <c r="F14" s="27"/>
      <c r="G14" s="27"/>
    </row>
    <row r="15" spans="1:7" x14ac:dyDescent="0.2">
      <c r="A15" s="27"/>
      <c r="B15" s="27"/>
      <c r="C15" s="27"/>
      <c r="D15" s="27"/>
      <c r="E15" s="27"/>
      <c r="F15" s="27"/>
      <c r="G15" s="27"/>
    </row>
    <row r="16" spans="1:7" x14ac:dyDescent="0.2">
      <c r="A16" s="27"/>
      <c r="B16" s="27"/>
      <c r="C16" s="27"/>
      <c r="D16" s="27"/>
      <c r="E16" s="27"/>
      <c r="F16" s="27"/>
      <c r="G16" s="27"/>
    </row>
    <row r="17" spans="1:7" x14ac:dyDescent="0.2">
      <c r="A17" s="27"/>
      <c r="B17" s="27"/>
      <c r="C17" s="27"/>
      <c r="D17" s="27"/>
      <c r="E17" s="27"/>
      <c r="F17" s="27"/>
      <c r="G17" s="27"/>
    </row>
    <row r="18" spans="1:7" x14ac:dyDescent="0.2">
      <c r="A18" s="27"/>
      <c r="B18" s="27"/>
      <c r="C18" s="27"/>
      <c r="D18" s="27"/>
      <c r="E18" s="27"/>
      <c r="F18" s="27"/>
      <c r="G18" s="27"/>
    </row>
    <row r="19" spans="1:7" x14ac:dyDescent="0.2">
      <c r="A19" s="2" t="s">
        <v>2</v>
      </c>
      <c r="B19" s="2">
        <v>180000</v>
      </c>
    </row>
    <row r="20" spans="1:7" x14ac:dyDescent="0.2">
      <c r="A20" s="2" t="s">
        <v>3</v>
      </c>
      <c r="B20" s="7">
        <f>10/12</f>
        <v>0.83333333333333337</v>
      </c>
    </row>
    <row r="21" spans="1:7" x14ac:dyDescent="0.2">
      <c r="A21" s="2" t="s">
        <v>1</v>
      </c>
      <c r="B21" s="2">
        <f>B19+70000</f>
        <v>250000</v>
      </c>
    </row>
    <row r="23" spans="1:7" x14ac:dyDescent="0.2">
      <c r="A23" s="10" t="s">
        <v>52</v>
      </c>
      <c r="B23" s="11">
        <f>(POWER(B21/B19,1/B20)-1)*100</f>
        <v>48.320439700778039</v>
      </c>
    </row>
    <row r="27" spans="1:7" x14ac:dyDescent="0.2">
      <c r="A27" s="26" t="s">
        <v>34</v>
      </c>
      <c r="B27" s="27"/>
      <c r="C27" s="27"/>
      <c r="D27" s="27"/>
      <c r="E27" s="27"/>
      <c r="F27" s="27"/>
      <c r="G27" s="27"/>
    </row>
    <row r="28" spans="1:7" x14ac:dyDescent="0.2">
      <c r="A28" s="27"/>
      <c r="B28" s="27"/>
      <c r="C28" s="27"/>
      <c r="D28" s="27"/>
      <c r="E28" s="27"/>
      <c r="F28" s="27"/>
      <c r="G28" s="27"/>
    </row>
    <row r="29" spans="1:7" x14ac:dyDescent="0.2">
      <c r="A29" s="27"/>
      <c r="B29" s="27"/>
      <c r="C29" s="27"/>
      <c r="D29" s="27"/>
      <c r="E29" s="27"/>
      <c r="F29" s="27"/>
      <c r="G29" s="27"/>
    </row>
    <row r="30" spans="1:7" x14ac:dyDescent="0.2">
      <c r="A30" s="27"/>
      <c r="B30" s="27"/>
      <c r="C30" s="27"/>
      <c r="D30" s="27"/>
      <c r="E30" s="27"/>
      <c r="F30" s="27"/>
      <c r="G30" s="27"/>
    </row>
    <row r="31" spans="1:7" x14ac:dyDescent="0.2">
      <c r="A31" s="27"/>
      <c r="B31" s="27"/>
      <c r="C31" s="27"/>
      <c r="D31" s="27"/>
      <c r="E31" s="27"/>
      <c r="F31" s="27"/>
      <c r="G31" s="27"/>
    </row>
    <row r="32" spans="1:7" x14ac:dyDescent="0.2">
      <c r="A32" s="2" t="s">
        <v>2</v>
      </c>
      <c r="B32" s="2">
        <v>370000</v>
      </c>
    </row>
    <row r="33" spans="1:7" x14ac:dyDescent="0.2">
      <c r="A33" s="2" t="s">
        <v>3</v>
      </c>
      <c r="B33" s="2">
        <f>8/12</f>
        <v>0.66666666666666663</v>
      </c>
    </row>
    <row r="34" spans="1:7" x14ac:dyDescent="0.2">
      <c r="A34" s="2" t="s">
        <v>7</v>
      </c>
      <c r="B34" s="2">
        <v>0.17</v>
      </c>
    </row>
    <row r="36" spans="1:7" x14ac:dyDescent="0.2">
      <c r="A36" s="4" t="s">
        <v>7</v>
      </c>
      <c r="B36" s="4">
        <f>B32*(1+B34)^B33 - B32</f>
        <v>40826.987758575939</v>
      </c>
    </row>
    <row r="40" spans="1:7" x14ac:dyDescent="0.2">
      <c r="A40" s="26" t="s">
        <v>35</v>
      </c>
      <c r="B40" s="27"/>
      <c r="C40" s="27"/>
      <c r="D40" s="27"/>
      <c r="E40" s="27"/>
      <c r="F40" s="27"/>
      <c r="G40" s="27"/>
    </row>
    <row r="41" spans="1:7" x14ac:dyDescent="0.2">
      <c r="A41" s="27"/>
      <c r="B41" s="27"/>
      <c r="C41" s="27"/>
      <c r="D41" s="27"/>
      <c r="E41" s="27"/>
      <c r="F41" s="27"/>
      <c r="G41" s="27"/>
    </row>
    <row r="42" spans="1:7" x14ac:dyDescent="0.2">
      <c r="A42" s="27"/>
      <c r="B42" s="27"/>
      <c r="C42" s="27"/>
      <c r="D42" s="27"/>
      <c r="E42" s="27"/>
      <c r="F42" s="27"/>
      <c r="G42" s="27"/>
    </row>
    <row r="43" spans="1:7" x14ac:dyDescent="0.2">
      <c r="A43" s="27"/>
      <c r="B43" s="27"/>
      <c r="C43" s="27"/>
      <c r="D43" s="27"/>
      <c r="E43" s="27"/>
      <c r="F43" s="27"/>
      <c r="G43" s="27"/>
    </row>
    <row r="44" spans="1:7" x14ac:dyDescent="0.2">
      <c r="A44" s="27"/>
      <c r="B44" s="27"/>
      <c r="C44" s="27"/>
      <c r="D44" s="27"/>
      <c r="E44" s="27"/>
      <c r="F44" s="27"/>
      <c r="G44" s="27"/>
    </row>
    <row r="46" spans="1:7" x14ac:dyDescent="0.2">
      <c r="A46" s="2" t="s">
        <v>53</v>
      </c>
      <c r="B46" s="2">
        <v>324000</v>
      </c>
    </row>
    <row r="47" spans="1:7" x14ac:dyDescent="0.2">
      <c r="A47" s="2" t="s">
        <v>7</v>
      </c>
      <c r="B47" s="2">
        <v>0.06</v>
      </c>
    </row>
    <row r="48" spans="1:7" x14ac:dyDescent="0.2">
      <c r="A48" s="2" t="s">
        <v>3</v>
      </c>
      <c r="B48" s="2">
        <v>3</v>
      </c>
    </row>
    <row r="50" spans="1:7" x14ac:dyDescent="0.2">
      <c r="A50" s="4" t="s">
        <v>1</v>
      </c>
      <c r="B50" s="5">
        <f>B46 * (1+B47)^B48</f>
        <v>385889.18400000012</v>
      </c>
    </row>
    <row r="55" spans="1:7" x14ac:dyDescent="0.2">
      <c r="A55" s="26" t="s">
        <v>36</v>
      </c>
      <c r="B55" s="27"/>
      <c r="C55" s="27"/>
      <c r="D55" s="27"/>
      <c r="E55" s="27"/>
      <c r="F55" s="27"/>
      <c r="G55" s="27"/>
    </row>
    <row r="56" spans="1:7" x14ac:dyDescent="0.2">
      <c r="A56" s="27"/>
      <c r="B56" s="27"/>
      <c r="C56" s="27"/>
      <c r="D56" s="27"/>
      <c r="E56" s="27"/>
      <c r="F56" s="27"/>
      <c r="G56" s="27"/>
    </row>
    <row r="57" spans="1:7" x14ac:dyDescent="0.2">
      <c r="A57" s="27"/>
      <c r="B57" s="27"/>
      <c r="C57" s="27"/>
      <c r="D57" s="27"/>
      <c r="E57" s="27"/>
      <c r="F57" s="27"/>
      <c r="G57" s="27"/>
    </row>
    <row r="58" spans="1:7" x14ac:dyDescent="0.2">
      <c r="A58" s="27"/>
      <c r="B58" s="27"/>
      <c r="C58" s="27"/>
      <c r="D58" s="27"/>
      <c r="E58" s="27"/>
      <c r="F58" s="27"/>
      <c r="G58" s="27"/>
    </row>
    <row r="59" spans="1:7" x14ac:dyDescent="0.2">
      <c r="A59" s="27"/>
      <c r="B59" s="27"/>
      <c r="C59" s="27"/>
      <c r="D59" s="27"/>
      <c r="E59" s="27"/>
      <c r="F59" s="27"/>
      <c r="G59" s="27"/>
    </row>
    <row r="60" spans="1:7" x14ac:dyDescent="0.2">
      <c r="A60" s="2" t="s">
        <v>53</v>
      </c>
      <c r="B60" s="2">
        <v>540000</v>
      </c>
    </row>
    <row r="61" spans="1:7" x14ac:dyDescent="0.2">
      <c r="A61" s="2" t="s">
        <v>7</v>
      </c>
      <c r="B61" s="2">
        <v>0.09</v>
      </c>
    </row>
    <row r="62" spans="1:7" x14ac:dyDescent="0.2">
      <c r="A62" s="2" t="s">
        <v>3</v>
      </c>
      <c r="B62" s="2">
        <v>2</v>
      </c>
    </row>
    <row r="64" spans="1:7" x14ac:dyDescent="0.2">
      <c r="A64" s="2" t="s">
        <v>1</v>
      </c>
      <c r="B64" s="9">
        <f>B60 * (1+B61)^B62</f>
        <v>641574.00000000012</v>
      </c>
    </row>
    <row r="66" spans="1:7" x14ac:dyDescent="0.2">
      <c r="A66" s="4" t="s">
        <v>54</v>
      </c>
      <c r="B66" s="5">
        <f>B64-B60</f>
        <v>101574.00000000012</v>
      </c>
    </row>
    <row r="68" spans="1:7" x14ac:dyDescent="0.2">
      <c r="A68" s="26" t="s">
        <v>37</v>
      </c>
      <c r="B68" s="27"/>
      <c r="C68" s="27"/>
      <c r="D68" s="27"/>
      <c r="E68" s="27"/>
      <c r="F68" s="27"/>
      <c r="G68" s="27"/>
    </row>
    <row r="69" spans="1:7" x14ac:dyDescent="0.2">
      <c r="A69" s="27"/>
      <c r="B69" s="27"/>
      <c r="C69" s="27"/>
      <c r="D69" s="27"/>
      <c r="E69" s="27"/>
      <c r="F69" s="27"/>
      <c r="G69" s="27"/>
    </row>
    <row r="70" spans="1:7" x14ac:dyDescent="0.2">
      <c r="A70" s="27"/>
      <c r="B70" s="27"/>
      <c r="C70" s="27"/>
      <c r="D70" s="27"/>
      <c r="E70" s="27"/>
      <c r="F70" s="27"/>
      <c r="G70" s="27"/>
    </row>
    <row r="71" spans="1:7" x14ac:dyDescent="0.2">
      <c r="A71" s="27"/>
      <c r="B71" s="27"/>
      <c r="C71" s="27"/>
      <c r="D71" s="27"/>
      <c r="E71" s="27"/>
      <c r="F71" s="27"/>
      <c r="G71" s="27"/>
    </row>
    <row r="72" spans="1:7" x14ac:dyDescent="0.2">
      <c r="A72" s="27"/>
      <c r="B72" s="27"/>
      <c r="C72" s="27"/>
      <c r="D72" s="27"/>
      <c r="E72" s="27"/>
      <c r="F72" s="27"/>
      <c r="G72" s="27"/>
    </row>
    <row r="73" spans="1:7" x14ac:dyDescent="0.2">
      <c r="A73" s="2" t="s">
        <v>2</v>
      </c>
      <c r="B73" s="2">
        <v>50000</v>
      </c>
    </row>
    <row r="74" spans="1:7" x14ac:dyDescent="0.2">
      <c r="A74" s="2" t="s">
        <v>7</v>
      </c>
      <c r="B74" s="7">
        <f>0.1</f>
        <v>0.1</v>
      </c>
    </row>
    <row r="75" spans="1:7" x14ac:dyDescent="0.2">
      <c r="A75" s="2" t="s">
        <v>1</v>
      </c>
      <c r="B75" s="2">
        <v>85000</v>
      </c>
    </row>
    <row r="77" spans="1:7" x14ac:dyDescent="0.2">
      <c r="A77" s="10" t="s">
        <v>3</v>
      </c>
      <c r="B77" s="12">
        <f>LN(B75/B73)/LN(1+B74)</f>
        <v>5.5673827512608662</v>
      </c>
    </row>
    <row r="81" spans="1:8" x14ac:dyDescent="0.2">
      <c r="A81" s="26" t="s">
        <v>38</v>
      </c>
      <c r="B81" s="27"/>
      <c r="C81" s="27"/>
      <c r="D81" s="27"/>
      <c r="E81" s="27"/>
      <c r="F81" s="27"/>
      <c r="G81" s="27"/>
    </row>
    <row r="82" spans="1:8" x14ac:dyDescent="0.2">
      <c r="A82" s="27"/>
      <c r="B82" s="27"/>
      <c r="C82" s="27"/>
      <c r="D82" s="27"/>
      <c r="E82" s="27"/>
      <c r="F82" s="27"/>
      <c r="G82" s="27"/>
    </row>
    <row r="83" spans="1:8" x14ac:dyDescent="0.2">
      <c r="A83" s="27"/>
      <c r="B83" s="27"/>
      <c r="C83" s="27"/>
      <c r="D83" s="27"/>
      <c r="E83" s="27"/>
      <c r="F83" s="27"/>
      <c r="G83" s="27"/>
    </row>
    <row r="84" spans="1:8" x14ac:dyDescent="0.2">
      <c r="A84" s="27"/>
      <c r="B84" s="27"/>
      <c r="C84" s="27"/>
      <c r="D84" s="27"/>
      <c r="E84" s="27"/>
      <c r="F84" s="27"/>
      <c r="G84" s="27"/>
    </row>
    <row r="85" spans="1:8" x14ac:dyDescent="0.2">
      <c r="A85" s="27"/>
      <c r="B85" s="27"/>
      <c r="C85" s="27"/>
      <c r="D85" s="27"/>
      <c r="E85" s="27"/>
      <c r="F85" s="27"/>
      <c r="G85" s="27"/>
    </row>
    <row r="86" spans="1:8" x14ac:dyDescent="0.2">
      <c r="A86" s="2" t="s">
        <v>53</v>
      </c>
      <c r="B86" s="2">
        <v>450000</v>
      </c>
    </row>
    <row r="87" spans="1:8" x14ac:dyDescent="0.2">
      <c r="A87" s="2" t="s">
        <v>7</v>
      </c>
      <c r="B87" s="2">
        <v>0.11</v>
      </c>
    </row>
    <row r="88" spans="1:8" x14ac:dyDescent="0.2">
      <c r="A88" s="2" t="s">
        <v>3</v>
      </c>
      <c r="B88" s="2">
        <v>6</v>
      </c>
    </row>
    <row r="90" spans="1:8" x14ac:dyDescent="0.2">
      <c r="A90" s="4" t="s">
        <v>1</v>
      </c>
      <c r="B90" s="5">
        <f>B86 * (1+B87)^B88</f>
        <v>841686.54847245035</v>
      </c>
    </row>
    <row r="92" spans="1:8" x14ac:dyDescent="0.2">
      <c r="A92" s="26" t="s">
        <v>39</v>
      </c>
      <c r="B92" s="27"/>
      <c r="C92" s="27"/>
      <c r="D92" s="27"/>
      <c r="E92" s="27"/>
      <c r="F92" s="27"/>
      <c r="G92" s="27"/>
      <c r="H92" s="27"/>
    </row>
    <row r="93" spans="1:8" x14ac:dyDescent="0.2">
      <c r="A93" s="27"/>
      <c r="B93" s="27"/>
      <c r="C93" s="27"/>
      <c r="D93" s="27"/>
      <c r="E93" s="27"/>
      <c r="F93" s="27"/>
      <c r="G93" s="27"/>
      <c r="H93" s="27"/>
    </row>
    <row r="94" spans="1:8" x14ac:dyDescent="0.2">
      <c r="A94" s="27"/>
      <c r="B94" s="27"/>
      <c r="C94" s="27"/>
      <c r="D94" s="27"/>
      <c r="E94" s="27"/>
      <c r="F94" s="27"/>
      <c r="G94" s="27"/>
      <c r="H94" s="27"/>
    </row>
    <row r="95" spans="1:8" x14ac:dyDescent="0.2">
      <c r="A95" s="27"/>
      <c r="B95" s="27"/>
      <c r="C95" s="27"/>
      <c r="D95" s="27"/>
      <c r="E95" s="27"/>
      <c r="F95" s="27"/>
      <c r="G95" s="27"/>
      <c r="H95" s="27"/>
    </row>
    <row r="96" spans="1:8" x14ac:dyDescent="0.2">
      <c r="A96" s="27"/>
      <c r="B96" s="27"/>
      <c r="C96" s="27"/>
      <c r="D96" s="27"/>
      <c r="E96" s="27"/>
      <c r="F96" s="27"/>
      <c r="G96" s="27"/>
      <c r="H96" s="27"/>
    </row>
    <row r="97" spans="1:8" x14ac:dyDescent="0.2">
      <c r="A97" s="2" t="s">
        <v>53</v>
      </c>
      <c r="B97" s="2">
        <v>550000</v>
      </c>
    </row>
    <row r="98" spans="1:8" x14ac:dyDescent="0.2">
      <c r="A98" s="2" t="s">
        <v>7</v>
      </c>
      <c r="B98" s="2">
        <v>0.09</v>
      </c>
    </row>
    <row r="99" spans="1:8" x14ac:dyDescent="0.2">
      <c r="A99" s="2" t="s">
        <v>3</v>
      </c>
      <c r="B99" s="2">
        <v>5</v>
      </c>
    </row>
    <row r="101" spans="1:8" x14ac:dyDescent="0.2">
      <c r="A101" s="2" t="s">
        <v>1</v>
      </c>
      <c r="B101" s="9">
        <f>B97 * (1+B98)^B99</f>
        <v>846243.17519500025</v>
      </c>
    </row>
    <row r="103" spans="1:8" x14ac:dyDescent="0.2">
      <c r="A103" s="4" t="s">
        <v>54</v>
      </c>
      <c r="B103" s="5">
        <f>B101-B97</f>
        <v>296243.17519500025</v>
      </c>
    </row>
    <row r="104" spans="1:8" x14ac:dyDescent="0.2">
      <c r="A104" s="26" t="s">
        <v>40</v>
      </c>
      <c r="B104" s="27"/>
      <c r="C104" s="27"/>
      <c r="D104" s="27"/>
      <c r="E104" s="27"/>
      <c r="F104" s="27"/>
      <c r="G104" s="27"/>
      <c r="H104" s="27"/>
    </row>
    <row r="105" spans="1:8" x14ac:dyDescent="0.2">
      <c r="A105" s="27"/>
      <c r="B105" s="27"/>
      <c r="C105" s="27"/>
      <c r="D105" s="27"/>
      <c r="E105" s="27"/>
      <c r="F105" s="27"/>
      <c r="G105" s="27"/>
      <c r="H105" s="27"/>
    </row>
    <row r="106" spans="1:8" x14ac:dyDescent="0.2">
      <c r="A106" s="27"/>
      <c r="B106" s="27"/>
      <c r="C106" s="27"/>
      <c r="D106" s="27"/>
      <c r="E106" s="27"/>
      <c r="F106" s="27"/>
      <c r="G106" s="27"/>
      <c r="H106" s="27"/>
    </row>
    <row r="107" spans="1:8" x14ac:dyDescent="0.2">
      <c r="A107" s="27"/>
      <c r="B107" s="27"/>
      <c r="C107" s="27"/>
      <c r="D107" s="27"/>
      <c r="E107" s="27"/>
      <c r="F107" s="27"/>
      <c r="G107" s="27"/>
      <c r="H107" s="27"/>
    </row>
    <row r="108" spans="1:8" x14ac:dyDescent="0.2">
      <c r="A108" s="27"/>
      <c r="B108" s="27"/>
      <c r="C108" s="27"/>
      <c r="D108" s="27"/>
      <c r="E108" s="27"/>
      <c r="F108" s="27"/>
      <c r="G108" s="27"/>
      <c r="H108" s="27"/>
    </row>
    <row r="109" spans="1:8" x14ac:dyDescent="0.2">
      <c r="A109" s="2" t="s">
        <v>2</v>
      </c>
      <c r="B109" s="2">
        <v>130000</v>
      </c>
    </row>
    <row r="110" spans="1:8" x14ac:dyDescent="0.2">
      <c r="A110" s="2" t="s">
        <v>7</v>
      </c>
      <c r="B110" s="9">
        <f>0.08</f>
        <v>0.08</v>
      </c>
    </row>
    <row r="111" spans="1:8" x14ac:dyDescent="0.2">
      <c r="A111" s="2" t="s">
        <v>1</v>
      </c>
      <c r="B111" s="2">
        <v>150000</v>
      </c>
    </row>
    <row r="113" spans="1:8" x14ac:dyDescent="0.2">
      <c r="A113" s="10" t="s">
        <v>3</v>
      </c>
      <c r="B113" s="12">
        <f>LN(B111/B109)/LN(1+B110)</f>
        <v>1.8593932920886169</v>
      </c>
    </row>
    <row r="116" spans="1:8" x14ac:dyDescent="0.2">
      <c r="A116" s="26" t="s">
        <v>41</v>
      </c>
      <c r="B116" s="27"/>
      <c r="C116" s="27"/>
      <c r="D116" s="27"/>
      <c r="E116" s="27"/>
      <c r="F116" s="27"/>
      <c r="G116" s="27"/>
      <c r="H116" s="27"/>
    </row>
    <row r="117" spans="1:8" x14ac:dyDescent="0.2">
      <c r="A117" s="27"/>
      <c r="B117" s="27"/>
      <c r="C117" s="27"/>
      <c r="D117" s="27"/>
      <c r="E117" s="27"/>
      <c r="F117" s="27"/>
      <c r="G117" s="27"/>
      <c r="H117" s="27"/>
    </row>
    <row r="118" spans="1:8" x14ac:dyDescent="0.2">
      <c r="A118" s="27"/>
      <c r="B118" s="27"/>
      <c r="C118" s="27"/>
      <c r="D118" s="27"/>
      <c r="E118" s="27"/>
      <c r="F118" s="27"/>
      <c r="G118" s="27"/>
      <c r="H118" s="27"/>
    </row>
    <row r="119" spans="1:8" x14ac:dyDescent="0.2">
      <c r="A119" s="27"/>
      <c r="B119" s="27"/>
      <c r="C119" s="27"/>
      <c r="D119" s="27"/>
      <c r="E119" s="27"/>
      <c r="F119" s="27"/>
      <c r="G119" s="27"/>
      <c r="H119" s="27"/>
    </row>
    <row r="120" spans="1:8" x14ac:dyDescent="0.2">
      <c r="A120" s="27"/>
      <c r="B120" s="27"/>
      <c r="C120" s="27"/>
      <c r="D120" s="27"/>
      <c r="E120" s="27"/>
      <c r="F120" s="27"/>
      <c r="G120" s="27"/>
      <c r="H120" s="27"/>
    </row>
    <row r="121" spans="1:8" x14ac:dyDescent="0.2">
      <c r="A121" s="2" t="s">
        <v>2</v>
      </c>
      <c r="B121" s="2">
        <v>334000</v>
      </c>
    </row>
    <row r="122" spans="1:8" x14ac:dyDescent="0.2">
      <c r="A122" s="2" t="s">
        <v>3</v>
      </c>
      <c r="B122" s="7">
        <v>3</v>
      </c>
    </row>
    <row r="123" spans="1:8" x14ac:dyDescent="0.2">
      <c r="A123" s="2" t="s">
        <v>1</v>
      </c>
      <c r="B123" s="2">
        <v>556000</v>
      </c>
    </row>
    <row r="125" spans="1:8" x14ac:dyDescent="0.2">
      <c r="A125" s="10" t="s">
        <v>52</v>
      </c>
      <c r="B125" s="11">
        <f>( POWER(B123/B121,1/B122)-1)</f>
        <v>0.18515760659749203</v>
      </c>
    </row>
    <row r="130" spans="1:7" x14ac:dyDescent="0.2">
      <c r="A130" s="26" t="s">
        <v>42</v>
      </c>
      <c r="B130" s="27"/>
      <c r="C130" s="27"/>
      <c r="D130" s="27"/>
      <c r="E130" s="27"/>
      <c r="F130" s="27"/>
      <c r="G130" s="27"/>
    </row>
    <row r="131" spans="1:7" x14ac:dyDescent="0.2">
      <c r="A131" s="27"/>
      <c r="B131" s="27"/>
      <c r="C131" s="27"/>
      <c r="D131" s="27"/>
      <c r="E131" s="27"/>
      <c r="F131" s="27"/>
      <c r="G131" s="27"/>
    </row>
    <row r="132" spans="1:7" x14ac:dyDescent="0.2">
      <c r="A132" s="27"/>
      <c r="B132" s="27"/>
      <c r="C132" s="27"/>
      <c r="D132" s="27"/>
      <c r="E132" s="27"/>
      <c r="F132" s="27"/>
      <c r="G132" s="27"/>
    </row>
    <row r="133" spans="1:7" x14ac:dyDescent="0.2">
      <c r="A133" s="27"/>
      <c r="B133" s="27"/>
      <c r="C133" s="27"/>
      <c r="D133" s="27"/>
      <c r="E133" s="27"/>
      <c r="F133" s="27"/>
      <c r="G133" s="27"/>
    </row>
    <row r="134" spans="1:7" x14ac:dyDescent="0.2">
      <c r="A134" s="27"/>
      <c r="B134" s="27"/>
      <c r="C134" s="27"/>
      <c r="D134" s="27"/>
      <c r="E134" s="27"/>
      <c r="F134" s="27"/>
      <c r="G134" s="27"/>
    </row>
    <row r="135" spans="1:7" x14ac:dyDescent="0.2">
      <c r="A135" s="2" t="s">
        <v>7</v>
      </c>
      <c r="B135" s="2">
        <v>0.1</v>
      </c>
    </row>
    <row r="136" spans="1:7" x14ac:dyDescent="0.2">
      <c r="A136" s="2" t="s">
        <v>3</v>
      </c>
      <c r="B136" s="2">
        <f>7/12</f>
        <v>0.58333333333333337</v>
      </c>
    </row>
    <row r="137" spans="1:7" x14ac:dyDescent="0.2">
      <c r="A137" s="2" t="s">
        <v>30</v>
      </c>
      <c r="B137" s="2">
        <v>1500</v>
      </c>
    </row>
    <row r="139" spans="1:7" x14ac:dyDescent="0.2">
      <c r="A139" s="2" t="s">
        <v>55</v>
      </c>
      <c r="B139" s="2">
        <f>(1+B136)^B135</f>
        <v>1.0470254435079189</v>
      </c>
    </row>
    <row r="141" spans="1:7" x14ac:dyDescent="0.2">
      <c r="A141" s="4" t="s">
        <v>2</v>
      </c>
      <c r="B141" s="4">
        <f>B137/B139</f>
        <v>1432.629941612928</v>
      </c>
    </row>
    <row r="143" spans="1:7" x14ac:dyDescent="0.2">
      <c r="A143" s="26" t="s">
        <v>43</v>
      </c>
      <c r="B143" s="27"/>
      <c r="C143" s="27"/>
      <c r="D143" s="27"/>
      <c r="E143" s="27"/>
      <c r="F143" s="27"/>
      <c r="G143" s="27"/>
    </row>
    <row r="144" spans="1:7" x14ac:dyDescent="0.2">
      <c r="A144" s="27"/>
      <c r="B144" s="27"/>
      <c r="C144" s="27"/>
      <c r="D144" s="27"/>
      <c r="E144" s="27"/>
      <c r="F144" s="27"/>
      <c r="G144" s="27"/>
    </row>
    <row r="145" spans="1:7" x14ac:dyDescent="0.2">
      <c r="A145" s="27"/>
      <c r="B145" s="27"/>
      <c r="C145" s="27"/>
      <c r="D145" s="27"/>
      <c r="E145" s="27"/>
      <c r="F145" s="27"/>
      <c r="G145" s="27"/>
    </row>
    <row r="146" spans="1:7" x14ac:dyDescent="0.2">
      <c r="A146" s="27"/>
      <c r="B146" s="27"/>
      <c r="C146" s="27"/>
      <c r="D146" s="27"/>
      <c r="E146" s="27"/>
      <c r="F146" s="27"/>
      <c r="G146" s="27"/>
    </row>
    <row r="147" spans="1:7" x14ac:dyDescent="0.2">
      <c r="A147" s="27"/>
      <c r="B147" s="27"/>
      <c r="C147" s="27"/>
      <c r="D147" s="27"/>
      <c r="E147" s="27"/>
      <c r="F147" s="27"/>
      <c r="G147" s="27"/>
    </row>
    <row r="148" spans="1:7" x14ac:dyDescent="0.2">
      <c r="A148" s="2" t="s">
        <v>7</v>
      </c>
      <c r="B148" s="2">
        <v>0.11</v>
      </c>
    </row>
    <row r="149" spans="1:7" x14ac:dyDescent="0.2">
      <c r="A149" s="2" t="s">
        <v>3</v>
      </c>
      <c r="B149" s="2">
        <f>10</f>
        <v>10</v>
      </c>
    </row>
    <row r="150" spans="1:7" x14ac:dyDescent="0.2">
      <c r="A150" s="2" t="s">
        <v>30</v>
      </c>
      <c r="B150" s="2">
        <v>1600</v>
      </c>
    </row>
    <row r="152" spans="1:7" x14ac:dyDescent="0.2">
      <c r="A152" s="2" t="s">
        <v>55</v>
      </c>
      <c r="B152" s="2">
        <f>(1+B149)^B148</f>
        <v>1.3018267624863937</v>
      </c>
    </row>
    <row r="154" spans="1:7" x14ac:dyDescent="0.2">
      <c r="A154" s="4" t="s">
        <v>2</v>
      </c>
      <c r="B154" s="4">
        <f>B150/B152</f>
        <v>1229.0421783495349</v>
      </c>
    </row>
    <row r="156" spans="1:7" x14ac:dyDescent="0.2">
      <c r="A156" s="26" t="s">
        <v>44</v>
      </c>
      <c r="B156" s="27"/>
      <c r="C156" s="27"/>
      <c r="D156" s="27"/>
      <c r="E156" s="27"/>
      <c r="F156" s="27"/>
      <c r="G156" s="27"/>
    </row>
    <row r="157" spans="1:7" x14ac:dyDescent="0.2">
      <c r="A157" s="27"/>
      <c r="B157" s="27"/>
      <c r="C157" s="27"/>
      <c r="D157" s="27"/>
      <c r="E157" s="27"/>
      <c r="F157" s="27"/>
      <c r="G157" s="27"/>
    </row>
    <row r="158" spans="1:7" x14ac:dyDescent="0.2">
      <c r="A158" s="27"/>
      <c r="B158" s="27"/>
      <c r="C158" s="27"/>
      <c r="D158" s="27"/>
      <c r="E158" s="27"/>
      <c r="F158" s="27"/>
      <c r="G158" s="27"/>
    </row>
    <row r="159" spans="1:7" x14ac:dyDescent="0.2">
      <c r="A159" s="27"/>
      <c r="B159" s="27"/>
      <c r="C159" s="27"/>
      <c r="D159" s="27"/>
      <c r="E159" s="27"/>
      <c r="F159" s="27"/>
      <c r="G159" s="27"/>
    </row>
    <row r="160" spans="1:7" x14ac:dyDescent="0.2">
      <c r="A160" s="27"/>
      <c r="B160" s="27"/>
      <c r="C160" s="27"/>
      <c r="D160" s="27"/>
      <c r="E160" s="27"/>
      <c r="F160" s="27"/>
      <c r="G160" s="27"/>
    </row>
    <row r="161" spans="1:7" x14ac:dyDescent="0.2">
      <c r="A161" s="2" t="s">
        <v>7</v>
      </c>
      <c r="B161" s="2">
        <v>7.0000000000000007E-2</v>
      </c>
    </row>
    <row r="162" spans="1:7" x14ac:dyDescent="0.2">
      <c r="A162" s="2" t="s">
        <v>3</v>
      </c>
      <c r="B162" s="2">
        <f>1</f>
        <v>1</v>
      </c>
    </row>
    <row r="163" spans="1:7" x14ac:dyDescent="0.2">
      <c r="A163" s="2" t="s">
        <v>30</v>
      </c>
      <c r="B163" s="2">
        <v>2500</v>
      </c>
    </row>
    <row r="165" spans="1:7" x14ac:dyDescent="0.2">
      <c r="A165" s="2" t="s">
        <v>55</v>
      </c>
      <c r="B165" s="2">
        <f>(1+B162)^B161</f>
        <v>1.0497166836230674</v>
      </c>
    </row>
    <row r="167" spans="1:7" x14ac:dyDescent="0.2">
      <c r="A167" s="4" t="s">
        <v>2</v>
      </c>
      <c r="B167" s="4">
        <f>B163/B165</f>
        <v>2381.5949951098432</v>
      </c>
    </row>
    <row r="169" spans="1:7" x14ac:dyDescent="0.2">
      <c r="A169" s="26" t="s">
        <v>45</v>
      </c>
      <c r="B169" s="27"/>
      <c r="C169" s="27"/>
      <c r="D169" s="27"/>
      <c r="E169" s="27"/>
      <c r="F169" s="27"/>
      <c r="G169" s="27"/>
    </row>
    <row r="170" spans="1:7" x14ac:dyDescent="0.2">
      <c r="A170" s="27"/>
      <c r="B170" s="27"/>
      <c r="C170" s="27"/>
      <c r="D170" s="27"/>
      <c r="E170" s="27"/>
      <c r="F170" s="27"/>
      <c r="G170" s="27"/>
    </row>
    <row r="171" spans="1:7" x14ac:dyDescent="0.2">
      <c r="A171" s="27"/>
      <c r="B171" s="27"/>
      <c r="C171" s="27"/>
      <c r="D171" s="27"/>
      <c r="E171" s="27"/>
      <c r="F171" s="27"/>
      <c r="G171" s="27"/>
    </row>
    <row r="172" spans="1:7" x14ac:dyDescent="0.2">
      <c r="A172" s="27"/>
      <c r="B172" s="27"/>
      <c r="C172" s="27"/>
      <c r="D172" s="27"/>
      <c r="E172" s="27"/>
      <c r="F172" s="27"/>
      <c r="G172" s="27"/>
    </row>
    <row r="173" spans="1:7" x14ac:dyDescent="0.2">
      <c r="A173" s="27"/>
      <c r="B173" s="27"/>
      <c r="C173" s="27"/>
      <c r="D173" s="27"/>
      <c r="E173" s="27"/>
      <c r="F173" s="27"/>
      <c r="G173" s="27"/>
    </row>
    <row r="174" spans="1:7" x14ac:dyDescent="0.2">
      <c r="A174" s="2" t="s">
        <v>7</v>
      </c>
      <c r="B174" s="2">
        <v>0.1</v>
      </c>
    </row>
    <row r="175" spans="1:7" x14ac:dyDescent="0.2">
      <c r="A175" s="2" t="s">
        <v>3</v>
      </c>
      <c r="B175" s="2">
        <f>15/365</f>
        <v>4.1095890410958902E-2</v>
      </c>
    </row>
    <row r="176" spans="1:7" x14ac:dyDescent="0.2">
      <c r="A176" s="2" t="s">
        <v>30</v>
      </c>
      <c r="B176" s="2">
        <v>3500</v>
      </c>
    </row>
    <row r="178" spans="1:7" x14ac:dyDescent="0.2">
      <c r="A178" s="2" t="s">
        <v>55</v>
      </c>
      <c r="B178" s="2">
        <f>(1+B175)^B174</f>
        <v>1.0040355107468133</v>
      </c>
    </row>
    <row r="180" spans="1:7" x14ac:dyDescent="0.2">
      <c r="A180" s="4" t="s">
        <v>2</v>
      </c>
      <c r="B180" s="4">
        <f>B176/B178</f>
        <v>3485.9324820061984</v>
      </c>
    </row>
    <row r="184" spans="1:7" x14ac:dyDescent="0.2">
      <c r="A184" s="26" t="s">
        <v>46</v>
      </c>
      <c r="B184" s="27"/>
      <c r="C184" s="27"/>
      <c r="D184" s="27"/>
      <c r="E184" s="27"/>
      <c r="F184" s="27"/>
      <c r="G184" s="27"/>
    </row>
    <row r="185" spans="1:7" x14ac:dyDescent="0.2">
      <c r="A185" s="27"/>
      <c r="B185" s="27"/>
      <c r="C185" s="27"/>
      <c r="D185" s="27"/>
      <c r="E185" s="27"/>
      <c r="F185" s="27"/>
      <c r="G185" s="27"/>
    </row>
    <row r="186" spans="1:7" x14ac:dyDescent="0.2">
      <c r="A186" s="27"/>
      <c r="B186" s="27"/>
      <c r="C186" s="27"/>
      <c r="D186" s="27"/>
      <c r="E186" s="27"/>
      <c r="F186" s="27"/>
      <c r="G186" s="27"/>
    </row>
    <row r="187" spans="1:7" x14ac:dyDescent="0.2">
      <c r="A187" s="27"/>
      <c r="B187" s="27"/>
      <c r="C187" s="27"/>
      <c r="D187" s="27"/>
      <c r="E187" s="27"/>
      <c r="F187" s="27"/>
      <c r="G187" s="27"/>
    </row>
    <row r="188" spans="1:7" x14ac:dyDescent="0.2">
      <c r="A188" s="27"/>
      <c r="B188" s="27"/>
      <c r="C188" s="27"/>
      <c r="D188" s="27"/>
      <c r="E188" s="27"/>
      <c r="F188" s="27"/>
      <c r="G188" s="27"/>
    </row>
    <row r="190" spans="1:7" x14ac:dyDescent="0.2">
      <c r="A190" s="2" t="s">
        <v>3</v>
      </c>
      <c r="B190" s="2">
        <v>14</v>
      </c>
    </row>
    <row r="192" spans="1:7" x14ac:dyDescent="0.2">
      <c r="A192" s="4" t="s">
        <v>7</v>
      </c>
      <c r="B192" s="4">
        <f>70/B190</f>
        <v>5</v>
      </c>
    </row>
    <row r="197" spans="1:7" x14ac:dyDescent="0.2">
      <c r="A197" s="26" t="s">
        <v>47</v>
      </c>
      <c r="B197" s="27"/>
      <c r="C197" s="27"/>
      <c r="D197" s="27"/>
      <c r="E197" s="27"/>
      <c r="F197" s="27"/>
      <c r="G197" s="27"/>
    </row>
    <row r="198" spans="1:7" x14ac:dyDescent="0.2">
      <c r="A198" s="27"/>
      <c r="B198" s="27"/>
      <c r="C198" s="27"/>
      <c r="D198" s="27"/>
      <c r="E198" s="27"/>
      <c r="F198" s="27"/>
      <c r="G198" s="27"/>
    </row>
    <row r="199" spans="1:7" x14ac:dyDescent="0.2">
      <c r="A199" s="27"/>
      <c r="B199" s="27"/>
      <c r="C199" s="27"/>
      <c r="D199" s="27"/>
      <c r="E199" s="27"/>
      <c r="F199" s="27"/>
      <c r="G199" s="27"/>
    </row>
    <row r="200" spans="1:7" x14ac:dyDescent="0.2">
      <c r="A200" s="27"/>
      <c r="B200" s="27"/>
      <c r="C200" s="27"/>
      <c r="D200" s="27"/>
      <c r="E200" s="27"/>
      <c r="F200" s="27"/>
      <c r="G200" s="27"/>
    </row>
    <row r="201" spans="1:7" x14ac:dyDescent="0.2">
      <c r="A201" s="27"/>
      <c r="B201" s="27"/>
      <c r="C201" s="27"/>
      <c r="D201" s="27"/>
      <c r="E201" s="27"/>
      <c r="F201" s="27"/>
      <c r="G201" s="27"/>
    </row>
    <row r="202" spans="1:7" x14ac:dyDescent="0.2">
      <c r="A202" s="2" t="s">
        <v>3</v>
      </c>
      <c r="B202" s="2">
        <v>7</v>
      </c>
    </row>
    <row r="204" spans="1:7" x14ac:dyDescent="0.2">
      <c r="A204" s="4" t="s">
        <v>7</v>
      </c>
      <c r="B204" s="4">
        <f>(3^(1/B202)-1)*100</f>
        <v>16.993081275868693</v>
      </c>
    </row>
    <row r="210" spans="1:7" x14ac:dyDescent="0.2">
      <c r="A210" s="26" t="s">
        <v>48</v>
      </c>
      <c r="B210" s="27"/>
      <c r="C210" s="27"/>
      <c r="D210" s="27"/>
      <c r="E210" s="27"/>
      <c r="F210" s="27"/>
      <c r="G210" s="27"/>
    </row>
    <row r="211" spans="1:7" x14ac:dyDescent="0.2">
      <c r="A211" s="27"/>
      <c r="B211" s="27"/>
      <c r="C211" s="27"/>
      <c r="D211" s="27"/>
      <c r="E211" s="27"/>
      <c r="F211" s="27"/>
      <c r="G211" s="27"/>
    </row>
    <row r="212" spans="1:7" x14ac:dyDescent="0.2">
      <c r="A212" s="27"/>
      <c r="B212" s="27"/>
      <c r="C212" s="27"/>
      <c r="D212" s="27"/>
      <c r="E212" s="27"/>
      <c r="F212" s="27"/>
      <c r="G212" s="27"/>
    </row>
    <row r="213" spans="1:7" x14ac:dyDescent="0.2">
      <c r="A213" s="27"/>
      <c r="B213" s="27"/>
      <c r="C213" s="27"/>
      <c r="D213" s="27"/>
      <c r="E213" s="27"/>
      <c r="F213" s="27"/>
      <c r="G213" s="27"/>
    </row>
    <row r="214" spans="1:7" x14ac:dyDescent="0.2">
      <c r="A214" s="27"/>
      <c r="B214" s="27"/>
      <c r="C214" s="27"/>
      <c r="D214" s="27"/>
      <c r="E214" s="27"/>
      <c r="F214" s="27"/>
      <c r="G214" s="27"/>
    </row>
    <row r="215" spans="1:7" x14ac:dyDescent="0.2">
      <c r="A215" s="2" t="s">
        <v>7</v>
      </c>
      <c r="B215" s="2">
        <v>0.08</v>
      </c>
    </row>
    <row r="217" spans="1:7" x14ac:dyDescent="0.2">
      <c r="A217" s="4" t="s">
        <v>3</v>
      </c>
      <c r="B217" s="4">
        <f>LN(4)/LN(1+B215)</f>
        <v>18.012936684001176</v>
      </c>
    </row>
    <row r="221" spans="1:7" x14ac:dyDescent="0.2">
      <c r="A221" s="26" t="s">
        <v>49</v>
      </c>
      <c r="B221" s="27"/>
      <c r="C221" s="27"/>
      <c r="D221" s="27"/>
      <c r="E221" s="27"/>
      <c r="F221" s="27"/>
      <c r="G221" s="27"/>
    </row>
    <row r="222" spans="1:7" x14ac:dyDescent="0.2">
      <c r="A222" s="27"/>
      <c r="B222" s="27"/>
      <c r="C222" s="27"/>
      <c r="D222" s="27"/>
      <c r="E222" s="27"/>
      <c r="F222" s="27"/>
      <c r="G222" s="27"/>
    </row>
    <row r="223" spans="1:7" x14ac:dyDescent="0.2">
      <c r="A223" s="27"/>
      <c r="B223" s="27"/>
      <c r="C223" s="27"/>
      <c r="D223" s="27"/>
      <c r="E223" s="27"/>
      <c r="F223" s="27"/>
      <c r="G223" s="27"/>
    </row>
    <row r="224" spans="1:7" x14ac:dyDescent="0.2">
      <c r="A224" s="27"/>
      <c r="B224" s="27"/>
      <c r="C224" s="27"/>
      <c r="D224" s="27"/>
      <c r="E224" s="27"/>
      <c r="F224" s="27"/>
      <c r="G224" s="27"/>
    </row>
    <row r="225" spans="1:7" x14ac:dyDescent="0.2">
      <c r="A225" s="27"/>
      <c r="B225" s="27"/>
      <c r="C225" s="27"/>
      <c r="D225" s="27"/>
      <c r="E225" s="27"/>
      <c r="F225" s="27"/>
      <c r="G225" s="27"/>
    </row>
    <row r="227" spans="1:7" x14ac:dyDescent="0.2">
      <c r="A227" s="2" t="s">
        <v>7</v>
      </c>
      <c r="B227" s="2">
        <v>0.09</v>
      </c>
    </row>
    <row r="229" spans="1:7" x14ac:dyDescent="0.2">
      <c r="A229" s="4" t="s">
        <v>3</v>
      </c>
      <c r="B229" s="5">
        <f>70/B227/100</f>
        <v>7.7777777777777786</v>
      </c>
    </row>
    <row r="233" spans="1:7" x14ac:dyDescent="0.2">
      <c r="A233" s="26" t="s">
        <v>50</v>
      </c>
      <c r="B233" s="27"/>
      <c r="C233" s="27"/>
      <c r="D233" s="27"/>
      <c r="E233" s="27"/>
      <c r="F233" s="27"/>
      <c r="G233" s="27"/>
    </row>
    <row r="234" spans="1:7" x14ac:dyDescent="0.2">
      <c r="A234" s="27"/>
      <c r="B234" s="27"/>
      <c r="C234" s="27"/>
      <c r="D234" s="27"/>
      <c r="E234" s="27"/>
      <c r="F234" s="27"/>
      <c r="G234" s="27"/>
    </row>
    <row r="235" spans="1:7" x14ac:dyDescent="0.2">
      <c r="A235" s="27"/>
      <c r="B235" s="27"/>
      <c r="C235" s="27"/>
      <c r="D235" s="27"/>
      <c r="E235" s="27"/>
      <c r="F235" s="27"/>
      <c r="G235" s="27"/>
    </row>
    <row r="236" spans="1:7" x14ac:dyDescent="0.2">
      <c r="A236" s="27"/>
      <c r="B236" s="27"/>
      <c r="C236" s="27"/>
      <c r="D236" s="27"/>
      <c r="E236" s="27"/>
      <c r="F236" s="27"/>
      <c r="G236" s="27"/>
    </row>
    <row r="237" spans="1:7" x14ac:dyDescent="0.2">
      <c r="A237" s="27"/>
      <c r="B237" s="27"/>
      <c r="C237" s="27"/>
      <c r="D237" s="27"/>
      <c r="E237" s="27"/>
      <c r="F237" s="27"/>
      <c r="G237" s="27"/>
    </row>
    <row r="238" spans="1:7" x14ac:dyDescent="0.2">
      <c r="A238" s="2" t="s">
        <v>57</v>
      </c>
      <c r="B238" s="2">
        <v>0.12</v>
      </c>
    </row>
    <row r="239" spans="1:7" x14ac:dyDescent="0.2">
      <c r="A239" s="2" t="s">
        <v>1</v>
      </c>
      <c r="B239" s="2">
        <v>1500000</v>
      </c>
    </row>
    <row r="240" spans="1:7" x14ac:dyDescent="0.2">
      <c r="A240" s="2" t="s">
        <v>3</v>
      </c>
      <c r="B240" s="2">
        <v>3</v>
      </c>
    </row>
    <row r="242" spans="1:7" x14ac:dyDescent="0.2">
      <c r="A242" s="4" t="s">
        <v>2</v>
      </c>
      <c r="B242" s="4">
        <f>B239/(1+B238)^B240</f>
        <v>1067670.3717201164</v>
      </c>
    </row>
    <row r="245" spans="1:7" x14ac:dyDescent="0.2">
      <c r="A245" s="26" t="s">
        <v>51</v>
      </c>
      <c r="B245" s="27"/>
      <c r="C245" s="27"/>
      <c r="D245" s="27"/>
      <c r="E245" s="27"/>
      <c r="F245" s="27"/>
      <c r="G245" s="27"/>
    </row>
    <row r="246" spans="1:7" x14ac:dyDescent="0.2">
      <c r="A246" s="27"/>
      <c r="B246" s="27"/>
      <c r="C246" s="27"/>
      <c r="D246" s="27"/>
      <c r="E246" s="27"/>
      <c r="F246" s="27"/>
      <c r="G246" s="27"/>
    </row>
    <row r="247" spans="1:7" x14ac:dyDescent="0.2">
      <c r="A247" s="27"/>
      <c r="B247" s="27"/>
      <c r="C247" s="27"/>
      <c r="D247" s="27"/>
      <c r="E247" s="27"/>
      <c r="F247" s="27"/>
      <c r="G247" s="27"/>
    </row>
    <row r="248" spans="1:7" x14ac:dyDescent="0.2">
      <c r="A248" s="27"/>
      <c r="B248" s="27"/>
      <c r="C248" s="27"/>
      <c r="D248" s="27"/>
      <c r="E248" s="27"/>
      <c r="F248" s="27"/>
      <c r="G248" s="27"/>
    </row>
    <row r="249" spans="1:7" x14ac:dyDescent="0.2">
      <c r="A249" s="27"/>
      <c r="B249" s="27"/>
      <c r="C249" s="27"/>
      <c r="D249" s="27"/>
      <c r="E249" s="27"/>
      <c r="F249" s="27"/>
      <c r="G249" s="27"/>
    </row>
    <row r="251" spans="1:7" x14ac:dyDescent="0.2">
      <c r="A251" s="2" t="s">
        <v>2</v>
      </c>
      <c r="B251" s="2">
        <v>12000</v>
      </c>
    </row>
    <row r="252" spans="1:7" x14ac:dyDescent="0.2">
      <c r="A252" s="2" t="s">
        <v>7</v>
      </c>
      <c r="B252" s="9">
        <f>0.08</f>
        <v>0.08</v>
      </c>
    </row>
    <row r="253" spans="1:7" x14ac:dyDescent="0.2">
      <c r="A253" s="2" t="s">
        <v>1</v>
      </c>
      <c r="B253" s="2">
        <v>15000</v>
      </c>
    </row>
    <row r="255" spans="1:7" x14ac:dyDescent="0.2">
      <c r="A255" s="10" t="s">
        <v>3</v>
      </c>
      <c r="B255" s="12">
        <f>LN(B253/B251)/LN(1+B252)</f>
        <v>2.8994351950035901</v>
      </c>
    </row>
  </sheetData>
  <mergeCells count="20">
    <mergeCell ref="A197:G201"/>
    <mergeCell ref="A210:G214"/>
    <mergeCell ref="A221:G225"/>
    <mergeCell ref="A233:G237"/>
    <mergeCell ref="A245:G249"/>
    <mergeCell ref="A68:G72"/>
    <mergeCell ref="A81:G85"/>
    <mergeCell ref="A92:H96"/>
    <mergeCell ref="A104:H108"/>
    <mergeCell ref="A116:H120"/>
    <mergeCell ref="A130:G134"/>
    <mergeCell ref="A143:G147"/>
    <mergeCell ref="A156:G160"/>
    <mergeCell ref="A169:G173"/>
    <mergeCell ref="A184:G188"/>
    <mergeCell ref="A1:G5"/>
    <mergeCell ref="A14:G18"/>
    <mergeCell ref="A27:G31"/>
    <mergeCell ref="A40:G44"/>
    <mergeCell ref="A55:G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E87E-402C-41A5-B720-2B72012AEBE4}">
  <dimension ref="A1:G223"/>
  <sheetViews>
    <sheetView zoomScale="136" workbookViewId="0">
      <selection activeCell="H7" sqref="H7"/>
    </sheetView>
  </sheetViews>
  <sheetFormatPr baseColWidth="10" defaultColWidth="8.83203125" defaultRowHeight="16" x14ac:dyDescent="0.2"/>
  <cols>
    <col min="1" max="9" width="8.83203125" style="1"/>
    <col min="10" max="10" width="12" style="1" bestFit="1" customWidth="1"/>
    <col min="11" max="16384" width="8.83203125" style="1"/>
  </cols>
  <sheetData>
    <row r="1" spans="1:7" ht="15" customHeight="1" x14ac:dyDescent="0.2">
      <c r="A1" s="30" t="s">
        <v>58</v>
      </c>
      <c r="B1" s="30"/>
      <c r="C1" s="30"/>
      <c r="D1" s="30"/>
      <c r="E1" s="30"/>
      <c r="F1" s="30"/>
      <c r="G1" s="30"/>
    </row>
    <row r="2" spans="1:7" x14ac:dyDescent="0.2">
      <c r="A2" s="30"/>
      <c r="B2" s="30"/>
      <c r="C2" s="30"/>
      <c r="D2" s="30"/>
      <c r="E2" s="30"/>
      <c r="F2" s="30"/>
      <c r="G2" s="30"/>
    </row>
    <row r="3" spans="1:7" x14ac:dyDescent="0.2">
      <c r="A3" s="30"/>
      <c r="B3" s="30"/>
      <c r="C3" s="30"/>
      <c r="D3" s="30"/>
      <c r="E3" s="30"/>
      <c r="F3" s="30"/>
      <c r="G3" s="30"/>
    </row>
    <row r="4" spans="1:7" x14ac:dyDescent="0.2">
      <c r="A4" s="30"/>
      <c r="B4" s="30"/>
      <c r="C4" s="30"/>
      <c r="D4" s="30"/>
      <c r="E4" s="30"/>
      <c r="F4" s="30"/>
      <c r="G4" s="30"/>
    </row>
    <row r="5" spans="1:7" x14ac:dyDescent="0.2">
      <c r="A5" s="30"/>
      <c r="B5" s="30"/>
      <c r="C5" s="30"/>
      <c r="D5" s="30"/>
      <c r="E5" s="30"/>
      <c r="F5" s="30"/>
      <c r="G5" s="30"/>
    </row>
    <row r="6" spans="1:7" x14ac:dyDescent="0.2">
      <c r="A6" s="2" t="s">
        <v>2</v>
      </c>
      <c r="B6" s="2">
        <v>24500</v>
      </c>
    </row>
    <row r="7" spans="1:7" x14ac:dyDescent="0.2">
      <c r="A7" s="2" t="s">
        <v>7</v>
      </c>
      <c r="B7" s="2">
        <v>0.06</v>
      </c>
    </row>
    <row r="8" spans="1:7" x14ac:dyDescent="0.2">
      <c r="A8" s="2" t="s">
        <v>3</v>
      </c>
      <c r="B8" s="2">
        <v>3</v>
      </c>
    </row>
    <row r="9" spans="1:7" x14ac:dyDescent="0.2">
      <c r="A9" s="2" t="s">
        <v>78</v>
      </c>
      <c r="B9" s="2">
        <v>4</v>
      </c>
    </row>
    <row r="11" spans="1:7" x14ac:dyDescent="0.2">
      <c r="A11" s="4" t="s">
        <v>1</v>
      </c>
      <c r="B11" s="4">
        <f>B6*(1+B7/B9)^(B9*B8)</f>
        <v>29292.645200807565</v>
      </c>
    </row>
    <row r="12" spans="1:7" x14ac:dyDescent="0.2">
      <c r="A12" s="26" t="s">
        <v>59</v>
      </c>
      <c r="B12" s="27"/>
      <c r="C12" s="27"/>
      <c r="D12" s="27"/>
      <c r="E12" s="27"/>
      <c r="F12" s="27"/>
      <c r="G12" s="27"/>
    </row>
    <row r="13" spans="1:7" x14ac:dyDescent="0.2">
      <c r="A13" s="27"/>
      <c r="B13" s="27"/>
      <c r="C13" s="27"/>
      <c r="D13" s="27"/>
      <c r="E13" s="27"/>
      <c r="F13" s="27"/>
      <c r="G13" s="27"/>
    </row>
    <row r="14" spans="1:7" x14ac:dyDescent="0.2">
      <c r="A14" s="27"/>
      <c r="B14" s="27"/>
      <c r="C14" s="27"/>
      <c r="D14" s="27"/>
      <c r="E14" s="27"/>
      <c r="F14" s="27"/>
      <c r="G14" s="27"/>
    </row>
    <row r="15" spans="1:7" x14ac:dyDescent="0.2">
      <c r="A15" s="27"/>
      <c r="B15" s="27"/>
      <c r="C15" s="27"/>
      <c r="D15" s="27"/>
      <c r="E15" s="27"/>
      <c r="F15" s="27"/>
      <c r="G15" s="27"/>
    </row>
    <row r="16" spans="1:7" x14ac:dyDescent="0.2">
      <c r="A16" s="27"/>
      <c r="B16" s="27"/>
      <c r="C16" s="27"/>
      <c r="D16" s="27"/>
      <c r="E16" s="27"/>
      <c r="F16" s="27"/>
      <c r="G16" s="27"/>
    </row>
    <row r="17" spans="1:7" x14ac:dyDescent="0.2">
      <c r="A17" s="2" t="s">
        <v>2</v>
      </c>
      <c r="B17" s="2">
        <v>32400</v>
      </c>
    </row>
    <row r="18" spans="1:7" x14ac:dyDescent="0.2">
      <c r="A18" s="2" t="s">
        <v>7</v>
      </c>
      <c r="B18" s="2">
        <v>0.05</v>
      </c>
    </row>
    <row r="19" spans="1:7" x14ac:dyDescent="0.2">
      <c r="A19" s="2" t="s">
        <v>3</v>
      </c>
      <c r="B19" s="2">
        <v>3</v>
      </c>
    </row>
    <row r="20" spans="1:7" x14ac:dyDescent="0.2">
      <c r="A20" s="2" t="s">
        <v>78</v>
      </c>
      <c r="B20" s="2">
        <v>6</v>
      </c>
    </row>
    <row r="22" spans="1:7" x14ac:dyDescent="0.2">
      <c r="A22" s="4" t="s">
        <v>1</v>
      </c>
      <c r="B22" s="4">
        <f>B17*(1+B18/B20)^(B20*B19)</f>
        <v>37620.039485593152</v>
      </c>
    </row>
    <row r="24" spans="1:7" x14ac:dyDescent="0.2">
      <c r="A24" s="26" t="s">
        <v>60</v>
      </c>
      <c r="B24" s="27"/>
      <c r="C24" s="27"/>
      <c r="D24" s="27"/>
      <c r="E24" s="27"/>
      <c r="F24" s="27"/>
      <c r="G24" s="27"/>
    </row>
    <row r="25" spans="1:7" x14ac:dyDescent="0.2">
      <c r="A25" s="27"/>
      <c r="B25" s="27"/>
      <c r="C25" s="27"/>
      <c r="D25" s="27"/>
      <c r="E25" s="27"/>
      <c r="F25" s="27"/>
      <c r="G25" s="27"/>
    </row>
    <row r="26" spans="1:7" x14ac:dyDescent="0.2">
      <c r="A26" s="27"/>
      <c r="B26" s="27"/>
      <c r="C26" s="27"/>
      <c r="D26" s="27"/>
      <c r="E26" s="27"/>
      <c r="F26" s="27"/>
      <c r="G26" s="27"/>
    </row>
    <row r="27" spans="1:7" x14ac:dyDescent="0.2">
      <c r="A27" s="27"/>
      <c r="B27" s="27"/>
      <c r="C27" s="27"/>
      <c r="D27" s="27"/>
      <c r="E27" s="27"/>
      <c r="F27" s="27"/>
      <c r="G27" s="27"/>
    </row>
    <row r="28" spans="1:7" x14ac:dyDescent="0.2">
      <c r="A28" s="27"/>
      <c r="B28" s="27"/>
      <c r="C28" s="27"/>
      <c r="D28" s="27"/>
      <c r="E28" s="27"/>
      <c r="F28" s="27"/>
      <c r="G28" s="27"/>
    </row>
    <row r="29" spans="1:7" x14ac:dyDescent="0.2">
      <c r="A29" s="2" t="s">
        <v>2</v>
      </c>
      <c r="B29" s="2">
        <v>42400</v>
      </c>
    </row>
    <row r="30" spans="1:7" x14ac:dyDescent="0.2">
      <c r="A30" s="2" t="s">
        <v>7</v>
      </c>
      <c r="B30" s="2">
        <v>7.0000000000000007E-2</v>
      </c>
    </row>
    <row r="31" spans="1:7" x14ac:dyDescent="0.2">
      <c r="A31" s="2" t="s">
        <v>3</v>
      </c>
      <c r="B31" s="2">
        <v>3</v>
      </c>
    </row>
    <row r="32" spans="1:7" x14ac:dyDescent="0.2">
      <c r="A32" s="2" t="s">
        <v>78</v>
      </c>
      <c r="B32" s="2">
        <v>12</v>
      </c>
    </row>
    <row r="34" spans="1:7" x14ac:dyDescent="0.2">
      <c r="A34" s="4" t="s">
        <v>1</v>
      </c>
      <c r="B34" s="4">
        <f>B29*(1+B30/B32)^(B32*B31)</f>
        <v>52276.044909021737</v>
      </c>
    </row>
    <row r="35" spans="1:7" x14ac:dyDescent="0.2">
      <c r="A35" s="26" t="s">
        <v>61</v>
      </c>
      <c r="B35" s="27"/>
      <c r="C35" s="27"/>
      <c r="D35" s="27"/>
      <c r="E35" s="27"/>
      <c r="F35" s="27"/>
      <c r="G35" s="27"/>
    </row>
    <row r="36" spans="1:7" x14ac:dyDescent="0.2">
      <c r="A36" s="27"/>
      <c r="B36" s="27"/>
      <c r="C36" s="27"/>
      <c r="D36" s="27"/>
      <c r="E36" s="27"/>
      <c r="F36" s="27"/>
      <c r="G36" s="27"/>
    </row>
    <row r="37" spans="1:7" x14ac:dyDescent="0.2">
      <c r="A37" s="27"/>
      <c r="B37" s="27"/>
      <c r="C37" s="27"/>
      <c r="D37" s="27"/>
      <c r="E37" s="27"/>
      <c r="F37" s="27"/>
      <c r="G37" s="27"/>
    </row>
    <row r="38" spans="1:7" x14ac:dyDescent="0.2">
      <c r="A38" s="27"/>
      <c r="B38" s="27"/>
      <c r="C38" s="27"/>
      <c r="D38" s="27"/>
      <c r="E38" s="27"/>
      <c r="F38" s="27"/>
      <c r="G38" s="27"/>
    </row>
    <row r="39" spans="1:7" x14ac:dyDescent="0.2">
      <c r="A39" s="27"/>
      <c r="B39" s="27"/>
      <c r="C39" s="27"/>
      <c r="D39" s="27"/>
      <c r="E39" s="27"/>
      <c r="F39" s="27"/>
      <c r="G39" s="27"/>
    </row>
    <row r="40" spans="1:7" x14ac:dyDescent="0.2">
      <c r="A40" s="2" t="s">
        <v>2</v>
      </c>
      <c r="B40" s="2">
        <v>52000</v>
      </c>
    </row>
    <row r="41" spans="1:7" x14ac:dyDescent="0.2">
      <c r="A41" s="2" t="s">
        <v>7</v>
      </c>
      <c r="B41" s="2">
        <v>7.0000000000000007E-2</v>
      </c>
    </row>
    <row r="42" spans="1:7" x14ac:dyDescent="0.2">
      <c r="A42" s="2" t="s">
        <v>3</v>
      </c>
      <c r="B42" s="2">
        <v>3</v>
      </c>
    </row>
    <row r="44" spans="1:7" x14ac:dyDescent="0.2">
      <c r="A44" s="4" t="s">
        <v>1</v>
      </c>
      <c r="B44" s="4">
        <f>B40*EXP(B41*B42)</f>
        <v>64151.259117750647</v>
      </c>
    </row>
    <row r="46" spans="1:7" x14ac:dyDescent="0.2">
      <c r="A46" s="26" t="s">
        <v>62</v>
      </c>
      <c r="B46" s="27"/>
      <c r="C46" s="27"/>
      <c r="D46" s="27"/>
      <c r="E46" s="27"/>
      <c r="F46" s="27"/>
      <c r="G46" s="27"/>
    </row>
    <row r="47" spans="1:7" x14ac:dyDescent="0.2">
      <c r="A47" s="27"/>
      <c r="B47" s="27"/>
      <c r="C47" s="27"/>
      <c r="D47" s="27"/>
      <c r="E47" s="27"/>
      <c r="F47" s="27"/>
      <c r="G47" s="27"/>
    </row>
    <row r="48" spans="1:7" x14ac:dyDescent="0.2">
      <c r="A48" s="27"/>
      <c r="B48" s="27"/>
      <c r="C48" s="27"/>
      <c r="D48" s="27"/>
      <c r="E48" s="27"/>
      <c r="F48" s="27"/>
      <c r="G48" s="27"/>
    </row>
    <row r="49" spans="1:7" x14ac:dyDescent="0.2">
      <c r="A49" s="27"/>
      <c r="B49" s="27"/>
      <c r="C49" s="27"/>
      <c r="D49" s="27"/>
      <c r="E49" s="27"/>
      <c r="F49" s="27"/>
      <c r="G49" s="27"/>
    </row>
    <row r="50" spans="1:7" x14ac:dyDescent="0.2">
      <c r="A50" s="27"/>
      <c r="B50" s="27"/>
      <c r="C50" s="27"/>
      <c r="D50" s="27"/>
      <c r="E50" s="27"/>
      <c r="F50" s="27"/>
      <c r="G50" s="27"/>
    </row>
    <row r="51" spans="1:7" x14ac:dyDescent="0.2">
      <c r="A51" s="2" t="s">
        <v>2</v>
      </c>
      <c r="B51" s="2">
        <v>180000</v>
      </c>
    </row>
    <row r="52" spans="1:7" x14ac:dyDescent="0.2">
      <c r="A52" s="2" t="s">
        <v>7</v>
      </c>
      <c r="B52" s="2">
        <v>7.4999999999999997E-2</v>
      </c>
    </row>
    <row r="53" spans="1:7" x14ac:dyDescent="0.2">
      <c r="A53" s="2" t="s">
        <v>3</v>
      </c>
      <c r="B53" s="2">
        <v>1</v>
      </c>
    </row>
    <row r="54" spans="1:7" x14ac:dyDescent="0.2">
      <c r="A54" s="2" t="s">
        <v>78</v>
      </c>
      <c r="B54" s="2">
        <f>1/12</f>
        <v>8.3333333333333329E-2</v>
      </c>
    </row>
    <row r="56" spans="1:7" x14ac:dyDescent="0.2">
      <c r="A56" s="4" t="s">
        <v>56</v>
      </c>
      <c r="B56" s="4">
        <f>B51*(1+B52)^B54-B51</f>
        <v>1088.0854243725189</v>
      </c>
    </row>
    <row r="57" spans="1:7" x14ac:dyDescent="0.2">
      <c r="A57" s="26" t="s">
        <v>63</v>
      </c>
      <c r="B57" s="27"/>
      <c r="C57" s="27"/>
      <c r="D57" s="27"/>
      <c r="E57" s="27"/>
      <c r="F57" s="27"/>
      <c r="G57" s="27"/>
    </row>
    <row r="58" spans="1:7" x14ac:dyDescent="0.2">
      <c r="A58" s="27"/>
      <c r="B58" s="27"/>
      <c r="C58" s="27"/>
      <c r="D58" s="27"/>
      <c r="E58" s="27"/>
      <c r="F58" s="27"/>
      <c r="G58" s="27"/>
    </row>
    <row r="59" spans="1:7" x14ac:dyDescent="0.2">
      <c r="A59" s="27"/>
      <c r="B59" s="27"/>
      <c r="C59" s="27"/>
      <c r="D59" s="27"/>
      <c r="E59" s="27"/>
      <c r="F59" s="27"/>
      <c r="G59" s="27"/>
    </row>
    <row r="60" spans="1:7" x14ac:dyDescent="0.2">
      <c r="A60" s="27"/>
      <c r="B60" s="27"/>
      <c r="C60" s="27"/>
      <c r="D60" s="27"/>
      <c r="E60" s="27"/>
      <c r="F60" s="27"/>
      <c r="G60" s="27"/>
    </row>
    <row r="61" spans="1:7" x14ac:dyDescent="0.2">
      <c r="A61" s="27"/>
      <c r="B61" s="27"/>
      <c r="C61" s="27"/>
      <c r="D61" s="27"/>
      <c r="E61" s="27"/>
      <c r="F61" s="27"/>
      <c r="G61" s="27"/>
    </row>
    <row r="62" spans="1:7" x14ac:dyDescent="0.2">
      <c r="A62" s="2" t="s">
        <v>2</v>
      </c>
      <c r="B62" s="2">
        <v>125000</v>
      </c>
    </row>
    <row r="63" spans="1:7" x14ac:dyDescent="0.2">
      <c r="A63" s="2" t="s">
        <v>7</v>
      </c>
      <c r="B63" s="2">
        <v>0.105</v>
      </c>
    </row>
    <row r="64" spans="1:7" x14ac:dyDescent="0.2">
      <c r="A64" s="2" t="s">
        <v>3</v>
      </c>
      <c r="B64" s="2">
        <v>1</v>
      </c>
    </row>
    <row r="65" spans="1:7" x14ac:dyDescent="0.2">
      <c r="A65" s="2" t="s">
        <v>78</v>
      </c>
      <c r="B65" s="2">
        <f>2</f>
        <v>2</v>
      </c>
    </row>
    <row r="67" spans="1:7" x14ac:dyDescent="0.2">
      <c r="A67" s="4" t="s">
        <v>56</v>
      </c>
      <c r="B67" s="4">
        <f>B62*(1+B63/B65)^(B65*B64)-B62</f>
        <v>13469.53125</v>
      </c>
    </row>
    <row r="68" spans="1:7" x14ac:dyDescent="0.2">
      <c r="A68" s="26" t="s">
        <v>64</v>
      </c>
      <c r="B68" s="27"/>
      <c r="C68" s="27"/>
      <c r="D68" s="27"/>
      <c r="E68" s="27"/>
      <c r="F68" s="27"/>
      <c r="G68" s="27"/>
    </row>
    <row r="69" spans="1:7" x14ac:dyDescent="0.2">
      <c r="A69" s="27"/>
      <c r="B69" s="27"/>
      <c r="C69" s="27"/>
      <c r="D69" s="27"/>
      <c r="E69" s="27"/>
      <c r="F69" s="27"/>
      <c r="G69" s="27"/>
    </row>
    <row r="70" spans="1:7" x14ac:dyDescent="0.2">
      <c r="A70" s="27"/>
      <c r="B70" s="27"/>
      <c r="C70" s="27"/>
      <c r="D70" s="27"/>
      <c r="E70" s="27"/>
      <c r="F70" s="27"/>
      <c r="G70" s="27"/>
    </row>
    <row r="71" spans="1:7" x14ac:dyDescent="0.2">
      <c r="A71" s="27"/>
      <c r="B71" s="27"/>
      <c r="C71" s="27"/>
      <c r="D71" s="27"/>
      <c r="E71" s="27"/>
      <c r="F71" s="27"/>
      <c r="G71" s="27"/>
    </row>
    <row r="72" spans="1:7" x14ac:dyDescent="0.2">
      <c r="A72" s="27"/>
      <c r="B72" s="27"/>
      <c r="C72" s="27"/>
      <c r="D72" s="27"/>
      <c r="E72" s="27"/>
      <c r="F72" s="27"/>
      <c r="G72" s="27"/>
    </row>
    <row r="73" spans="1:7" x14ac:dyDescent="0.2">
      <c r="A73" s="2" t="s">
        <v>2</v>
      </c>
      <c r="B73" s="2">
        <v>440000</v>
      </c>
    </row>
    <row r="74" spans="1:7" x14ac:dyDescent="0.2">
      <c r="A74" s="2" t="s">
        <v>7</v>
      </c>
      <c r="B74" s="2">
        <v>0.08</v>
      </c>
    </row>
    <row r="75" spans="1:7" x14ac:dyDescent="0.2">
      <c r="A75" s="2" t="s">
        <v>3</v>
      </c>
      <c r="B75" s="2">
        <v>2</v>
      </c>
    </row>
    <row r="76" spans="1:7" x14ac:dyDescent="0.2">
      <c r="A76" s="2" t="s">
        <v>78</v>
      </c>
      <c r="B76" s="2">
        <f>4</f>
        <v>4</v>
      </c>
    </row>
    <row r="78" spans="1:7" x14ac:dyDescent="0.2">
      <c r="A78" s="4" t="s">
        <v>56</v>
      </c>
      <c r="B78" s="4">
        <f>B73*(1+B74/B76)^(B76*B75)-B73</f>
        <v>75530.127640996827</v>
      </c>
    </row>
    <row r="79" spans="1:7" x14ac:dyDescent="0.2">
      <c r="A79" s="28" t="s">
        <v>65</v>
      </c>
      <c r="B79" s="29"/>
      <c r="C79" s="29"/>
      <c r="D79" s="29"/>
      <c r="E79" s="29"/>
      <c r="F79" s="29"/>
      <c r="G79" s="29"/>
    </row>
    <row r="80" spans="1:7" x14ac:dyDescent="0.2">
      <c r="A80" s="29"/>
      <c r="B80" s="29"/>
      <c r="C80" s="29"/>
      <c r="D80" s="29"/>
      <c r="E80" s="29"/>
      <c r="F80" s="29"/>
      <c r="G80" s="29"/>
    </row>
    <row r="81" spans="1:7" x14ac:dyDescent="0.2">
      <c r="A81" s="29"/>
      <c r="B81" s="29"/>
      <c r="C81" s="29"/>
      <c r="D81" s="29"/>
      <c r="E81" s="29"/>
      <c r="F81" s="29"/>
      <c r="G81" s="29"/>
    </row>
    <row r="82" spans="1:7" x14ac:dyDescent="0.2">
      <c r="A82" s="29"/>
      <c r="B82" s="29"/>
      <c r="C82" s="29"/>
      <c r="D82" s="29"/>
      <c r="E82" s="29"/>
      <c r="F82" s="29"/>
      <c r="G82" s="29"/>
    </row>
    <row r="83" spans="1:7" x14ac:dyDescent="0.2">
      <c r="A83" s="29"/>
      <c r="B83" s="29"/>
      <c r="C83" s="29"/>
      <c r="D83" s="29"/>
      <c r="E83" s="29"/>
      <c r="F83" s="29"/>
      <c r="G83" s="29"/>
    </row>
    <row r="84" spans="1:7" x14ac:dyDescent="0.2">
      <c r="A84" s="2" t="s">
        <v>2</v>
      </c>
      <c r="B84" s="2">
        <v>640000</v>
      </c>
    </row>
    <row r="85" spans="1:7" x14ac:dyDescent="0.2">
      <c r="A85" s="2" t="s">
        <v>7</v>
      </c>
      <c r="B85" s="2">
        <v>0.11</v>
      </c>
    </row>
    <row r="86" spans="1:7" x14ac:dyDescent="0.2">
      <c r="A86" s="2" t="s">
        <v>3</v>
      </c>
      <c r="B86" s="2">
        <v>2</v>
      </c>
    </row>
    <row r="87" spans="1:7" x14ac:dyDescent="0.2">
      <c r="A87" s="2" t="s">
        <v>78</v>
      </c>
      <c r="B87" s="2">
        <f>12</f>
        <v>12</v>
      </c>
    </row>
    <row r="89" spans="1:7" x14ac:dyDescent="0.2">
      <c r="A89" s="4" t="s">
        <v>56</v>
      </c>
      <c r="B89" s="4">
        <f>B84*(1+B85/B87)^(B87*B86)-B84</f>
        <v>156690.25372211484</v>
      </c>
    </row>
    <row r="90" spans="1:7" x14ac:dyDescent="0.2">
      <c r="A90" s="26" t="s">
        <v>66</v>
      </c>
      <c r="B90" s="27"/>
      <c r="C90" s="27"/>
      <c r="D90" s="27"/>
      <c r="E90" s="27"/>
      <c r="F90" s="27"/>
      <c r="G90" s="27"/>
    </row>
    <row r="91" spans="1:7" x14ac:dyDescent="0.2">
      <c r="A91" s="27"/>
      <c r="B91" s="27"/>
      <c r="C91" s="27"/>
      <c r="D91" s="27"/>
      <c r="E91" s="27"/>
      <c r="F91" s="27"/>
      <c r="G91" s="27"/>
    </row>
    <row r="92" spans="1:7" x14ac:dyDescent="0.2">
      <c r="A92" s="27"/>
      <c r="B92" s="27"/>
      <c r="C92" s="27"/>
      <c r="D92" s="27"/>
      <c r="E92" s="27"/>
      <c r="F92" s="27"/>
      <c r="G92" s="27"/>
    </row>
    <row r="93" spans="1:7" x14ac:dyDescent="0.2">
      <c r="A93" s="27"/>
      <c r="B93" s="27"/>
      <c r="C93" s="27"/>
      <c r="D93" s="27"/>
      <c r="E93" s="27"/>
      <c r="F93" s="27"/>
      <c r="G93" s="27"/>
    </row>
    <row r="94" spans="1:7" x14ac:dyDescent="0.2">
      <c r="A94" s="27"/>
      <c r="B94" s="27"/>
      <c r="C94" s="27"/>
      <c r="D94" s="27"/>
      <c r="E94" s="27"/>
      <c r="F94" s="27"/>
      <c r="G94" s="27"/>
    </row>
    <row r="95" spans="1:7" x14ac:dyDescent="0.2">
      <c r="A95" s="2" t="s">
        <v>2</v>
      </c>
      <c r="B95" s="2">
        <v>740000</v>
      </c>
    </row>
    <row r="96" spans="1:7" x14ac:dyDescent="0.2">
      <c r="A96" s="2" t="s">
        <v>7</v>
      </c>
      <c r="B96" s="2">
        <v>0.1</v>
      </c>
    </row>
    <row r="97" spans="1:7" x14ac:dyDescent="0.2">
      <c r="A97" s="2" t="s">
        <v>3</v>
      </c>
      <c r="B97" s="2">
        <v>3</v>
      </c>
    </row>
    <row r="98" spans="1:7" x14ac:dyDescent="0.2">
      <c r="A98" s="2" t="s">
        <v>78</v>
      </c>
      <c r="B98" s="2">
        <f>4</f>
        <v>4</v>
      </c>
    </row>
    <row r="100" spans="1:7" x14ac:dyDescent="0.2">
      <c r="A100" s="4" t="s">
        <v>56</v>
      </c>
      <c r="B100" s="4">
        <f>B95*(1+B96/B98)^(B98*B97)-B95</f>
        <v>255217.72994226019</v>
      </c>
    </row>
    <row r="101" spans="1:7" x14ac:dyDescent="0.2">
      <c r="A101" s="26" t="s">
        <v>67</v>
      </c>
      <c r="B101" s="27"/>
      <c r="C101" s="27"/>
      <c r="D101" s="27"/>
      <c r="E101" s="27"/>
      <c r="F101" s="27"/>
      <c r="G101" s="27"/>
    </row>
    <row r="102" spans="1:7" x14ac:dyDescent="0.2">
      <c r="A102" s="27"/>
      <c r="B102" s="27"/>
      <c r="C102" s="27"/>
      <c r="D102" s="27"/>
      <c r="E102" s="27"/>
      <c r="F102" s="27"/>
      <c r="G102" s="27"/>
    </row>
    <row r="103" spans="1:7" x14ac:dyDescent="0.2">
      <c r="A103" s="27"/>
      <c r="B103" s="27"/>
      <c r="C103" s="27"/>
      <c r="D103" s="27"/>
      <c r="E103" s="27"/>
      <c r="F103" s="27"/>
      <c r="G103" s="27"/>
    </row>
    <row r="104" spans="1:7" x14ac:dyDescent="0.2">
      <c r="A104" s="27"/>
      <c r="B104" s="27"/>
      <c r="C104" s="27"/>
      <c r="D104" s="27"/>
      <c r="E104" s="27"/>
      <c r="F104" s="27"/>
      <c r="G104" s="27"/>
    </row>
    <row r="105" spans="1:7" x14ac:dyDescent="0.2">
      <c r="A105" s="27"/>
      <c r="B105" s="27"/>
      <c r="C105" s="27"/>
      <c r="D105" s="27"/>
      <c r="E105" s="27"/>
      <c r="F105" s="27"/>
      <c r="G105" s="27"/>
    </row>
    <row r="106" spans="1:7" x14ac:dyDescent="0.2">
      <c r="A106" s="2" t="s">
        <v>2</v>
      </c>
      <c r="B106" s="2">
        <v>750000</v>
      </c>
    </row>
    <row r="107" spans="1:7" x14ac:dyDescent="0.2">
      <c r="A107" s="2" t="s">
        <v>7</v>
      </c>
      <c r="B107" s="2">
        <v>0.09</v>
      </c>
    </row>
    <row r="108" spans="1:7" x14ac:dyDescent="0.2">
      <c r="A108" s="2" t="s">
        <v>3</v>
      </c>
      <c r="B108" s="2">
        <v>6</v>
      </c>
    </row>
    <row r="109" spans="1:7" x14ac:dyDescent="0.2">
      <c r="A109" s="2" t="s">
        <v>78</v>
      </c>
      <c r="B109" s="2">
        <f>4</f>
        <v>4</v>
      </c>
    </row>
    <row r="111" spans="1:7" x14ac:dyDescent="0.2">
      <c r="A111" s="4" t="s">
        <v>56</v>
      </c>
      <c r="B111" s="4">
        <f>B106*(1+B107/B109)^(B109*B108)-B106</f>
        <v>529324.93206398585</v>
      </c>
    </row>
    <row r="115" spans="1:7" x14ac:dyDescent="0.2">
      <c r="A115" s="26" t="s">
        <v>68</v>
      </c>
      <c r="B115" s="27"/>
      <c r="C115" s="27"/>
      <c r="D115" s="27"/>
      <c r="E115" s="27"/>
      <c r="F115" s="27"/>
      <c r="G115" s="27"/>
    </row>
    <row r="116" spans="1:7" x14ac:dyDescent="0.2">
      <c r="A116" s="27"/>
      <c r="B116" s="27"/>
      <c r="C116" s="27"/>
      <c r="D116" s="27"/>
      <c r="E116" s="27"/>
      <c r="F116" s="27"/>
      <c r="G116" s="27"/>
    </row>
    <row r="117" spans="1:7" x14ac:dyDescent="0.2">
      <c r="A117" s="27"/>
      <c r="B117" s="27"/>
      <c r="C117" s="27"/>
      <c r="D117" s="27"/>
      <c r="E117" s="27"/>
      <c r="F117" s="27"/>
      <c r="G117" s="27"/>
    </row>
    <row r="118" spans="1:7" x14ac:dyDescent="0.2">
      <c r="A118" s="27"/>
      <c r="B118" s="27"/>
      <c r="C118" s="27"/>
      <c r="D118" s="27"/>
      <c r="E118" s="27"/>
      <c r="F118" s="27"/>
      <c r="G118" s="27"/>
    </row>
    <row r="119" spans="1:7" x14ac:dyDescent="0.2">
      <c r="A119" s="27"/>
      <c r="B119" s="27"/>
      <c r="C119" s="27"/>
      <c r="D119" s="27"/>
      <c r="E119" s="27"/>
      <c r="F119" s="27"/>
      <c r="G119" s="27"/>
    </row>
    <row r="120" spans="1:7" x14ac:dyDescent="0.2">
      <c r="A120" s="2" t="s">
        <v>2</v>
      </c>
      <c r="B120" s="2">
        <v>940000</v>
      </c>
    </row>
    <row r="121" spans="1:7" x14ac:dyDescent="0.2">
      <c r="A121" s="2" t="s">
        <v>7</v>
      </c>
      <c r="B121" s="2">
        <v>0.08</v>
      </c>
    </row>
    <row r="122" spans="1:7" x14ac:dyDescent="0.2">
      <c r="A122" s="2" t="s">
        <v>3</v>
      </c>
      <c r="B122" s="2">
        <v>2</v>
      </c>
    </row>
    <row r="123" spans="1:7" x14ac:dyDescent="0.2">
      <c r="A123" s="2" t="s">
        <v>78</v>
      </c>
      <c r="B123" s="2">
        <f>12</f>
        <v>12</v>
      </c>
    </row>
    <row r="125" spans="1:7" x14ac:dyDescent="0.2">
      <c r="A125" s="4" t="s">
        <v>56</v>
      </c>
      <c r="B125" s="4">
        <f>B120*(1+B121/B123)^(B123*B122)-B120</f>
        <v>162514.65584059153</v>
      </c>
    </row>
    <row r="126" spans="1:7" x14ac:dyDescent="0.2">
      <c r="A126" s="26" t="s">
        <v>69</v>
      </c>
      <c r="B126" s="27"/>
      <c r="C126" s="27"/>
      <c r="D126" s="27"/>
      <c r="E126" s="27"/>
      <c r="F126" s="27"/>
      <c r="G126" s="27"/>
    </row>
    <row r="127" spans="1:7" x14ac:dyDescent="0.2">
      <c r="A127" s="27"/>
      <c r="B127" s="27"/>
      <c r="C127" s="27"/>
      <c r="D127" s="27"/>
      <c r="E127" s="27"/>
      <c r="F127" s="27"/>
      <c r="G127" s="27"/>
    </row>
    <row r="128" spans="1:7" x14ac:dyDescent="0.2">
      <c r="A128" s="27"/>
      <c r="B128" s="27"/>
      <c r="C128" s="27"/>
      <c r="D128" s="27"/>
      <c r="E128" s="27"/>
      <c r="F128" s="27"/>
      <c r="G128" s="27"/>
    </row>
    <row r="129" spans="1:7" x14ac:dyDescent="0.2">
      <c r="A129" s="27"/>
      <c r="B129" s="27"/>
      <c r="C129" s="27"/>
      <c r="D129" s="27"/>
      <c r="E129" s="27"/>
      <c r="F129" s="27"/>
      <c r="G129" s="27"/>
    </row>
    <row r="130" spans="1:7" x14ac:dyDescent="0.2">
      <c r="A130" s="27"/>
      <c r="B130" s="27"/>
      <c r="C130" s="27"/>
      <c r="D130" s="27"/>
      <c r="E130" s="27"/>
      <c r="F130" s="27"/>
      <c r="G130" s="27"/>
    </row>
    <row r="131" spans="1:7" x14ac:dyDescent="0.2">
      <c r="A131" s="2" t="s">
        <v>2</v>
      </c>
      <c r="B131" s="2">
        <v>850000</v>
      </c>
    </row>
    <row r="132" spans="1:7" x14ac:dyDescent="0.2">
      <c r="A132" s="2" t="s">
        <v>7</v>
      </c>
      <c r="B132" s="2">
        <v>0.11</v>
      </c>
    </row>
    <row r="133" spans="1:7" x14ac:dyDescent="0.2">
      <c r="A133" s="2" t="s">
        <v>3</v>
      </c>
      <c r="B133" s="2">
        <v>6</v>
      </c>
    </row>
    <row r="134" spans="1:7" x14ac:dyDescent="0.2">
      <c r="A134" s="2" t="s">
        <v>78</v>
      </c>
      <c r="B134" s="2">
        <v>2</v>
      </c>
    </row>
    <row r="136" spans="1:7" x14ac:dyDescent="0.2">
      <c r="A136" s="4" t="s">
        <v>56</v>
      </c>
      <c r="B136" s="4">
        <f>B131*(1+B132/B134)^(B134*B133)-B131</f>
        <v>766026.36289515649</v>
      </c>
    </row>
    <row r="138" spans="1:7" x14ac:dyDescent="0.2">
      <c r="A138" s="26" t="s">
        <v>70</v>
      </c>
      <c r="B138" s="27"/>
      <c r="C138" s="27"/>
      <c r="D138" s="27"/>
      <c r="E138" s="27"/>
      <c r="F138" s="27"/>
      <c r="G138" s="27"/>
    </row>
    <row r="139" spans="1:7" x14ac:dyDescent="0.2">
      <c r="A139" s="27"/>
      <c r="B139" s="27"/>
      <c r="C139" s="27"/>
      <c r="D139" s="27"/>
      <c r="E139" s="27"/>
      <c r="F139" s="27"/>
      <c r="G139" s="27"/>
    </row>
    <row r="140" spans="1:7" x14ac:dyDescent="0.2">
      <c r="A140" s="27"/>
      <c r="B140" s="27"/>
      <c r="C140" s="27"/>
      <c r="D140" s="27"/>
      <c r="E140" s="27"/>
      <c r="F140" s="27"/>
      <c r="G140" s="27"/>
    </row>
    <row r="141" spans="1:7" x14ac:dyDescent="0.2">
      <c r="A141" s="27"/>
      <c r="B141" s="27"/>
      <c r="C141" s="27"/>
      <c r="D141" s="27"/>
      <c r="E141" s="27"/>
      <c r="F141" s="27"/>
      <c r="G141" s="27"/>
    </row>
    <row r="142" spans="1:7" x14ac:dyDescent="0.2">
      <c r="A142" s="27"/>
      <c r="B142" s="27"/>
      <c r="C142" s="27"/>
      <c r="D142" s="27"/>
      <c r="E142" s="27"/>
      <c r="F142" s="27"/>
      <c r="G142" s="27"/>
    </row>
    <row r="143" spans="1:7" x14ac:dyDescent="0.2">
      <c r="A143" s="2" t="s">
        <v>2</v>
      </c>
      <c r="B143" s="2">
        <v>950000</v>
      </c>
    </row>
    <row r="144" spans="1:7" x14ac:dyDescent="0.2">
      <c r="A144" s="2" t="s">
        <v>7</v>
      </c>
      <c r="B144" s="2">
        <v>0.12</v>
      </c>
    </row>
    <row r="145" spans="1:7" x14ac:dyDescent="0.2">
      <c r="A145" s="2" t="s">
        <v>3</v>
      </c>
      <c r="B145" s="2">
        <v>6</v>
      </c>
    </row>
    <row r="146" spans="1:7" x14ac:dyDescent="0.2">
      <c r="A146" s="2" t="s">
        <v>78</v>
      </c>
      <c r="B146" s="2">
        <v>12</v>
      </c>
    </row>
    <row r="148" spans="1:7" x14ac:dyDescent="0.2">
      <c r="A148" s="4" t="s">
        <v>56</v>
      </c>
      <c r="B148" s="4">
        <f>B143*(1+B144/B146)^(B146*B145)-B143</f>
        <v>994744.34649512591</v>
      </c>
    </row>
    <row r="149" spans="1:7" x14ac:dyDescent="0.2">
      <c r="A149" s="26" t="s">
        <v>71</v>
      </c>
      <c r="B149" s="27"/>
      <c r="C149" s="27"/>
      <c r="D149" s="27"/>
      <c r="E149" s="27"/>
      <c r="F149" s="27"/>
      <c r="G149" s="27"/>
    </row>
    <row r="150" spans="1:7" x14ac:dyDescent="0.2">
      <c r="A150" s="27"/>
      <c r="B150" s="27"/>
      <c r="C150" s="27"/>
      <c r="D150" s="27"/>
      <c r="E150" s="27"/>
      <c r="F150" s="27"/>
      <c r="G150" s="27"/>
    </row>
    <row r="151" spans="1:7" x14ac:dyDescent="0.2">
      <c r="A151" s="27"/>
      <c r="B151" s="27"/>
      <c r="C151" s="27"/>
      <c r="D151" s="27"/>
      <c r="E151" s="27"/>
      <c r="F151" s="27"/>
      <c r="G151" s="27"/>
    </row>
    <row r="152" spans="1:7" x14ac:dyDescent="0.2">
      <c r="A152" s="27"/>
      <c r="B152" s="27"/>
      <c r="C152" s="27"/>
      <c r="D152" s="27"/>
      <c r="E152" s="27"/>
      <c r="F152" s="27"/>
      <c r="G152" s="27"/>
    </row>
    <row r="153" spans="1:7" x14ac:dyDescent="0.2">
      <c r="A153" s="27"/>
      <c r="B153" s="27"/>
      <c r="C153" s="27"/>
      <c r="D153" s="27"/>
      <c r="E153" s="27"/>
      <c r="F153" s="27"/>
      <c r="G153" s="27"/>
    </row>
    <row r="154" spans="1:7" x14ac:dyDescent="0.2">
      <c r="A154" s="2" t="s">
        <v>2</v>
      </c>
      <c r="B154" s="2">
        <v>750000</v>
      </c>
    </row>
    <row r="155" spans="1:7" x14ac:dyDescent="0.2">
      <c r="A155" s="2" t="s">
        <v>7</v>
      </c>
      <c r="B155" s="2">
        <v>0.1</v>
      </c>
    </row>
    <row r="156" spans="1:7" x14ac:dyDescent="0.2">
      <c r="A156" s="2" t="s">
        <v>3</v>
      </c>
      <c r="B156" s="2">
        <v>6</v>
      </c>
    </row>
    <row r="157" spans="1:7" x14ac:dyDescent="0.2">
      <c r="A157" s="2" t="s">
        <v>78</v>
      </c>
      <c r="B157" s="2">
        <v>2</v>
      </c>
    </row>
    <row r="159" spans="1:7" x14ac:dyDescent="0.2">
      <c r="A159" s="4" t="s">
        <v>56</v>
      </c>
      <c r="B159" s="4">
        <f>B154*(1+B155/B157)^(B157*B156)-B154</f>
        <v>596892.2445165969</v>
      </c>
    </row>
    <row r="160" spans="1:7" x14ac:dyDescent="0.2">
      <c r="A160" s="26" t="s">
        <v>72</v>
      </c>
      <c r="B160" s="27"/>
      <c r="C160" s="27"/>
      <c r="D160" s="27"/>
      <c r="E160" s="27"/>
      <c r="F160" s="27"/>
      <c r="G160" s="27"/>
    </row>
    <row r="161" spans="1:7" x14ac:dyDescent="0.2">
      <c r="A161" s="27"/>
      <c r="B161" s="27"/>
      <c r="C161" s="27"/>
      <c r="D161" s="27"/>
      <c r="E161" s="27"/>
      <c r="F161" s="27"/>
      <c r="G161" s="27"/>
    </row>
    <row r="162" spans="1:7" x14ac:dyDescent="0.2">
      <c r="A162" s="27"/>
      <c r="B162" s="27"/>
      <c r="C162" s="27"/>
      <c r="D162" s="27"/>
      <c r="E162" s="27"/>
      <c r="F162" s="27"/>
      <c r="G162" s="27"/>
    </row>
    <row r="163" spans="1:7" x14ac:dyDescent="0.2">
      <c r="A163" s="27"/>
      <c r="B163" s="27"/>
      <c r="C163" s="27"/>
      <c r="D163" s="27"/>
      <c r="E163" s="27"/>
      <c r="F163" s="27"/>
      <c r="G163" s="27"/>
    </row>
    <row r="164" spans="1:7" x14ac:dyDescent="0.2">
      <c r="A164" s="27"/>
      <c r="B164" s="27"/>
      <c r="C164" s="27"/>
      <c r="D164" s="27"/>
      <c r="E164" s="27"/>
      <c r="F164" s="27"/>
      <c r="G164" s="27"/>
    </row>
    <row r="165" spans="1:7" x14ac:dyDescent="0.2">
      <c r="A165" s="2" t="s">
        <v>2</v>
      </c>
      <c r="B165" s="2">
        <v>1500000</v>
      </c>
    </row>
    <row r="166" spans="1:7" x14ac:dyDescent="0.2">
      <c r="A166" s="2" t="s">
        <v>7</v>
      </c>
      <c r="B166" s="2">
        <v>0.11</v>
      </c>
    </row>
    <row r="167" spans="1:7" x14ac:dyDescent="0.2">
      <c r="A167" s="2" t="s">
        <v>3</v>
      </c>
      <c r="B167" s="2">
        <v>6</v>
      </c>
    </row>
    <row r="168" spans="1:7" x14ac:dyDescent="0.2">
      <c r="A168" s="2" t="s">
        <v>78</v>
      </c>
      <c r="B168" s="2">
        <v>4</v>
      </c>
    </row>
    <row r="170" spans="1:7" x14ac:dyDescent="0.2">
      <c r="A170" s="4" t="s">
        <v>56</v>
      </c>
      <c r="B170" s="4">
        <f>B165*(1+B166/B168)^(B168*B167)-B165</f>
        <v>1376439.1572175543</v>
      </c>
    </row>
    <row r="171" spans="1:7" x14ac:dyDescent="0.2">
      <c r="A171" s="26" t="s">
        <v>73</v>
      </c>
      <c r="B171" s="27"/>
      <c r="C171" s="27"/>
      <c r="D171" s="27"/>
      <c r="E171" s="27"/>
      <c r="F171" s="27"/>
      <c r="G171" s="27"/>
    </row>
    <row r="172" spans="1:7" x14ac:dyDescent="0.2">
      <c r="A172" s="27"/>
      <c r="B172" s="27"/>
      <c r="C172" s="27"/>
      <c r="D172" s="27"/>
      <c r="E172" s="27"/>
      <c r="F172" s="27"/>
      <c r="G172" s="27"/>
    </row>
    <row r="173" spans="1:7" x14ac:dyDescent="0.2">
      <c r="A173" s="27"/>
      <c r="B173" s="27"/>
      <c r="C173" s="27"/>
      <c r="D173" s="27"/>
      <c r="E173" s="27"/>
      <c r="F173" s="27"/>
      <c r="G173" s="27"/>
    </row>
    <row r="174" spans="1:7" x14ac:dyDescent="0.2">
      <c r="A174" s="27"/>
      <c r="B174" s="27"/>
      <c r="C174" s="27"/>
      <c r="D174" s="27"/>
      <c r="E174" s="27"/>
      <c r="F174" s="27"/>
      <c r="G174" s="27"/>
    </row>
    <row r="175" spans="1:7" x14ac:dyDescent="0.2">
      <c r="A175" s="27"/>
      <c r="B175" s="27"/>
      <c r="C175" s="27"/>
      <c r="D175" s="27"/>
      <c r="E175" s="27"/>
      <c r="F175" s="27"/>
      <c r="G175" s="27"/>
    </row>
    <row r="176" spans="1:7" x14ac:dyDescent="0.2">
      <c r="A176" s="2" t="s">
        <v>2</v>
      </c>
      <c r="B176" s="2">
        <v>1500000</v>
      </c>
    </row>
    <row r="177" spans="1:7" x14ac:dyDescent="0.2">
      <c r="A177" s="2" t="s">
        <v>7</v>
      </c>
      <c r="B177" s="2">
        <v>0.11</v>
      </c>
    </row>
    <row r="178" spans="1:7" x14ac:dyDescent="0.2">
      <c r="A178" s="2" t="s">
        <v>3</v>
      </c>
      <c r="B178" s="2">
        <v>6</v>
      </c>
    </row>
    <row r="179" spans="1:7" x14ac:dyDescent="0.2">
      <c r="A179" s="2" t="s">
        <v>78</v>
      </c>
      <c r="B179" s="2">
        <v>4</v>
      </c>
    </row>
    <row r="181" spans="1:7" x14ac:dyDescent="0.2">
      <c r="A181" s="4" t="s">
        <v>56</v>
      </c>
      <c r="B181" s="4">
        <f>B176*(1+B177/B179)^(B179*B178)-B176</f>
        <v>1376439.1572175543</v>
      </c>
    </row>
    <row r="182" spans="1:7" x14ac:dyDescent="0.2">
      <c r="A182" s="26" t="s">
        <v>74</v>
      </c>
      <c r="B182" s="27"/>
      <c r="C182" s="27"/>
      <c r="D182" s="27"/>
      <c r="E182" s="27"/>
      <c r="F182" s="27"/>
      <c r="G182" s="27"/>
    </row>
    <row r="183" spans="1:7" x14ac:dyDescent="0.2">
      <c r="A183" s="27"/>
      <c r="B183" s="27"/>
      <c r="C183" s="27"/>
      <c r="D183" s="27"/>
      <c r="E183" s="27"/>
      <c r="F183" s="27"/>
      <c r="G183" s="27"/>
    </row>
    <row r="184" spans="1:7" x14ac:dyDescent="0.2">
      <c r="A184" s="27"/>
      <c r="B184" s="27"/>
      <c r="C184" s="27"/>
      <c r="D184" s="27"/>
      <c r="E184" s="27"/>
      <c r="F184" s="27"/>
      <c r="G184" s="27"/>
    </row>
    <row r="185" spans="1:7" x14ac:dyDescent="0.2">
      <c r="A185" s="27"/>
      <c r="B185" s="27"/>
      <c r="C185" s="27"/>
      <c r="D185" s="27"/>
      <c r="E185" s="27"/>
      <c r="F185" s="27"/>
      <c r="G185" s="27"/>
    </row>
    <row r="186" spans="1:7" x14ac:dyDescent="0.2">
      <c r="A186" s="27"/>
      <c r="B186" s="27"/>
      <c r="C186" s="27"/>
      <c r="D186" s="27"/>
      <c r="E186" s="27"/>
      <c r="F186" s="27"/>
      <c r="G186" s="27"/>
    </row>
    <row r="187" spans="1:7" x14ac:dyDescent="0.2">
      <c r="A187" s="2" t="s">
        <v>2</v>
      </c>
      <c r="B187" s="2">
        <v>1600000</v>
      </c>
    </row>
    <row r="188" spans="1:7" x14ac:dyDescent="0.2">
      <c r="A188" s="2" t="s">
        <v>7</v>
      </c>
      <c r="B188" s="2">
        <v>0.08</v>
      </c>
    </row>
    <row r="189" spans="1:7" x14ac:dyDescent="0.2">
      <c r="A189" s="2" t="s">
        <v>3</v>
      </c>
      <c r="B189" s="2">
        <v>6</v>
      </c>
    </row>
    <row r="190" spans="1:7" x14ac:dyDescent="0.2">
      <c r="A190" s="2"/>
      <c r="B190" s="2"/>
    </row>
    <row r="192" spans="1:7" x14ac:dyDescent="0.2">
      <c r="A192" s="4" t="s">
        <v>56</v>
      </c>
      <c r="B192" s="4">
        <f>B187*EXP(B188*B189) - B187</f>
        <v>985719.04350862931</v>
      </c>
    </row>
    <row r="193" spans="1:7" x14ac:dyDescent="0.2">
      <c r="A193" s="26" t="s">
        <v>75</v>
      </c>
      <c r="B193" s="27"/>
      <c r="C193" s="27"/>
      <c r="D193" s="27"/>
      <c r="E193" s="27"/>
      <c r="F193" s="27"/>
      <c r="G193" s="27"/>
    </row>
    <row r="194" spans="1:7" x14ac:dyDescent="0.2">
      <c r="A194" s="27"/>
      <c r="B194" s="27"/>
      <c r="C194" s="27"/>
      <c r="D194" s="27"/>
      <c r="E194" s="27"/>
      <c r="F194" s="27"/>
      <c r="G194" s="27"/>
    </row>
    <row r="195" spans="1:7" x14ac:dyDescent="0.2">
      <c r="A195" s="27"/>
      <c r="B195" s="27"/>
      <c r="C195" s="27"/>
      <c r="D195" s="27"/>
      <c r="E195" s="27"/>
      <c r="F195" s="27"/>
      <c r="G195" s="27"/>
    </row>
    <row r="196" spans="1:7" x14ac:dyDescent="0.2">
      <c r="A196" s="27"/>
      <c r="B196" s="27"/>
      <c r="C196" s="27"/>
      <c r="D196" s="27"/>
      <c r="E196" s="27"/>
      <c r="F196" s="27"/>
      <c r="G196" s="27"/>
    </row>
    <row r="197" spans="1:7" x14ac:dyDescent="0.2">
      <c r="A197" s="27"/>
      <c r="B197" s="27"/>
      <c r="C197" s="27"/>
      <c r="D197" s="27"/>
      <c r="E197" s="27"/>
      <c r="F197" s="27"/>
      <c r="G197" s="27"/>
    </row>
    <row r="198" spans="1:7" x14ac:dyDescent="0.2">
      <c r="A198" s="2" t="s">
        <v>2</v>
      </c>
      <c r="B198" s="2">
        <v>1550000</v>
      </c>
    </row>
    <row r="199" spans="1:7" x14ac:dyDescent="0.2">
      <c r="A199" s="2" t="s">
        <v>7</v>
      </c>
      <c r="B199" s="2">
        <v>0.09</v>
      </c>
    </row>
    <row r="200" spans="1:7" x14ac:dyDescent="0.2">
      <c r="A200" s="2" t="s">
        <v>3</v>
      </c>
      <c r="B200" s="2">
        <v>6</v>
      </c>
    </row>
    <row r="201" spans="1:7" x14ac:dyDescent="0.2">
      <c r="A201" s="2"/>
      <c r="B201" s="2"/>
    </row>
    <row r="203" spans="1:7" x14ac:dyDescent="0.2">
      <c r="A203" s="4" t="s">
        <v>56</v>
      </c>
      <c r="B203" s="4">
        <f>B198*EXP(B199*B200) - B198</f>
        <v>1109810.6363865309</v>
      </c>
    </row>
    <row r="204" spans="1:7" x14ac:dyDescent="0.2">
      <c r="A204" s="26" t="s">
        <v>76</v>
      </c>
      <c r="B204" s="27"/>
      <c r="C204" s="27"/>
      <c r="D204" s="27"/>
      <c r="E204" s="27"/>
      <c r="F204" s="27"/>
      <c r="G204" s="27"/>
    </row>
    <row r="205" spans="1:7" x14ac:dyDescent="0.2">
      <c r="A205" s="27"/>
      <c r="B205" s="27"/>
      <c r="C205" s="27"/>
      <c r="D205" s="27"/>
      <c r="E205" s="27"/>
      <c r="F205" s="27"/>
      <c r="G205" s="27"/>
    </row>
    <row r="206" spans="1:7" x14ac:dyDescent="0.2">
      <c r="A206" s="27"/>
      <c r="B206" s="27"/>
      <c r="C206" s="27"/>
      <c r="D206" s="27"/>
      <c r="E206" s="27"/>
      <c r="F206" s="27"/>
      <c r="G206" s="27"/>
    </row>
    <row r="207" spans="1:7" x14ac:dyDescent="0.2">
      <c r="A207" s="27"/>
      <c r="B207" s="27"/>
      <c r="C207" s="27"/>
      <c r="D207" s="27"/>
      <c r="E207" s="27"/>
      <c r="F207" s="27"/>
      <c r="G207" s="27"/>
    </row>
    <row r="208" spans="1:7" x14ac:dyDescent="0.2">
      <c r="A208" s="27"/>
      <c r="B208" s="27"/>
      <c r="C208" s="27"/>
      <c r="D208" s="27"/>
      <c r="E208" s="27"/>
      <c r="F208" s="27"/>
      <c r="G208" s="27"/>
    </row>
    <row r="209" spans="1:7" x14ac:dyDescent="0.2">
      <c r="A209" s="2" t="s">
        <v>3</v>
      </c>
      <c r="B209" s="2">
        <v>10</v>
      </c>
    </row>
    <row r="211" spans="1:7" x14ac:dyDescent="0.2">
      <c r="A211" s="4" t="s">
        <v>7</v>
      </c>
      <c r="B211" s="5">
        <f>(3^((1/(B209*4)))-1)*4*100</f>
        <v>11.138382260676405</v>
      </c>
    </row>
    <row r="216" spans="1:7" x14ac:dyDescent="0.2">
      <c r="A216" s="26" t="s">
        <v>77</v>
      </c>
      <c r="B216" s="27"/>
      <c r="C216" s="27"/>
      <c r="D216" s="27"/>
      <c r="E216" s="27"/>
      <c r="F216" s="27"/>
      <c r="G216" s="27"/>
    </row>
    <row r="217" spans="1:7" x14ac:dyDescent="0.2">
      <c r="A217" s="27"/>
      <c r="B217" s="27"/>
      <c r="C217" s="27"/>
      <c r="D217" s="27"/>
      <c r="E217" s="27"/>
      <c r="F217" s="27"/>
      <c r="G217" s="27"/>
    </row>
    <row r="218" spans="1:7" x14ac:dyDescent="0.2">
      <c r="A218" s="27"/>
      <c r="B218" s="27"/>
      <c r="C218" s="27"/>
      <c r="D218" s="27"/>
      <c r="E218" s="27"/>
      <c r="F218" s="27"/>
      <c r="G218" s="27"/>
    </row>
    <row r="219" spans="1:7" x14ac:dyDescent="0.2">
      <c r="A219" s="27"/>
      <c r="B219" s="27"/>
      <c r="C219" s="27"/>
      <c r="D219" s="27"/>
      <c r="E219" s="27"/>
      <c r="F219" s="27"/>
      <c r="G219" s="27"/>
    </row>
    <row r="220" spans="1:7" x14ac:dyDescent="0.2">
      <c r="A220" s="27"/>
      <c r="B220" s="27"/>
      <c r="C220" s="27"/>
      <c r="D220" s="27"/>
      <c r="E220" s="27"/>
      <c r="F220" s="27"/>
      <c r="G220" s="27"/>
    </row>
    <row r="221" spans="1:7" x14ac:dyDescent="0.2">
      <c r="A221" s="2" t="s">
        <v>3</v>
      </c>
      <c r="B221" s="2">
        <v>7</v>
      </c>
    </row>
    <row r="223" spans="1:7" x14ac:dyDescent="0.2">
      <c r="A223" s="4" t="s">
        <v>7</v>
      </c>
      <c r="B223" s="5">
        <f>(2^(1/(B221*4))-1)*4*100</f>
        <v>10.025684786349842</v>
      </c>
    </row>
  </sheetData>
  <mergeCells count="20">
    <mergeCell ref="A68:G72"/>
    <mergeCell ref="A182:G186"/>
    <mergeCell ref="A1:G5"/>
    <mergeCell ref="A115:G119"/>
    <mergeCell ref="A12:G16"/>
    <mergeCell ref="A126:G130"/>
    <mergeCell ref="A24:G28"/>
    <mergeCell ref="A138:G142"/>
    <mergeCell ref="A35:G39"/>
    <mergeCell ref="A149:G153"/>
    <mergeCell ref="A46:G50"/>
    <mergeCell ref="A160:G164"/>
    <mergeCell ref="A57:G61"/>
    <mergeCell ref="A171:G175"/>
    <mergeCell ref="A79:G83"/>
    <mergeCell ref="A193:G197"/>
    <mergeCell ref="A90:G94"/>
    <mergeCell ref="A204:G208"/>
    <mergeCell ref="A101:G105"/>
    <mergeCell ref="A216:G2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DC0B-4939-5746-83E9-58E59AD19D91}">
  <dimension ref="A1:M212"/>
  <sheetViews>
    <sheetView topLeftCell="A18" zoomScale="125" workbookViewId="0">
      <selection activeCell="N14" sqref="N14"/>
    </sheetView>
  </sheetViews>
  <sheetFormatPr baseColWidth="10" defaultColWidth="8.83203125" defaultRowHeight="16" x14ac:dyDescent="0.2"/>
  <cols>
    <col min="1" max="16384" width="8.83203125" style="1"/>
  </cols>
  <sheetData>
    <row r="1" spans="1:13" x14ac:dyDescent="0.2">
      <c r="A1" s="31" t="s">
        <v>85</v>
      </c>
      <c r="B1" s="31"/>
      <c r="C1" s="31"/>
      <c r="D1" s="31"/>
      <c r="E1" s="31"/>
      <c r="F1" s="31"/>
      <c r="G1" s="31"/>
    </row>
    <row r="2" spans="1:13" x14ac:dyDescent="0.2">
      <c r="A2" s="31"/>
      <c r="B2" s="31"/>
      <c r="C2" s="31"/>
      <c r="D2" s="31"/>
      <c r="E2" s="31"/>
      <c r="F2" s="31"/>
      <c r="G2" s="31"/>
    </row>
    <row r="3" spans="1:13" x14ac:dyDescent="0.2">
      <c r="A3" s="31"/>
      <c r="B3" s="31"/>
      <c r="C3" s="31"/>
      <c r="D3" s="31"/>
      <c r="E3" s="31"/>
      <c r="F3" s="31"/>
      <c r="G3" s="31"/>
    </row>
    <row r="4" spans="1:13" x14ac:dyDescent="0.2">
      <c r="A4" s="31"/>
      <c r="B4" s="31"/>
      <c r="C4" s="31"/>
      <c r="D4" s="31"/>
      <c r="E4" s="31"/>
      <c r="F4" s="31"/>
      <c r="G4" s="31"/>
    </row>
    <row r="5" spans="1:13" x14ac:dyDescent="0.2">
      <c r="A5" s="31"/>
      <c r="B5" s="31"/>
      <c r="C5" s="31"/>
      <c r="D5" s="31"/>
      <c r="E5" s="31"/>
      <c r="F5" s="31"/>
      <c r="G5" s="31"/>
    </row>
    <row r="6" spans="1:13" x14ac:dyDescent="0.2">
      <c r="A6" s="2" t="s">
        <v>2</v>
      </c>
      <c r="B6" s="2">
        <v>450000</v>
      </c>
    </row>
    <row r="7" spans="1:13" x14ac:dyDescent="0.2">
      <c r="A7" s="2" t="s">
        <v>3</v>
      </c>
      <c r="B7" s="2">
        <v>6</v>
      </c>
    </row>
    <row r="8" spans="1:13" x14ac:dyDescent="0.2">
      <c r="A8" s="2" t="s">
        <v>56</v>
      </c>
      <c r="B8" s="2">
        <v>0.1</v>
      </c>
    </row>
    <row r="9" spans="1:13" x14ac:dyDescent="0.2">
      <c r="A9" s="2" t="s">
        <v>78</v>
      </c>
      <c r="B9" s="2">
        <v>2</v>
      </c>
    </row>
    <row r="11" spans="1:13" x14ac:dyDescent="0.2">
      <c r="A11" s="4" t="s">
        <v>87</v>
      </c>
      <c r="B11" s="4">
        <f>((1+B8/B9)^B9-1)*100</f>
        <v>10.250000000000004</v>
      </c>
    </row>
    <row r="12" spans="1:13" ht="15" customHeight="1" x14ac:dyDescent="0.2">
      <c r="A12" s="32" t="s">
        <v>88</v>
      </c>
      <c r="B12" s="33"/>
      <c r="C12" s="33"/>
      <c r="D12" s="33"/>
      <c r="E12" s="33"/>
      <c r="F12" s="33"/>
      <c r="G12" s="33"/>
    </row>
    <row r="13" spans="1:13" x14ac:dyDescent="0.2">
      <c r="A13" s="33"/>
      <c r="B13" s="33"/>
      <c r="C13" s="33"/>
      <c r="D13" s="33"/>
      <c r="E13" s="33"/>
      <c r="F13" s="33"/>
      <c r="G13" s="33"/>
    </row>
    <row r="14" spans="1:13" x14ac:dyDescent="0.2">
      <c r="A14" s="33"/>
      <c r="B14" s="33"/>
      <c r="C14" s="33"/>
      <c r="D14" s="33"/>
      <c r="E14" s="33"/>
      <c r="F14" s="33"/>
      <c r="G14" s="33"/>
      <c r="M14" s="1" t="s">
        <v>340</v>
      </c>
    </row>
    <row r="15" spans="1:13" x14ac:dyDescent="0.2">
      <c r="A15" s="33"/>
      <c r="B15" s="33"/>
      <c r="C15" s="33"/>
      <c r="D15" s="33"/>
      <c r="E15" s="33"/>
      <c r="F15" s="33"/>
      <c r="G15" s="33"/>
    </row>
    <row r="16" spans="1:13" x14ac:dyDescent="0.2">
      <c r="A16" s="33"/>
      <c r="B16" s="33"/>
      <c r="C16" s="33"/>
      <c r="D16" s="33"/>
      <c r="E16" s="33"/>
      <c r="F16" s="33"/>
      <c r="G16" s="33"/>
    </row>
    <row r="17" spans="1:7" x14ac:dyDescent="0.2">
      <c r="A17" s="2" t="s">
        <v>2</v>
      </c>
      <c r="B17" s="2">
        <v>750000</v>
      </c>
    </row>
    <row r="18" spans="1:7" x14ac:dyDescent="0.2">
      <c r="A18" s="2" t="s">
        <v>3</v>
      </c>
      <c r="B18" s="2">
        <v>6</v>
      </c>
    </row>
    <row r="19" spans="1:7" x14ac:dyDescent="0.2">
      <c r="A19" s="2" t="s">
        <v>56</v>
      </c>
      <c r="B19" s="2">
        <v>0.09</v>
      </c>
    </row>
    <row r="20" spans="1:7" x14ac:dyDescent="0.2">
      <c r="A20" s="13" t="s">
        <v>78</v>
      </c>
      <c r="B20" s="13">
        <v>12</v>
      </c>
    </row>
    <row r="22" spans="1:7" x14ac:dyDescent="0.2">
      <c r="A22" s="4" t="s">
        <v>87</v>
      </c>
      <c r="B22" s="5">
        <f>((1+B19/B20)^B20-1)*100</f>
        <v>9.3806897670984277</v>
      </c>
    </row>
    <row r="24" spans="1:7" x14ac:dyDescent="0.2">
      <c r="A24" s="32" t="s">
        <v>91</v>
      </c>
      <c r="B24" s="33"/>
      <c r="C24" s="33"/>
      <c r="D24" s="33"/>
      <c r="E24" s="33"/>
      <c r="F24" s="33"/>
      <c r="G24" s="33"/>
    </row>
    <row r="25" spans="1:7" x14ac:dyDescent="0.2">
      <c r="A25" s="33"/>
      <c r="B25" s="33"/>
      <c r="C25" s="33"/>
      <c r="D25" s="33"/>
      <c r="E25" s="33"/>
      <c r="F25" s="33"/>
      <c r="G25" s="33"/>
    </row>
    <row r="26" spans="1:7" x14ac:dyDescent="0.2">
      <c r="A26" s="33"/>
      <c r="B26" s="33"/>
      <c r="C26" s="33"/>
      <c r="D26" s="33"/>
      <c r="E26" s="33"/>
      <c r="F26" s="33"/>
      <c r="G26" s="33"/>
    </row>
    <row r="27" spans="1:7" x14ac:dyDescent="0.2">
      <c r="A27" s="33"/>
      <c r="B27" s="33"/>
      <c r="C27" s="33"/>
      <c r="D27" s="33"/>
      <c r="E27" s="33"/>
      <c r="F27" s="33"/>
      <c r="G27" s="33"/>
    </row>
    <row r="28" spans="1:7" x14ac:dyDescent="0.2">
      <c r="A28" s="33"/>
      <c r="B28" s="33"/>
      <c r="C28" s="33"/>
      <c r="D28" s="33"/>
      <c r="E28" s="33"/>
      <c r="F28" s="33"/>
      <c r="G28" s="33"/>
    </row>
    <row r="29" spans="1:7" x14ac:dyDescent="0.2">
      <c r="A29" s="2" t="s">
        <v>2</v>
      </c>
      <c r="B29" s="2">
        <v>850000</v>
      </c>
    </row>
    <row r="30" spans="1:7" x14ac:dyDescent="0.2">
      <c r="A30" s="2" t="s">
        <v>3</v>
      </c>
      <c r="B30" s="2">
        <v>6</v>
      </c>
    </row>
    <row r="31" spans="1:7" x14ac:dyDescent="0.2">
      <c r="A31" s="2" t="s">
        <v>56</v>
      </c>
      <c r="B31" s="2">
        <v>7.0000000000000007E-2</v>
      </c>
    </row>
    <row r="34" spans="1:7" x14ac:dyDescent="0.2">
      <c r="A34" s="4" t="s">
        <v>87</v>
      </c>
      <c r="B34" s="5">
        <f>(EXP(B31)-1)*100</f>
        <v>7.2508181254216542</v>
      </c>
    </row>
    <row r="35" spans="1:7" x14ac:dyDescent="0.2">
      <c r="A35" s="32" t="s">
        <v>93</v>
      </c>
      <c r="B35" s="33"/>
      <c r="C35" s="33"/>
      <c r="D35" s="33"/>
      <c r="E35" s="33"/>
      <c r="F35" s="33"/>
      <c r="G35" s="33"/>
    </row>
    <row r="36" spans="1:7" x14ac:dyDescent="0.2">
      <c r="A36" s="33"/>
      <c r="B36" s="33"/>
      <c r="C36" s="33"/>
      <c r="D36" s="33"/>
      <c r="E36" s="33"/>
      <c r="F36" s="33"/>
      <c r="G36" s="33"/>
    </row>
    <row r="37" spans="1:7" x14ac:dyDescent="0.2">
      <c r="A37" s="33"/>
      <c r="B37" s="33"/>
      <c r="C37" s="33"/>
      <c r="D37" s="33"/>
      <c r="E37" s="33"/>
      <c r="F37" s="33"/>
      <c r="G37" s="33"/>
    </row>
    <row r="38" spans="1:7" x14ac:dyDescent="0.2">
      <c r="A38" s="33"/>
      <c r="B38" s="33"/>
      <c r="C38" s="33"/>
      <c r="D38" s="33"/>
      <c r="E38" s="33"/>
      <c r="F38" s="33"/>
      <c r="G38" s="33"/>
    </row>
    <row r="39" spans="1:7" x14ac:dyDescent="0.2">
      <c r="A39" s="33"/>
      <c r="B39" s="33"/>
      <c r="C39" s="33"/>
      <c r="D39" s="33"/>
      <c r="E39" s="33"/>
      <c r="F39" s="33"/>
      <c r="G39" s="33"/>
    </row>
    <row r="41" spans="1:7" x14ac:dyDescent="0.2">
      <c r="A41" s="2" t="s">
        <v>95</v>
      </c>
      <c r="B41" s="2">
        <v>0.09</v>
      </c>
    </row>
    <row r="44" spans="1:7" x14ac:dyDescent="0.2">
      <c r="A44" s="4" t="s">
        <v>96</v>
      </c>
      <c r="B44" s="5">
        <f>(EXP(B41)-1)*100</f>
        <v>9.4174283705210406</v>
      </c>
    </row>
    <row r="46" spans="1:7" x14ac:dyDescent="0.2">
      <c r="A46" s="32" t="s">
        <v>97</v>
      </c>
      <c r="B46" s="33"/>
      <c r="C46" s="33"/>
      <c r="D46" s="33"/>
      <c r="E46" s="33"/>
      <c r="F46" s="33"/>
      <c r="G46" s="33"/>
    </row>
    <row r="47" spans="1:7" x14ac:dyDescent="0.2">
      <c r="A47" s="33"/>
      <c r="B47" s="33"/>
      <c r="C47" s="33"/>
      <c r="D47" s="33"/>
      <c r="E47" s="33"/>
      <c r="F47" s="33"/>
      <c r="G47" s="33"/>
    </row>
    <row r="48" spans="1:7" x14ac:dyDescent="0.2">
      <c r="A48" s="33"/>
      <c r="B48" s="33"/>
      <c r="C48" s="33"/>
      <c r="D48" s="33"/>
      <c r="E48" s="33"/>
      <c r="F48" s="33"/>
      <c r="G48" s="33"/>
    </row>
    <row r="49" spans="1:7" x14ac:dyDescent="0.2">
      <c r="A49" s="33"/>
      <c r="B49" s="33"/>
      <c r="C49" s="33"/>
      <c r="D49" s="33"/>
      <c r="E49" s="33"/>
      <c r="F49" s="33"/>
      <c r="G49" s="33"/>
    </row>
    <row r="50" spans="1:7" x14ac:dyDescent="0.2">
      <c r="A50" s="33"/>
      <c r="B50" s="33"/>
      <c r="C50" s="33"/>
      <c r="D50" s="33"/>
      <c r="E50" s="33"/>
      <c r="F50" s="33"/>
      <c r="G50" s="33"/>
    </row>
    <row r="51" spans="1:7" x14ac:dyDescent="0.2">
      <c r="A51" s="2" t="s">
        <v>56</v>
      </c>
      <c r="B51" s="2">
        <v>0.11</v>
      </c>
    </row>
    <row r="52" spans="1:7" x14ac:dyDescent="0.2">
      <c r="A52" s="2" t="s">
        <v>3</v>
      </c>
      <c r="B52" s="2">
        <v>5</v>
      </c>
    </row>
    <row r="56" spans="1:7" x14ac:dyDescent="0.2">
      <c r="A56" s="4" t="s">
        <v>96</v>
      </c>
      <c r="B56" s="5">
        <f>(POWER(1+B52*B51,1/B52)-1)*100</f>
        <v>9.1607069589288557</v>
      </c>
    </row>
    <row r="57" spans="1:7" x14ac:dyDescent="0.2">
      <c r="A57" s="32" t="s">
        <v>100</v>
      </c>
      <c r="B57" s="33"/>
      <c r="C57" s="33"/>
      <c r="D57" s="33"/>
      <c r="E57" s="33"/>
      <c r="F57" s="33"/>
      <c r="G57" s="33"/>
    </row>
    <row r="58" spans="1:7" x14ac:dyDescent="0.2">
      <c r="A58" s="33"/>
      <c r="B58" s="33"/>
      <c r="C58" s="33"/>
      <c r="D58" s="33"/>
      <c r="E58" s="33"/>
      <c r="F58" s="33"/>
      <c r="G58" s="33"/>
    </row>
    <row r="59" spans="1:7" x14ac:dyDescent="0.2">
      <c r="A59" s="33"/>
      <c r="B59" s="33"/>
      <c r="C59" s="33"/>
      <c r="D59" s="33"/>
      <c r="E59" s="33"/>
      <c r="F59" s="33"/>
      <c r="G59" s="33"/>
    </row>
    <row r="60" spans="1:7" x14ac:dyDescent="0.2">
      <c r="A60" s="33"/>
      <c r="B60" s="33"/>
      <c r="C60" s="33"/>
      <c r="D60" s="33"/>
      <c r="E60" s="33"/>
      <c r="F60" s="33"/>
      <c r="G60" s="33"/>
    </row>
    <row r="61" spans="1:7" x14ac:dyDescent="0.2">
      <c r="A61" s="33"/>
      <c r="B61" s="33"/>
      <c r="C61" s="33"/>
      <c r="D61" s="33"/>
      <c r="E61" s="33"/>
      <c r="F61" s="33"/>
      <c r="G61" s="33"/>
    </row>
    <row r="62" spans="1:7" x14ac:dyDescent="0.2">
      <c r="A62" s="2" t="s">
        <v>56</v>
      </c>
      <c r="B62" s="2">
        <v>0.1</v>
      </c>
    </row>
    <row r="63" spans="1:7" x14ac:dyDescent="0.2">
      <c r="A63" s="2" t="s">
        <v>3</v>
      </c>
      <c r="B63" s="2">
        <v>1.5</v>
      </c>
    </row>
    <row r="67" spans="1:7" x14ac:dyDescent="0.2">
      <c r="A67" s="4" t="s">
        <v>99</v>
      </c>
      <c r="B67" s="5">
        <f>(1/B63*((1+B62)^B63 - 1))*100</f>
        <v>10.245982199144461</v>
      </c>
    </row>
    <row r="68" spans="1:7" x14ac:dyDescent="0.2">
      <c r="A68" s="32" t="s">
        <v>102</v>
      </c>
      <c r="B68" s="33"/>
      <c r="C68" s="33"/>
      <c r="D68" s="33"/>
      <c r="E68" s="33"/>
      <c r="F68" s="33"/>
      <c r="G68" s="33"/>
    </row>
    <row r="69" spans="1:7" x14ac:dyDescent="0.2">
      <c r="A69" s="33"/>
      <c r="B69" s="33"/>
      <c r="C69" s="33"/>
      <c r="D69" s="33"/>
      <c r="E69" s="33"/>
      <c r="F69" s="33"/>
      <c r="G69" s="33"/>
    </row>
    <row r="70" spans="1:7" x14ac:dyDescent="0.2">
      <c r="A70" s="33"/>
      <c r="B70" s="33"/>
      <c r="C70" s="33"/>
      <c r="D70" s="33"/>
      <c r="E70" s="33"/>
      <c r="F70" s="33"/>
      <c r="G70" s="33"/>
    </row>
    <row r="71" spans="1:7" x14ac:dyDescent="0.2">
      <c r="A71" s="33"/>
      <c r="B71" s="33"/>
      <c r="C71" s="33"/>
      <c r="D71" s="33"/>
      <c r="E71" s="33"/>
      <c r="F71" s="33"/>
      <c r="G71" s="33"/>
    </row>
    <row r="72" spans="1:7" x14ac:dyDescent="0.2">
      <c r="A72" s="33"/>
      <c r="B72" s="33"/>
      <c r="C72" s="33"/>
      <c r="D72" s="33"/>
      <c r="E72" s="33"/>
      <c r="F72" s="33"/>
      <c r="G72" s="33"/>
    </row>
    <row r="73" spans="1:7" x14ac:dyDescent="0.2">
      <c r="A73" s="2" t="s">
        <v>56</v>
      </c>
      <c r="B73" s="2">
        <v>0.12</v>
      </c>
    </row>
    <row r="74" spans="1:7" x14ac:dyDescent="0.2">
      <c r="A74" s="2" t="s">
        <v>3</v>
      </c>
      <c r="B74" s="2">
        <v>6</v>
      </c>
    </row>
    <row r="78" spans="1:7" x14ac:dyDescent="0.2">
      <c r="A78" s="4" t="s">
        <v>95</v>
      </c>
      <c r="B78" s="5">
        <f>(1/B74*LN(1+B73*B74))*100</f>
        <v>9.0387381804226958</v>
      </c>
    </row>
    <row r="79" spans="1:7" x14ac:dyDescent="0.2">
      <c r="A79" s="34" t="s">
        <v>104</v>
      </c>
      <c r="B79" s="35"/>
      <c r="C79" s="35"/>
      <c r="D79" s="35"/>
      <c r="E79" s="35"/>
      <c r="F79" s="35"/>
      <c r="G79" s="35"/>
    </row>
    <row r="80" spans="1:7" x14ac:dyDescent="0.2">
      <c r="A80" s="35"/>
      <c r="B80" s="35"/>
      <c r="C80" s="35"/>
      <c r="D80" s="35"/>
      <c r="E80" s="35"/>
      <c r="F80" s="35"/>
      <c r="G80" s="35"/>
    </row>
    <row r="81" spans="1:7" x14ac:dyDescent="0.2">
      <c r="A81" s="35"/>
      <c r="B81" s="35"/>
      <c r="C81" s="35"/>
      <c r="D81" s="35"/>
      <c r="E81" s="35"/>
      <c r="F81" s="35"/>
      <c r="G81" s="35"/>
    </row>
    <row r="82" spans="1:7" x14ac:dyDescent="0.2">
      <c r="A82" s="35"/>
      <c r="B82" s="35"/>
      <c r="C82" s="35"/>
      <c r="D82" s="35"/>
      <c r="E82" s="35"/>
      <c r="F82" s="35"/>
      <c r="G82" s="35"/>
    </row>
    <row r="83" spans="1:7" x14ac:dyDescent="0.2">
      <c r="A83" s="35"/>
      <c r="B83" s="35"/>
      <c r="C83" s="35"/>
      <c r="D83" s="35"/>
      <c r="E83" s="35"/>
      <c r="F83" s="35"/>
      <c r="G83" s="35"/>
    </row>
    <row r="84" spans="1:7" x14ac:dyDescent="0.2">
      <c r="A84" s="2" t="s">
        <v>56</v>
      </c>
      <c r="B84" s="2">
        <v>0.13</v>
      </c>
    </row>
    <row r="85" spans="1:7" x14ac:dyDescent="0.2">
      <c r="A85" s="2" t="s">
        <v>3</v>
      </c>
      <c r="B85" s="2">
        <v>5</v>
      </c>
    </row>
    <row r="86" spans="1:7" x14ac:dyDescent="0.2">
      <c r="A86" s="2" t="s">
        <v>78</v>
      </c>
      <c r="B86" s="2">
        <v>12</v>
      </c>
    </row>
    <row r="89" spans="1:7" x14ac:dyDescent="0.2">
      <c r="A89" s="4" t="s">
        <v>99</v>
      </c>
      <c r="B89" s="5">
        <f>(1/B85*((1+B84/B86)^(B85*B86) - 1))*100</f>
        <v>18.177130702669949</v>
      </c>
    </row>
    <row r="90" spans="1:7" x14ac:dyDescent="0.2">
      <c r="A90" s="32" t="s">
        <v>106</v>
      </c>
      <c r="B90" s="33"/>
      <c r="C90" s="33"/>
      <c r="D90" s="33"/>
      <c r="E90" s="33"/>
      <c r="F90" s="33"/>
      <c r="G90" s="33"/>
    </row>
    <row r="91" spans="1:7" x14ac:dyDescent="0.2">
      <c r="A91" s="33"/>
      <c r="B91" s="33"/>
      <c r="C91" s="33"/>
      <c r="D91" s="33"/>
      <c r="E91" s="33"/>
      <c r="F91" s="33"/>
      <c r="G91" s="33"/>
    </row>
    <row r="92" spans="1:7" x14ac:dyDescent="0.2">
      <c r="A92" s="33"/>
      <c r="B92" s="33"/>
      <c r="C92" s="33"/>
      <c r="D92" s="33"/>
      <c r="E92" s="33"/>
      <c r="F92" s="33"/>
      <c r="G92" s="33"/>
    </row>
    <row r="93" spans="1:7" x14ac:dyDescent="0.2">
      <c r="A93" s="33"/>
      <c r="B93" s="33"/>
      <c r="C93" s="33"/>
      <c r="D93" s="33"/>
      <c r="E93" s="33"/>
      <c r="F93" s="33"/>
      <c r="G93" s="33"/>
    </row>
    <row r="94" spans="1:7" x14ac:dyDescent="0.2">
      <c r="A94" s="33"/>
      <c r="B94" s="33"/>
      <c r="C94" s="33"/>
      <c r="D94" s="33"/>
      <c r="E94" s="33"/>
      <c r="F94" s="33"/>
      <c r="G94" s="33"/>
    </row>
    <row r="95" spans="1:7" x14ac:dyDescent="0.2">
      <c r="A95" s="2" t="s">
        <v>78</v>
      </c>
      <c r="B95" s="2">
        <v>12</v>
      </c>
    </row>
    <row r="96" spans="1:7" x14ac:dyDescent="0.2">
      <c r="A96" s="2" t="s">
        <v>3</v>
      </c>
      <c r="B96" s="2">
        <v>1</v>
      </c>
    </row>
    <row r="97" spans="1:10" x14ac:dyDescent="0.2">
      <c r="A97" s="2" t="s">
        <v>56</v>
      </c>
      <c r="B97" s="2">
        <v>0.12</v>
      </c>
    </row>
    <row r="100" spans="1:10" x14ac:dyDescent="0.2">
      <c r="A100" s="4" t="s">
        <v>87</v>
      </c>
      <c r="B100" s="5">
        <f>((1+B97/B95)^B95-1)*100</f>
        <v>12.682503013196978</v>
      </c>
    </row>
    <row r="101" spans="1:10" x14ac:dyDescent="0.2">
      <c r="A101" s="32" t="s">
        <v>110</v>
      </c>
      <c r="B101" s="33"/>
      <c r="C101" s="33"/>
      <c r="D101" s="33"/>
      <c r="E101" s="33"/>
      <c r="F101" s="33"/>
      <c r="G101" s="33"/>
    </row>
    <row r="102" spans="1:10" x14ac:dyDescent="0.2">
      <c r="A102" s="33"/>
      <c r="B102" s="33"/>
      <c r="C102" s="33"/>
      <c r="D102" s="33"/>
      <c r="E102" s="33"/>
      <c r="F102" s="33"/>
      <c r="G102" s="33"/>
      <c r="I102" s="14"/>
    </row>
    <row r="103" spans="1:10" x14ac:dyDescent="0.2">
      <c r="A103" s="33"/>
      <c r="B103" s="33"/>
      <c r="C103" s="33"/>
      <c r="D103" s="33"/>
      <c r="E103" s="33"/>
      <c r="F103" s="33"/>
      <c r="G103" s="33"/>
    </row>
    <row r="104" spans="1:10" x14ac:dyDescent="0.2">
      <c r="A104" s="33"/>
      <c r="B104" s="33"/>
      <c r="C104" s="33"/>
      <c r="D104" s="33"/>
      <c r="E104" s="33"/>
      <c r="F104" s="33"/>
      <c r="G104" s="33"/>
    </row>
    <row r="105" spans="1:10" x14ac:dyDescent="0.2">
      <c r="A105" s="33"/>
      <c r="B105" s="33"/>
      <c r="C105" s="33"/>
      <c r="D105" s="33"/>
      <c r="E105" s="33"/>
      <c r="F105" s="33"/>
      <c r="G105" s="33"/>
    </row>
    <row r="106" spans="1:10" x14ac:dyDescent="0.2">
      <c r="A106" s="2" t="s">
        <v>78</v>
      </c>
      <c r="B106" s="2">
        <v>365</v>
      </c>
    </row>
    <row r="107" spans="1:10" x14ac:dyDescent="0.2">
      <c r="A107" s="2" t="s">
        <v>3</v>
      </c>
      <c r="B107" s="2">
        <v>1</v>
      </c>
    </row>
    <row r="108" spans="1:10" x14ac:dyDescent="0.2">
      <c r="A108" s="2" t="s">
        <v>56</v>
      </c>
      <c r="B108" s="2">
        <v>0.1</v>
      </c>
    </row>
    <row r="109" spans="1:10" x14ac:dyDescent="0.2">
      <c r="J109" s="15"/>
    </row>
    <row r="111" spans="1:10" x14ac:dyDescent="0.2">
      <c r="A111" s="4" t="s">
        <v>87</v>
      </c>
      <c r="B111" s="5">
        <f>((1+B108/B106)^B106-1)*100</f>
        <v>10.515578161622718</v>
      </c>
    </row>
    <row r="116" spans="1:9" x14ac:dyDescent="0.2">
      <c r="A116" s="32" t="s">
        <v>86</v>
      </c>
      <c r="B116" s="33"/>
      <c r="C116" s="33"/>
      <c r="D116" s="33"/>
      <c r="E116" s="33"/>
      <c r="F116" s="33"/>
      <c r="G116" s="33"/>
    </row>
    <row r="117" spans="1:9" x14ac:dyDescent="0.2">
      <c r="A117" s="33"/>
      <c r="B117" s="33"/>
      <c r="C117" s="33"/>
      <c r="D117" s="33"/>
      <c r="E117" s="33"/>
      <c r="F117" s="33"/>
      <c r="G117" s="33"/>
    </row>
    <row r="118" spans="1:9" x14ac:dyDescent="0.2">
      <c r="A118" s="33"/>
      <c r="B118" s="33"/>
      <c r="C118" s="33"/>
      <c r="D118" s="33"/>
      <c r="E118" s="33"/>
      <c r="F118" s="33"/>
      <c r="G118" s="33"/>
    </row>
    <row r="119" spans="1:9" x14ac:dyDescent="0.2">
      <c r="A119" s="33"/>
      <c r="B119" s="33"/>
      <c r="C119" s="33"/>
      <c r="D119" s="33"/>
      <c r="E119" s="33"/>
      <c r="F119" s="33"/>
      <c r="G119" s="33"/>
    </row>
    <row r="120" spans="1:9" x14ac:dyDescent="0.2">
      <c r="A120" s="33"/>
      <c r="B120" s="33"/>
      <c r="C120" s="33"/>
      <c r="D120" s="33"/>
      <c r="E120" s="33"/>
      <c r="F120" s="33"/>
      <c r="G120" s="33"/>
    </row>
    <row r="121" spans="1:9" x14ac:dyDescent="0.2">
      <c r="A121" s="2" t="s">
        <v>78</v>
      </c>
      <c r="B121" s="2">
        <v>4</v>
      </c>
    </row>
    <row r="122" spans="1:9" x14ac:dyDescent="0.2">
      <c r="A122" s="2" t="s">
        <v>3</v>
      </c>
      <c r="B122" s="2">
        <v>1</v>
      </c>
    </row>
    <row r="123" spans="1:9" x14ac:dyDescent="0.2">
      <c r="A123" s="2" t="s">
        <v>56</v>
      </c>
      <c r="B123" s="2">
        <v>0.16</v>
      </c>
    </row>
    <row r="126" spans="1:9" x14ac:dyDescent="0.2">
      <c r="A126" s="4" t="s">
        <v>87</v>
      </c>
      <c r="B126" s="5">
        <f>((1+B123/B121)^B121-1)*100</f>
        <v>16.98585600000002</v>
      </c>
    </row>
    <row r="127" spans="1:9" x14ac:dyDescent="0.2">
      <c r="A127" s="32" t="s">
        <v>89</v>
      </c>
      <c r="B127" s="32"/>
      <c r="C127" s="32"/>
      <c r="D127" s="32"/>
      <c r="E127" s="32"/>
      <c r="F127" s="32"/>
      <c r="G127" s="32"/>
      <c r="H127" s="32"/>
      <c r="I127" s="32"/>
    </row>
    <row r="128" spans="1:9" x14ac:dyDescent="0.2">
      <c r="A128" s="32"/>
      <c r="B128" s="32"/>
      <c r="C128" s="32"/>
      <c r="D128" s="32"/>
      <c r="E128" s="32"/>
      <c r="F128" s="32"/>
      <c r="G128" s="32"/>
      <c r="H128" s="32"/>
      <c r="I128" s="32"/>
    </row>
    <row r="129" spans="1:9" x14ac:dyDescent="0.2">
      <c r="A129" s="32"/>
      <c r="B129" s="32"/>
      <c r="C129" s="32"/>
      <c r="D129" s="32"/>
      <c r="E129" s="32"/>
      <c r="F129" s="32"/>
      <c r="G129" s="32"/>
      <c r="H129" s="32"/>
      <c r="I129" s="32"/>
    </row>
    <row r="130" spans="1:9" x14ac:dyDescent="0.2">
      <c r="A130" s="32"/>
      <c r="B130" s="32"/>
      <c r="C130" s="32"/>
      <c r="D130" s="32"/>
      <c r="E130" s="32"/>
      <c r="F130" s="32"/>
      <c r="G130" s="32"/>
      <c r="H130" s="32"/>
      <c r="I130" s="32"/>
    </row>
    <row r="131" spans="1:9" x14ac:dyDescent="0.2">
      <c r="A131" s="32"/>
      <c r="B131" s="32"/>
      <c r="C131" s="32"/>
      <c r="D131" s="32"/>
      <c r="E131" s="32"/>
      <c r="F131" s="32"/>
      <c r="G131" s="32"/>
      <c r="H131" s="32"/>
      <c r="I131" s="32"/>
    </row>
    <row r="132" spans="1:9" x14ac:dyDescent="0.2">
      <c r="A132" s="2" t="s">
        <v>7</v>
      </c>
      <c r="B132" s="2">
        <v>7.0000000000000007E-2</v>
      </c>
    </row>
    <row r="133" spans="1:9" x14ac:dyDescent="0.2">
      <c r="A133" s="2" t="s">
        <v>78</v>
      </c>
      <c r="B133" s="2">
        <v>2</v>
      </c>
    </row>
    <row r="135" spans="1:9" x14ac:dyDescent="0.2">
      <c r="A135" s="2" t="s">
        <v>90</v>
      </c>
      <c r="B135" s="9">
        <f>(1+B132/B133)^B133</f>
        <v>1.0712249999999999</v>
      </c>
    </row>
    <row r="137" spans="1:9" x14ac:dyDescent="0.2">
      <c r="A137" s="4" t="s">
        <v>7</v>
      </c>
      <c r="B137" s="5">
        <f>(B133*(POWER(B135,1/B133)-1))*100</f>
        <v>6.999999999999984</v>
      </c>
    </row>
    <row r="139" spans="1:9" x14ac:dyDescent="0.2">
      <c r="A139" s="32" t="s">
        <v>92</v>
      </c>
      <c r="B139" s="33"/>
      <c r="C139" s="33"/>
      <c r="D139" s="33"/>
      <c r="E139" s="33"/>
      <c r="F139" s="33"/>
      <c r="G139" s="33"/>
    </row>
    <row r="140" spans="1:9" x14ac:dyDescent="0.2">
      <c r="A140" s="33"/>
      <c r="B140" s="33"/>
      <c r="C140" s="33"/>
      <c r="D140" s="33"/>
      <c r="E140" s="33"/>
      <c r="F140" s="33"/>
      <c r="G140" s="33"/>
    </row>
    <row r="141" spans="1:9" x14ac:dyDescent="0.2">
      <c r="A141" s="33"/>
      <c r="B141" s="33"/>
      <c r="C141" s="33"/>
      <c r="D141" s="33"/>
      <c r="E141" s="33"/>
      <c r="F141" s="33"/>
      <c r="G141" s="33"/>
    </row>
    <row r="142" spans="1:9" x14ac:dyDescent="0.2">
      <c r="A142" s="33"/>
      <c r="B142" s="33"/>
      <c r="C142" s="33"/>
      <c r="D142" s="33"/>
      <c r="E142" s="33"/>
      <c r="F142" s="33"/>
      <c r="G142" s="33"/>
    </row>
    <row r="143" spans="1:9" x14ac:dyDescent="0.2">
      <c r="A143" s="33"/>
      <c r="B143" s="33"/>
      <c r="C143" s="33"/>
      <c r="D143" s="33"/>
      <c r="E143" s="33"/>
      <c r="F143" s="33"/>
      <c r="G143" s="33"/>
    </row>
    <row r="144" spans="1:9" x14ac:dyDescent="0.2">
      <c r="A144" s="2" t="s">
        <v>2</v>
      </c>
      <c r="B144" s="2">
        <v>60000</v>
      </c>
    </row>
    <row r="145" spans="1:7" x14ac:dyDescent="0.2">
      <c r="A145" s="2" t="s">
        <v>3</v>
      </c>
      <c r="B145" s="2">
        <v>2</v>
      </c>
    </row>
    <row r="146" spans="1:7" x14ac:dyDescent="0.2">
      <c r="A146" s="2" t="s">
        <v>56</v>
      </c>
      <c r="B146" s="2">
        <v>0.12</v>
      </c>
    </row>
    <row r="147" spans="1:7" x14ac:dyDescent="0.2">
      <c r="A147" s="2" t="s">
        <v>78</v>
      </c>
      <c r="B147" s="2">
        <v>4</v>
      </c>
    </row>
    <row r="149" spans="1:7" x14ac:dyDescent="0.2">
      <c r="A149" s="4" t="s">
        <v>87</v>
      </c>
      <c r="B149" s="4">
        <f>((1+B146/B147)^B147-1)*100</f>
        <v>12.550880999999992</v>
      </c>
    </row>
    <row r="150" spans="1:7" x14ac:dyDescent="0.2">
      <c r="A150" s="32" t="s">
        <v>94</v>
      </c>
      <c r="B150" s="33"/>
      <c r="C150" s="33"/>
      <c r="D150" s="33"/>
      <c r="E150" s="33"/>
      <c r="F150" s="33"/>
      <c r="G150" s="33"/>
    </row>
    <row r="151" spans="1:7" x14ac:dyDescent="0.2">
      <c r="A151" s="33"/>
      <c r="B151" s="33"/>
      <c r="C151" s="33"/>
      <c r="D151" s="33"/>
      <c r="E151" s="33"/>
      <c r="F151" s="33"/>
      <c r="G151" s="33"/>
    </row>
    <row r="152" spans="1:7" x14ac:dyDescent="0.2">
      <c r="A152" s="33"/>
      <c r="B152" s="33"/>
      <c r="C152" s="33"/>
      <c r="D152" s="33"/>
      <c r="E152" s="33"/>
      <c r="F152" s="33"/>
      <c r="G152" s="33"/>
    </row>
    <row r="153" spans="1:7" x14ac:dyDescent="0.2">
      <c r="A153" s="33"/>
      <c r="B153" s="33"/>
      <c r="C153" s="33"/>
      <c r="D153" s="33"/>
      <c r="E153" s="33"/>
      <c r="F153" s="33"/>
      <c r="G153" s="33"/>
    </row>
    <row r="154" spans="1:7" x14ac:dyDescent="0.2">
      <c r="A154" s="33"/>
      <c r="B154" s="33"/>
      <c r="C154" s="33"/>
      <c r="D154" s="33"/>
      <c r="E154" s="33"/>
      <c r="F154" s="33"/>
      <c r="G154" s="33"/>
    </row>
    <row r="155" spans="1:7" x14ac:dyDescent="0.2">
      <c r="A155" s="2" t="s">
        <v>2</v>
      </c>
      <c r="B155" s="2">
        <v>90000</v>
      </c>
    </row>
    <row r="156" spans="1:7" x14ac:dyDescent="0.2">
      <c r="A156" s="2" t="s">
        <v>3</v>
      </c>
      <c r="B156" s="2">
        <v>3</v>
      </c>
    </row>
    <row r="157" spans="1:7" x14ac:dyDescent="0.2">
      <c r="A157" s="2" t="s">
        <v>56</v>
      </c>
      <c r="B157" s="2">
        <v>0.16</v>
      </c>
    </row>
    <row r="158" spans="1:7" x14ac:dyDescent="0.2">
      <c r="A158" s="2" t="s">
        <v>78</v>
      </c>
      <c r="B158" s="2">
        <v>12</v>
      </c>
    </row>
    <row r="160" spans="1:7" x14ac:dyDescent="0.2">
      <c r="A160" s="4" t="s">
        <v>87</v>
      </c>
      <c r="B160" s="5">
        <f>((1+B157/B158)^B158-1)*100</f>
        <v>17.227079825887714</v>
      </c>
    </row>
    <row r="161" spans="1:7" x14ac:dyDescent="0.2">
      <c r="A161" s="32" t="s">
        <v>98</v>
      </c>
      <c r="B161" s="33"/>
      <c r="C161" s="33"/>
      <c r="D161" s="33"/>
      <c r="E161" s="33"/>
      <c r="F161" s="33"/>
      <c r="G161" s="33"/>
    </row>
    <row r="162" spans="1:7" x14ac:dyDescent="0.2">
      <c r="A162" s="33"/>
      <c r="B162" s="33"/>
      <c r="C162" s="33"/>
      <c r="D162" s="33"/>
      <c r="E162" s="33"/>
      <c r="F162" s="33"/>
      <c r="G162" s="33"/>
    </row>
    <row r="163" spans="1:7" x14ac:dyDescent="0.2">
      <c r="A163" s="33"/>
      <c r="B163" s="33"/>
      <c r="C163" s="33"/>
      <c r="D163" s="33"/>
      <c r="E163" s="33"/>
      <c r="F163" s="33"/>
      <c r="G163" s="33"/>
    </row>
    <row r="164" spans="1:7" x14ac:dyDescent="0.2">
      <c r="A164" s="33"/>
      <c r="B164" s="33"/>
      <c r="C164" s="33"/>
      <c r="D164" s="33"/>
      <c r="E164" s="33"/>
      <c r="F164" s="33"/>
      <c r="G164" s="33"/>
    </row>
    <row r="165" spans="1:7" x14ac:dyDescent="0.2">
      <c r="A165" s="33"/>
      <c r="B165" s="33"/>
      <c r="C165" s="33"/>
      <c r="D165" s="33"/>
      <c r="E165" s="33"/>
      <c r="F165" s="33"/>
      <c r="G165" s="33"/>
    </row>
    <row r="166" spans="1:7" x14ac:dyDescent="0.2">
      <c r="A166" s="2" t="s">
        <v>56</v>
      </c>
      <c r="B166" s="2">
        <v>0.11</v>
      </c>
    </row>
    <row r="167" spans="1:7" x14ac:dyDescent="0.2">
      <c r="A167" s="2" t="s">
        <v>3</v>
      </c>
      <c r="B167" s="2">
        <v>6</v>
      </c>
    </row>
    <row r="168" spans="1:7" x14ac:dyDescent="0.2">
      <c r="A168" s="2" t="s">
        <v>78</v>
      </c>
      <c r="B168" s="2">
        <v>4</v>
      </c>
    </row>
    <row r="171" spans="1:7" x14ac:dyDescent="0.2">
      <c r="A171" s="4" t="s">
        <v>99</v>
      </c>
      <c r="B171" s="5">
        <f>(1/B167*((1+B166/B168)^(B167*B168) - 1))*100</f>
        <v>15.29376841352838</v>
      </c>
    </row>
    <row r="172" spans="1:7" x14ac:dyDescent="0.2">
      <c r="A172" s="32" t="s">
        <v>101</v>
      </c>
      <c r="B172" s="33"/>
      <c r="C172" s="33"/>
      <c r="D172" s="33"/>
      <c r="E172" s="33"/>
      <c r="F172" s="33"/>
      <c r="G172" s="33"/>
    </row>
    <row r="173" spans="1:7" x14ac:dyDescent="0.2">
      <c r="A173" s="33"/>
      <c r="B173" s="33"/>
      <c r="C173" s="33"/>
      <c r="D173" s="33"/>
      <c r="E173" s="33"/>
      <c r="F173" s="33"/>
      <c r="G173" s="33"/>
    </row>
    <row r="174" spans="1:7" x14ac:dyDescent="0.2">
      <c r="A174" s="33"/>
      <c r="B174" s="33"/>
      <c r="C174" s="33"/>
      <c r="D174" s="33"/>
      <c r="E174" s="33"/>
      <c r="F174" s="33"/>
      <c r="G174" s="33"/>
    </row>
    <row r="175" spans="1:7" x14ac:dyDescent="0.2">
      <c r="A175" s="33"/>
      <c r="B175" s="33"/>
      <c r="C175" s="33"/>
      <c r="D175" s="33"/>
      <c r="E175" s="33"/>
      <c r="F175" s="33"/>
      <c r="G175" s="33"/>
    </row>
    <row r="176" spans="1:7" x14ac:dyDescent="0.2">
      <c r="A176" s="33"/>
      <c r="B176" s="33"/>
      <c r="C176" s="33"/>
      <c r="D176" s="33"/>
      <c r="E176" s="33"/>
      <c r="F176" s="33"/>
      <c r="G176" s="33"/>
    </row>
    <row r="177" spans="1:7" x14ac:dyDescent="0.2">
      <c r="A177" s="2" t="s">
        <v>56</v>
      </c>
      <c r="B177" s="2">
        <v>0.09</v>
      </c>
    </row>
    <row r="178" spans="1:7" x14ac:dyDescent="0.2">
      <c r="A178" s="2" t="s">
        <v>3</v>
      </c>
      <c r="B178" s="2">
        <v>9</v>
      </c>
    </row>
    <row r="179" spans="1:7" x14ac:dyDescent="0.2">
      <c r="A179" s="2" t="s">
        <v>78</v>
      </c>
      <c r="B179" s="2">
        <v>12</v>
      </c>
    </row>
    <row r="182" spans="1:7" x14ac:dyDescent="0.2">
      <c r="A182" s="4" t="s">
        <v>99</v>
      </c>
      <c r="B182" s="5">
        <f>(1/B178*((1+B177/B179)^(B178*B179) - 1))*100</f>
        <v>13.790268580358417</v>
      </c>
    </row>
    <row r="183" spans="1:7" x14ac:dyDescent="0.2">
      <c r="A183" s="32" t="s">
        <v>103</v>
      </c>
      <c r="B183" s="33"/>
      <c r="C183" s="33"/>
      <c r="D183" s="33"/>
      <c r="E183" s="33"/>
      <c r="F183" s="33"/>
      <c r="G183" s="33"/>
    </row>
    <row r="184" spans="1:7" x14ac:dyDescent="0.2">
      <c r="A184" s="33"/>
      <c r="B184" s="33"/>
      <c r="C184" s="33"/>
      <c r="D184" s="33"/>
      <c r="E184" s="33"/>
      <c r="F184" s="33"/>
      <c r="G184" s="33"/>
    </row>
    <row r="185" spans="1:7" x14ac:dyDescent="0.2">
      <c r="A185" s="33"/>
      <c r="B185" s="33"/>
      <c r="C185" s="33"/>
      <c r="D185" s="33"/>
      <c r="E185" s="33"/>
      <c r="F185" s="33"/>
      <c r="G185" s="33"/>
    </row>
    <row r="186" spans="1:7" x14ac:dyDescent="0.2">
      <c r="A186" s="33"/>
      <c r="B186" s="33"/>
      <c r="C186" s="33"/>
      <c r="D186" s="33"/>
      <c r="E186" s="33"/>
      <c r="F186" s="33"/>
      <c r="G186" s="33"/>
    </row>
    <row r="187" spans="1:7" x14ac:dyDescent="0.2">
      <c r="A187" s="33"/>
      <c r="B187" s="33"/>
      <c r="C187" s="33"/>
      <c r="D187" s="33"/>
      <c r="E187" s="33"/>
      <c r="F187" s="33"/>
      <c r="G187" s="33"/>
    </row>
    <row r="188" spans="1:7" x14ac:dyDescent="0.2">
      <c r="A188" s="2" t="s">
        <v>56</v>
      </c>
      <c r="B188" s="2">
        <v>7.0000000000000007E-2</v>
      </c>
    </row>
    <row r="189" spans="1:7" x14ac:dyDescent="0.2">
      <c r="A189" s="2" t="s">
        <v>3</v>
      </c>
      <c r="B189" s="2">
        <v>5</v>
      </c>
    </row>
    <row r="190" spans="1:7" x14ac:dyDescent="0.2">
      <c r="A190" s="2"/>
      <c r="B190" s="2"/>
    </row>
    <row r="193" spans="1:7" x14ac:dyDescent="0.2">
      <c r="A193" s="4" t="s">
        <v>99</v>
      </c>
      <c r="B193" s="5">
        <f>(1/B189*(EXP(B188)-1))*100</f>
        <v>1.4501636250843311</v>
      </c>
    </row>
    <row r="194" spans="1:7" x14ac:dyDescent="0.2">
      <c r="A194" s="32" t="s">
        <v>105</v>
      </c>
      <c r="B194" s="33"/>
      <c r="C194" s="33"/>
      <c r="D194" s="33"/>
      <c r="E194" s="33"/>
      <c r="F194" s="33"/>
      <c r="G194" s="33"/>
    </row>
    <row r="195" spans="1:7" x14ac:dyDescent="0.2">
      <c r="A195" s="33"/>
      <c r="B195" s="33"/>
      <c r="C195" s="33"/>
      <c r="D195" s="33"/>
      <c r="E195" s="33"/>
      <c r="F195" s="33"/>
      <c r="G195" s="33"/>
    </row>
    <row r="196" spans="1:7" x14ac:dyDescent="0.2">
      <c r="A196" s="33"/>
      <c r="B196" s="33"/>
      <c r="C196" s="33"/>
      <c r="D196" s="33"/>
      <c r="E196" s="33"/>
      <c r="F196" s="33"/>
      <c r="G196" s="33"/>
    </row>
    <row r="197" spans="1:7" x14ac:dyDescent="0.2">
      <c r="A197" s="33"/>
      <c r="B197" s="33"/>
      <c r="C197" s="33"/>
      <c r="D197" s="33"/>
      <c r="E197" s="33"/>
      <c r="F197" s="33"/>
      <c r="G197" s="33"/>
    </row>
    <row r="198" spans="1:7" x14ac:dyDescent="0.2">
      <c r="A198" s="33"/>
      <c r="B198" s="33"/>
      <c r="C198" s="33"/>
      <c r="D198" s="33"/>
      <c r="E198" s="33"/>
      <c r="F198" s="33"/>
      <c r="G198" s="33"/>
    </row>
    <row r="199" spans="1:7" x14ac:dyDescent="0.2">
      <c r="A199" s="2" t="s">
        <v>95</v>
      </c>
      <c r="B199" s="2">
        <v>0.08</v>
      </c>
    </row>
    <row r="202" spans="1:7" x14ac:dyDescent="0.2">
      <c r="A202" s="4" t="s">
        <v>96</v>
      </c>
      <c r="B202" s="5">
        <f>(EXP(B199)-1)*100</f>
        <v>8.3287067674958628</v>
      </c>
    </row>
    <row r="205" spans="1:7" x14ac:dyDescent="0.2">
      <c r="A205" s="32" t="s">
        <v>107</v>
      </c>
      <c r="B205" s="33"/>
      <c r="C205" s="33"/>
      <c r="D205" s="33"/>
      <c r="E205" s="33"/>
      <c r="F205" s="33"/>
      <c r="G205" s="33"/>
    </row>
    <row r="206" spans="1:7" x14ac:dyDescent="0.2">
      <c r="A206" s="33"/>
      <c r="B206" s="33"/>
      <c r="C206" s="33"/>
      <c r="D206" s="33"/>
      <c r="E206" s="33"/>
      <c r="F206" s="33"/>
      <c r="G206" s="33"/>
    </row>
    <row r="207" spans="1:7" x14ac:dyDescent="0.2">
      <c r="A207" s="33"/>
      <c r="B207" s="33"/>
      <c r="C207" s="33"/>
      <c r="D207" s="33"/>
      <c r="E207" s="33"/>
      <c r="F207" s="33"/>
      <c r="G207" s="33"/>
    </row>
    <row r="208" spans="1:7" x14ac:dyDescent="0.2">
      <c r="A208" s="33"/>
      <c r="B208" s="33"/>
      <c r="C208" s="33"/>
      <c r="D208" s="33"/>
      <c r="E208" s="33"/>
      <c r="F208" s="33"/>
      <c r="G208" s="33"/>
    </row>
    <row r="209" spans="1:7" x14ac:dyDescent="0.2">
      <c r="A209" s="33"/>
      <c r="B209" s="33"/>
      <c r="C209" s="33"/>
      <c r="D209" s="33"/>
      <c r="E209" s="33"/>
      <c r="F209" s="33"/>
      <c r="G209" s="33"/>
    </row>
    <row r="210" spans="1:7" x14ac:dyDescent="0.2">
      <c r="A210" s="2" t="s">
        <v>108</v>
      </c>
      <c r="B210" s="2">
        <v>7.0000000000000007E-2</v>
      </c>
    </row>
    <row r="212" spans="1:7" x14ac:dyDescent="0.2">
      <c r="A212" s="4" t="s">
        <v>109</v>
      </c>
      <c r="B212" s="5">
        <f>LN(1+B210)*100</f>
        <v>6.7658648473814864</v>
      </c>
    </row>
  </sheetData>
  <mergeCells count="19">
    <mergeCell ref="A205:G209"/>
    <mergeCell ref="A35:G39"/>
    <mergeCell ref="A150:G154"/>
    <mergeCell ref="A46:G50"/>
    <mergeCell ref="A161:G165"/>
    <mergeCell ref="A57:G61"/>
    <mergeCell ref="A172:G176"/>
    <mergeCell ref="A139:G143"/>
    <mergeCell ref="A101:G105"/>
    <mergeCell ref="A68:G72"/>
    <mergeCell ref="A183:G187"/>
    <mergeCell ref="A79:G83"/>
    <mergeCell ref="A194:G198"/>
    <mergeCell ref="A90:G94"/>
    <mergeCell ref="A1:G5"/>
    <mergeCell ref="A116:G120"/>
    <mergeCell ref="A12:G16"/>
    <mergeCell ref="A127:I131"/>
    <mergeCell ref="A24:G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9959-9B91-764B-B61E-411734BFA8AA}">
  <dimension ref="A1:J263"/>
  <sheetViews>
    <sheetView zoomScale="125" workbookViewId="0">
      <selection activeCell="L14" sqref="L14"/>
    </sheetView>
  </sheetViews>
  <sheetFormatPr baseColWidth="10" defaultColWidth="8.83203125" defaultRowHeight="16" x14ac:dyDescent="0.2"/>
  <cols>
    <col min="1" max="1" width="8.83203125" style="1"/>
    <col min="2" max="2" width="9.33203125" style="1" bestFit="1" customWidth="1"/>
    <col min="3" max="9" width="8.83203125" style="1"/>
    <col min="10" max="10" width="10.5" style="1" bestFit="1" customWidth="1"/>
    <col min="11" max="16384" width="8.83203125" style="1"/>
  </cols>
  <sheetData>
    <row r="1" spans="1:7" ht="15" customHeight="1" x14ac:dyDescent="0.2">
      <c r="A1" s="31" t="s">
        <v>111</v>
      </c>
      <c r="B1" s="31"/>
      <c r="C1" s="31"/>
      <c r="D1" s="31"/>
      <c r="E1" s="31"/>
      <c r="F1" s="31"/>
      <c r="G1" s="31"/>
    </row>
    <row r="2" spans="1:7" x14ac:dyDescent="0.2">
      <c r="A2" s="31"/>
      <c r="B2" s="31"/>
      <c r="C2" s="31"/>
      <c r="D2" s="31"/>
      <c r="E2" s="31"/>
      <c r="F2" s="31"/>
      <c r="G2" s="31"/>
    </row>
    <row r="3" spans="1:7" x14ac:dyDescent="0.2">
      <c r="A3" s="31"/>
      <c r="B3" s="31"/>
      <c r="C3" s="31"/>
      <c r="D3" s="31"/>
      <c r="E3" s="31"/>
      <c r="F3" s="31"/>
      <c r="G3" s="31"/>
    </row>
    <row r="4" spans="1:7" x14ac:dyDescent="0.2">
      <c r="A4" s="31"/>
      <c r="B4" s="31"/>
      <c r="C4" s="31"/>
      <c r="D4" s="31"/>
      <c r="E4" s="31"/>
      <c r="F4" s="31"/>
      <c r="G4" s="31"/>
    </row>
    <row r="5" spans="1:7" x14ac:dyDescent="0.2">
      <c r="A5" s="31"/>
      <c r="B5" s="31"/>
      <c r="C5" s="31"/>
      <c r="D5" s="31"/>
      <c r="E5" s="31"/>
      <c r="F5" s="31"/>
      <c r="G5" s="31"/>
    </row>
    <row r="6" spans="1:7" x14ac:dyDescent="0.2">
      <c r="A6" s="2" t="s">
        <v>2</v>
      </c>
      <c r="B6" s="2">
        <v>200000</v>
      </c>
    </row>
    <row r="7" spans="1:7" x14ac:dyDescent="0.2">
      <c r="A7" s="2" t="s">
        <v>114</v>
      </c>
      <c r="B7" s="2">
        <v>0.12</v>
      </c>
    </row>
    <row r="8" spans="1:7" x14ac:dyDescent="0.2">
      <c r="A8" s="2" t="s">
        <v>3</v>
      </c>
      <c r="B8" s="2">
        <v>3</v>
      </c>
    </row>
    <row r="9" spans="1:7" x14ac:dyDescent="0.2">
      <c r="A9" s="2"/>
      <c r="B9" s="2"/>
    </row>
    <row r="11" spans="1:7" x14ac:dyDescent="0.2">
      <c r="A11" s="4" t="s">
        <v>1</v>
      </c>
      <c r="B11" s="4">
        <f>B6*(1-B7)^(B8)</f>
        <v>136294.39999999999</v>
      </c>
    </row>
    <row r="12" spans="1:7" ht="15" customHeight="1" x14ac:dyDescent="0.2">
      <c r="A12" s="32" t="s">
        <v>118</v>
      </c>
      <c r="B12" s="33"/>
      <c r="C12" s="33"/>
      <c r="D12" s="33"/>
      <c r="E12" s="33"/>
      <c r="F12" s="33"/>
      <c r="G12" s="33"/>
    </row>
    <row r="13" spans="1:7" x14ac:dyDescent="0.2">
      <c r="A13" s="33"/>
      <c r="B13" s="33"/>
      <c r="C13" s="33"/>
      <c r="D13" s="33"/>
      <c r="E13" s="33"/>
      <c r="F13" s="33"/>
      <c r="G13" s="33"/>
    </row>
    <row r="14" spans="1:7" x14ac:dyDescent="0.2">
      <c r="A14" s="33"/>
      <c r="B14" s="33"/>
      <c r="C14" s="33"/>
      <c r="D14" s="33"/>
      <c r="E14" s="33"/>
      <c r="F14" s="33"/>
      <c r="G14" s="33"/>
    </row>
    <row r="15" spans="1:7" x14ac:dyDescent="0.2">
      <c r="A15" s="33"/>
      <c r="B15" s="33"/>
      <c r="C15" s="33"/>
      <c r="D15" s="33"/>
      <c r="E15" s="33"/>
      <c r="F15" s="33"/>
      <c r="G15" s="33"/>
    </row>
    <row r="16" spans="1:7" x14ac:dyDescent="0.2">
      <c r="A16" s="33"/>
      <c r="B16" s="33"/>
      <c r="C16" s="33"/>
      <c r="D16" s="33"/>
      <c r="E16" s="33"/>
      <c r="F16" s="33"/>
      <c r="G16" s="33"/>
    </row>
    <row r="17" spans="1:7" x14ac:dyDescent="0.2">
      <c r="A17" s="2" t="s">
        <v>2</v>
      </c>
      <c r="B17" s="2">
        <v>150000</v>
      </c>
    </row>
    <row r="18" spans="1:7" x14ac:dyDescent="0.2">
      <c r="A18" s="2" t="s">
        <v>114</v>
      </c>
      <c r="B18" s="2">
        <v>0.14000000000000001</v>
      </c>
    </row>
    <row r="19" spans="1:7" x14ac:dyDescent="0.2">
      <c r="A19" s="2" t="s">
        <v>3</v>
      </c>
      <c r="B19" s="2">
        <v>4</v>
      </c>
    </row>
    <row r="20" spans="1:7" x14ac:dyDescent="0.2">
      <c r="A20" s="2" t="s">
        <v>1</v>
      </c>
      <c r="B20" s="2">
        <f>B17*(1-B18)^(B19)</f>
        <v>82051.223999999973</v>
      </c>
    </row>
    <row r="22" spans="1:7" x14ac:dyDescent="0.2">
      <c r="A22" s="4" t="s">
        <v>122</v>
      </c>
      <c r="B22" s="4">
        <f>B17-B20</f>
        <v>67948.776000000027</v>
      </c>
    </row>
    <row r="24" spans="1:7" ht="15" customHeight="1" x14ac:dyDescent="0.2">
      <c r="A24" s="32" t="s">
        <v>123</v>
      </c>
      <c r="B24" s="33"/>
      <c r="C24" s="33"/>
      <c r="D24" s="33"/>
      <c r="E24" s="33"/>
      <c r="F24" s="33"/>
      <c r="G24" s="33"/>
    </row>
    <row r="25" spans="1:7" x14ac:dyDescent="0.2">
      <c r="A25" s="33"/>
      <c r="B25" s="33"/>
      <c r="C25" s="33"/>
      <c r="D25" s="33"/>
      <c r="E25" s="33"/>
      <c r="F25" s="33"/>
      <c r="G25" s="33"/>
    </row>
    <row r="26" spans="1:7" x14ac:dyDescent="0.2">
      <c r="A26" s="33"/>
      <c r="B26" s="33"/>
      <c r="C26" s="33"/>
      <c r="D26" s="33"/>
      <c r="E26" s="33"/>
      <c r="F26" s="33"/>
      <c r="G26" s="33"/>
    </row>
    <row r="27" spans="1:7" x14ac:dyDescent="0.2">
      <c r="A27" s="33"/>
      <c r="B27" s="33"/>
      <c r="C27" s="33"/>
      <c r="D27" s="33"/>
      <c r="E27" s="33"/>
      <c r="F27" s="33"/>
      <c r="G27" s="33"/>
    </row>
    <row r="28" spans="1:7" x14ac:dyDescent="0.2">
      <c r="A28" s="33"/>
      <c r="B28" s="33"/>
      <c r="C28" s="33"/>
      <c r="D28" s="33"/>
      <c r="E28" s="33"/>
      <c r="F28" s="33"/>
      <c r="G28" s="33"/>
    </row>
    <row r="29" spans="1:7" x14ac:dyDescent="0.2">
      <c r="A29" s="2" t="s">
        <v>2</v>
      </c>
      <c r="B29" s="2">
        <v>170000</v>
      </c>
    </row>
    <row r="30" spans="1:7" x14ac:dyDescent="0.2">
      <c r="A30" s="2" t="s">
        <v>114</v>
      </c>
      <c r="B30" s="2">
        <v>0.08</v>
      </c>
    </row>
    <row r="31" spans="1:7" x14ac:dyDescent="0.2">
      <c r="A31" s="2" t="s">
        <v>3</v>
      </c>
      <c r="B31" s="2">
        <f>(224-41)/365</f>
        <v>0.50136986301369868</v>
      </c>
    </row>
    <row r="32" spans="1:7" x14ac:dyDescent="0.2">
      <c r="A32" s="2"/>
      <c r="B32" s="2"/>
    </row>
    <row r="34" spans="1:7" x14ac:dyDescent="0.2">
      <c r="A34" s="4" t="s">
        <v>1</v>
      </c>
      <c r="B34" s="4">
        <f>B29*(1-B30)^(B31)</f>
        <v>163039.64811509548</v>
      </c>
    </row>
    <row r="35" spans="1:7" x14ac:dyDescent="0.2">
      <c r="A35" s="31" t="s">
        <v>125</v>
      </c>
      <c r="B35" s="36"/>
      <c r="C35" s="36"/>
      <c r="D35" s="36"/>
      <c r="E35" s="36"/>
      <c r="F35" s="36"/>
      <c r="G35" s="36"/>
    </row>
    <row r="36" spans="1:7" x14ac:dyDescent="0.2">
      <c r="A36" s="36"/>
      <c r="B36" s="36"/>
      <c r="C36" s="36"/>
      <c r="D36" s="36"/>
      <c r="E36" s="36"/>
      <c r="F36" s="36"/>
      <c r="G36" s="36"/>
    </row>
    <row r="37" spans="1:7" x14ac:dyDescent="0.2">
      <c r="A37" s="36"/>
      <c r="B37" s="36"/>
      <c r="C37" s="36"/>
      <c r="D37" s="36"/>
      <c r="E37" s="36"/>
      <c r="F37" s="36"/>
      <c r="G37" s="36"/>
    </row>
    <row r="38" spans="1:7" x14ac:dyDescent="0.2">
      <c r="A38" s="36"/>
      <c r="B38" s="36"/>
      <c r="C38" s="36"/>
      <c r="D38" s="36"/>
      <c r="E38" s="36"/>
      <c r="F38" s="36"/>
      <c r="G38" s="36"/>
    </row>
    <row r="39" spans="1:7" x14ac:dyDescent="0.2">
      <c r="A39" s="36"/>
      <c r="B39" s="36"/>
      <c r="C39" s="36"/>
      <c r="D39" s="36"/>
      <c r="E39" s="36"/>
      <c r="F39" s="36"/>
      <c r="G39" s="36"/>
    </row>
    <row r="40" spans="1:7" x14ac:dyDescent="0.2">
      <c r="A40" s="2" t="s">
        <v>2</v>
      </c>
      <c r="B40" s="2">
        <v>7000000</v>
      </c>
    </row>
    <row r="41" spans="1:7" x14ac:dyDescent="0.2">
      <c r="A41" s="2" t="s">
        <v>1</v>
      </c>
      <c r="B41" s="2">
        <v>8154000</v>
      </c>
    </row>
    <row r="42" spans="1:7" x14ac:dyDescent="0.2">
      <c r="A42" s="2" t="s">
        <v>3</v>
      </c>
      <c r="B42" s="2">
        <v>1</v>
      </c>
    </row>
    <row r="44" spans="1:7" x14ac:dyDescent="0.2">
      <c r="A44" s="4" t="s">
        <v>114</v>
      </c>
      <c r="B44" s="5">
        <f>1-(B40/B41)</f>
        <v>0.14152563159185672</v>
      </c>
    </row>
    <row r="46" spans="1:7" x14ac:dyDescent="0.2">
      <c r="A46" s="32" t="s">
        <v>126</v>
      </c>
      <c r="B46" s="33"/>
      <c r="C46" s="33"/>
      <c r="D46" s="33"/>
      <c r="E46" s="33"/>
      <c r="F46" s="33"/>
      <c r="G46" s="33"/>
    </row>
    <row r="47" spans="1:7" x14ac:dyDescent="0.2">
      <c r="A47" s="33"/>
      <c r="B47" s="33"/>
      <c r="C47" s="33"/>
      <c r="D47" s="33"/>
      <c r="E47" s="33"/>
      <c r="F47" s="33"/>
      <c r="G47" s="33"/>
    </row>
    <row r="48" spans="1:7" x14ac:dyDescent="0.2">
      <c r="A48" s="33"/>
      <c r="B48" s="33"/>
      <c r="C48" s="33"/>
      <c r="D48" s="33"/>
      <c r="E48" s="33"/>
      <c r="F48" s="33"/>
      <c r="G48" s="33"/>
    </row>
    <row r="49" spans="1:7" x14ac:dyDescent="0.2">
      <c r="A49" s="33"/>
      <c r="B49" s="33"/>
      <c r="C49" s="33"/>
      <c r="D49" s="33"/>
      <c r="E49" s="33"/>
      <c r="F49" s="33"/>
      <c r="G49" s="33"/>
    </row>
    <row r="50" spans="1:7" x14ac:dyDescent="0.2">
      <c r="A50" s="33"/>
      <c r="B50" s="33"/>
      <c r="C50" s="33"/>
      <c r="D50" s="33"/>
      <c r="E50" s="33"/>
      <c r="F50" s="33"/>
      <c r="G50" s="33"/>
    </row>
    <row r="51" spans="1:7" x14ac:dyDescent="0.2">
      <c r="A51" s="2" t="s">
        <v>114</v>
      </c>
      <c r="B51" s="2">
        <v>0.12</v>
      </c>
    </row>
    <row r="52" spans="1:7" x14ac:dyDescent="0.2">
      <c r="A52" s="2" t="s">
        <v>78</v>
      </c>
      <c r="B52" s="2">
        <f>12</f>
        <v>12</v>
      </c>
    </row>
    <row r="53" spans="1:7" x14ac:dyDescent="0.2">
      <c r="A53" s="2"/>
      <c r="B53" s="2"/>
    </row>
    <row r="56" spans="1:7" x14ac:dyDescent="0.2">
      <c r="A56" s="4" t="s">
        <v>128</v>
      </c>
      <c r="B56" s="5">
        <f>1-(1-B51/B52)^B52</f>
        <v>0.11361512828387088</v>
      </c>
    </row>
    <row r="57" spans="1:7" ht="15" customHeight="1" x14ac:dyDescent="0.2">
      <c r="A57" s="31" t="s">
        <v>129</v>
      </c>
      <c r="B57" s="36"/>
      <c r="C57" s="36"/>
      <c r="D57" s="36"/>
      <c r="E57" s="36"/>
      <c r="F57" s="36"/>
      <c r="G57" s="36"/>
    </row>
    <row r="58" spans="1:7" x14ac:dyDescent="0.2">
      <c r="A58" s="36"/>
      <c r="B58" s="36"/>
      <c r="C58" s="36"/>
      <c r="D58" s="36"/>
      <c r="E58" s="36"/>
      <c r="F58" s="36"/>
      <c r="G58" s="36"/>
    </row>
    <row r="59" spans="1:7" x14ac:dyDescent="0.2">
      <c r="A59" s="36"/>
      <c r="B59" s="36"/>
      <c r="C59" s="36"/>
      <c r="D59" s="36"/>
      <c r="E59" s="36"/>
      <c r="F59" s="36"/>
      <c r="G59" s="36"/>
    </row>
    <row r="60" spans="1:7" x14ac:dyDescent="0.2">
      <c r="A60" s="36"/>
      <c r="B60" s="36"/>
      <c r="C60" s="36"/>
      <c r="D60" s="36"/>
      <c r="E60" s="36"/>
      <c r="F60" s="36"/>
      <c r="G60" s="36"/>
    </row>
    <row r="61" spans="1:7" x14ac:dyDescent="0.2">
      <c r="A61" s="36"/>
      <c r="B61" s="36"/>
      <c r="C61" s="36"/>
      <c r="D61" s="36"/>
      <c r="E61" s="36"/>
      <c r="F61" s="36"/>
      <c r="G61" s="36"/>
    </row>
    <row r="62" spans="1:7" x14ac:dyDescent="0.2">
      <c r="A62" s="2" t="s">
        <v>2</v>
      </c>
      <c r="B62" s="2">
        <v>750000</v>
      </c>
    </row>
    <row r="63" spans="1:7" x14ac:dyDescent="0.2">
      <c r="A63" s="2" t="s">
        <v>114</v>
      </c>
      <c r="B63" s="2">
        <v>0.1</v>
      </c>
    </row>
    <row r="64" spans="1:7" x14ac:dyDescent="0.2">
      <c r="A64" s="2" t="s">
        <v>3</v>
      </c>
      <c r="B64" s="2">
        <v>3</v>
      </c>
    </row>
    <row r="65" spans="1:7" x14ac:dyDescent="0.2">
      <c r="A65" s="2"/>
      <c r="B65" s="2"/>
    </row>
    <row r="67" spans="1:7" x14ac:dyDescent="0.2">
      <c r="A67" s="4" t="s">
        <v>131</v>
      </c>
      <c r="B67" s="4">
        <f>B62*(1-B63)^(B64)</f>
        <v>546750.00000000012</v>
      </c>
    </row>
    <row r="68" spans="1:7" ht="15" customHeight="1" x14ac:dyDescent="0.2">
      <c r="A68" s="32" t="s">
        <v>132</v>
      </c>
      <c r="B68" s="33"/>
      <c r="C68" s="33"/>
      <c r="D68" s="33"/>
      <c r="E68" s="33"/>
      <c r="F68" s="33"/>
      <c r="G68" s="33"/>
    </row>
    <row r="69" spans="1:7" x14ac:dyDescent="0.2">
      <c r="A69" s="33"/>
      <c r="B69" s="33"/>
      <c r="C69" s="33"/>
      <c r="D69" s="33"/>
      <c r="E69" s="33"/>
      <c r="F69" s="33"/>
      <c r="G69" s="33"/>
    </row>
    <row r="70" spans="1:7" x14ac:dyDescent="0.2">
      <c r="A70" s="33"/>
      <c r="B70" s="33"/>
      <c r="C70" s="33"/>
      <c r="D70" s="33"/>
      <c r="E70" s="33"/>
      <c r="F70" s="33"/>
      <c r="G70" s="33"/>
    </row>
    <row r="71" spans="1:7" x14ac:dyDescent="0.2">
      <c r="A71" s="33"/>
      <c r="B71" s="33"/>
      <c r="C71" s="33"/>
      <c r="D71" s="33"/>
      <c r="E71" s="33"/>
      <c r="F71" s="33"/>
      <c r="G71" s="33"/>
    </row>
    <row r="72" spans="1:7" x14ac:dyDescent="0.2">
      <c r="A72" s="33"/>
      <c r="B72" s="33"/>
      <c r="C72" s="33"/>
      <c r="D72" s="33"/>
      <c r="E72" s="33"/>
      <c r="F72" s="33"/>
      <c r="G72" s="33"/>
    </row>
    <row r="73" spans="1:7" x14ac:dyDescent="0.2">
      <c r="A73" s="2" t="s">
        <v>2</v>
      </c>
      <c r="B73" s="2">
        <v>650000</v>
      </c>
    </row>
    <row r="74" spans="1:7" x14ac:dyDescent="0.2">
      <c r="A74" s="2" t="s">
        <v>114</v>
      </c>
      <c r="B74" s="2">
        <v>0.12</v>
      </c>
    </row>
    <row r="75" spans="1:7" x14ac:dyDescent="0.2">
      <c r="A75" s="2" t="s">
        <v>3</v>
      </c>
      <c r="B75" s="2">
        <v>3</v>
      </c>
    </row>
    <row r="76" spans="1:7" x14ac:dyDescent="0.2">
      <c r="A76" s="2"/>
      <c r="B76" s="2"/>
    </row>
    <row r="78" spans="1:7" ht="18.75" customHeight="1" x14ac:dyDescent="0.2">
      <c r="A78" s="4" t="s">
        <v>131</v>
      </c>
      <c r="B78" s="4">
        <f>B73*(1-B74)^(B75)</f>
        <v>442956.79999999999</v>
      </c>
    </row>
    <row r="79" spans="1:7" ht="15" customHeight="1" x14ac:dyDescent="0.2">
      <c r="A79" s="34" t="s">
        <v>134</v>
      </c>
      <c r="B79" s="35"/>
      <c r="C79" s="35"/>
      <c r="D79" s="35"/>
      <c r="E79" s="35"/>
      <c r="F79" s="35"/>
      <c r="G79" s="35"/>
    </row>
    <row r="80" spans="1:7" x14ac:dyDescent="0.2">
      <c r="A80" s="35"/>
      <c r="B80" s="35"/>
      <c r="C80" s="35"/>
      <c r="D80" s="35"/>
      <c r="E80" s="35"/>
      <c r="F80" s="35"/>
      <c r="G80" s="35"/>
    </row>
    <row r="81" spans="1:7" x14ac:dyDescent="0.2">
      <c r="A81" s="35"/>
      <c r="B81" s="35"/>
      <c r="C81" s="35"/>
      <c r="D81" s="35"/>
      <c r="E81" s="35"/>
      <c r="F81" s="35"/>
      <c r="G81" s="35"/>
    </row>
    <row r="82" spans="1:7" x14ac:dyDescent="0.2">
      <c r="A82" s="35"/>
      <c r="B82" s="35"/>
      <c r="C82" s="35"/>
      <c r="D82" s="35"/>
      <c r="E82" s="35"/>
      <c r="F82" s="35"/>
      <c r="G82" s="35"/>
    </row>
    <row r="83" spans="1:7" x14ac:dyDescent="0.2">
      <c r="A83" s="35"/>
      <c r="B83" s="35"/>
      <c r="C83" s="35"/>
      <c r="D83" s="35"/>
      <c r="E83" s="35"/>
      <c r="F83" s="35"/>
      <c r="G83" s="35"/>
    </row>
    <row r="84" spans="1:7" x14ac:dyDescent="0.2">
      <c r="A84" s="2" t="s">
        <v>2</v>
      </c>
      <c r="B84" s="2">
        <v>200000</v>
      </c>
    </row>
    <row r="85" spans="1:7" x14ac:dyDescent="0.2">
      <c r="A85" s="2" t="s">
        <v>114</v>
      </c>
      <c r="B85" s="2">
        <v>0.11</v>
      </c>
    </row>
    <row r="86" spans="1:7" x14ac:dyDescent="0.2">
      <c r="A86" s="2" t="s">
        <v>3</v>
      </c>
      <c r="B86" s="2">
        <f>(255-114)/365</f>
        <v>0.38630136986301372</v>
      </c>
    </row>
    <row r="87" spans="1:7" x14ac:dyDescent="0.2">
      <c r="A87" s="2"/>
      <c r="B87" s="2"/>
    </row>
    <row r="89" spans="1:7" x14ac:dyDescent="0.2">
      <c r="A89" s="4" t="s">
        <v>1</v>
      </c>
      <c r="B89" s="4">
        <f>B84*(1-B85)^(B86)</f>
        <v>191196.21295357824</v>
      </c>
    </row>
    <row r="90" spans="1:7" ht="15" customHeight="1" x14ac:dyDescent="0.2">
      <c r="A90" s="32" t="s">
        <v>136</v>
      </c>
      <c r="B90" s="33"/>
      <c r="C90" s="33"/>
      <c r="D90" s="33"/>
      <c r="E90" s="33"/>
      <c r="F90" s="33"/>
      <c r="G90" s="33"/>
    </row>
    <row r="91" spans="1:7" x14ac:dyDescent="0.2">
      <c r="A91" s="33"/>
      <c r="B91" s="33"/>
      <c r="C91" s="33"/>
      <c r="D91" s="33"/>
      <c r="E91" s="33"/>
      <c r="F91" s="33"/>
      <c r="G91" s="33"/>
    </row>
    <row r="92" spans="1:7" x14ac:dyDescent="0.2">
      <c r="A92" s="33"/>
      <c r="B92" s="33"/>
      <c r="C92" s="33"/>
      <c r="D92" s="33"/>
      <c r="E92" s="33"/>
      <c r="F92" s="33"/>
      <c r="G92" s="33"/>
    </row>
    <row r="93" spans="1:7" x14ac:dyDescent="0.2">
      <c r="A93" s="33"/>
      <c r="B93" s="33"/>
      <c r="C93" s="33"/>
      <c r="D93" s="33"/>
      <c r="E93" s="33"/>
      <c r="F93" s="33"/>
      <c r="G93" s="33"/>
    </row>
    <row r="94" spans="1:7" x14ac:dyDescent="0.2">
      <c r="A94" s="33"/>
      <c r="B94" s="33"/>
      <c r="C94" s="33"/>
      <c r="D94" s="33"/>
      <c r="E94" s="33"/>
      <c r="F94" s="33"/>
      <c r="G94" s="33"/>
    </row>
    <row r="95" spans="1:7" x14ac:dyDescent="0.2">
      <c r="A95" s="2" t="s">
        <v>114</v>
      </c>
      <c r="B95" s="2">
        <v>0.12</v>
      </c>
    </row>
    <row r="96" spans="1:7" x14ac:dyDescent="0.2">
      <c r="A96" s="2" t="s">
        <v>78</v>
      </c>
      <c r="B96" s="2">
        <f>4</f>
        <v>4</v>
      </c>
    </row>
    <row r="97" spans="1:7" x14ac:dyDescent="0.2">
      <c r="A97" s="2"/>
      <c r="B97" s="2"/>
    </row>
    <row r="100" spans="1:7" x14ac:dyDescent="0.2">
      <c r="A100" s="4" t="s">
        <v>128</v>
      </c>
      <c r="B100" s="5">
        <f>1-(1-B95/B96)^B96</f>
        <v>0.11470719000000007</v>
      </c>
    </row>
    <row r="101" spans="1:7" ht="15" customHeight="1" x14ac:dyDescent="0.2">
      <c r="A101" s="31" t="s">
        <v>138</v>
      </c>
      <c r="B101" s="31"/>
      <c r="C101" s="31"/>
      <c r="D101" s="31"/>
      <c r="E101" s="31"/>
      <c r="F101" s="31"/>
      <c r="G101" s="31"/>
    </row>
    <row r="102" spans="1:7" ht="15" customHeight="1" x14ac:dyDescent="0.2">
      <c r="A102" s="31"/>
      <c r="B102" s="31"/>
      <c r="C102" s="31"/>
      <c r="D102" s="31"/>
      <c r="E102" s="31"/>
      <c r="F102" s="31"/>
      <c r="G102" s="31"/>
    </row>
    <row r="103" spans="1:7" x14ac:dyDescent="0.2">
      <c r="A103" s="31"/>
      <c r="B103" s="31"/>
      <c r="C103" s="31"/>
      <c r="D103" s="31"/>
      <c r="E103" s="31"/>
      <c r="F103" s="31"/>
      <c r="G103" s="31"/>
    </row>
    <row r="104" spans="1:7" x14ac:dyDescent="0.2">
      <c r="A104" s="31"/>
      <c r="B104" s="31"/>
      <c r="C104" s="31"/>
      <c r="D104" s="31"/>
      <c r="E104" s="31"/>
      <c r="F104" s="31"/>
      <c r="G104" s="31"/>
    </row>
    <row r="105" spans="1:7" x14ac:dyDescent="0.2">
      <c r="A105" s="31"/>
      <c r="B105" s="31"/>
      <c r="C105" s="31"/>
      <c r="D105" s="31"/>
      <c r="E105" s="31"/>
      <c r="F105" s="31"/>
      <c r="G105" s="31"/>
    </row>
    <row r="106" spans="1:7" x14ac:dyDescent="0.2">
      <c r="A106" s="31"/>
      <c r="B106" s="31"/>
      <c r="C106" s="31"/>
      <c r="D106" s="31"/>
      <c r="E106" s="31"/>
      <c r="F106" s="31"/>
      <c r="G106" s="31"/>
    </row>
    <row r="107" spans="1:7" x14ac:dyDescent="0.2">
      <c r="A107" s="31"/>
      <c r="B107" s="31"/>
      <c r="C107" s="31"/>
      <c r="D107" s="31"/>
      <c r="E107" s="31"/>
      <c r="F107" s="31"/>
      <c r="G107" s="31"/>
    </row>
    <row r="108" spans="1:7" x14ac:dyDescent="0.2">
      <c r="A108" s="31"/>
      <c r="B108" s="31"/>
      <c r="C108" s="31"/>
      <c r="D108" s="31"/>
      <c r="E108" s="31"/>
      <c r="F108" s="31"/>
      <c r="G108" s="31"/>
    </row>
    <row r="109" spans="1:7" x14ac:dyDescent="0.2">
      <c r="A109" s="2" t="s">
        <v>113</v>
      </c>
      <c r="B109" s="9">
        <f>100/365</f>
        <v>0.27397260273972601</v>
      </c>
    </row>
    <row r="110" spans="1:7" x14ac:dyDescent="0.2">
      <c r="A110" s="2" t="s">
        <v>115</v>
      </c>
      <c r="B110" s="2">
        <v>0.08</v>
      </c>
    </row>
    <row r="112" spans="1:7" x14ac:dyDescent="0.2">
      <c r="A112" s="2" t="s">
        <v>116</v>
      </c>
      <c r="B112" s="9">
        <f>95/365</f>
        <v>0.26027397260273971</v>
      </c>
    </row>
    <row r="113" spans="1:9" x14ac:dyDescent="0.2">
      <c r="A113" s="2" t="s">
        <v>117</v>
      </c>
      <c r="B113" s="2">
        <v>0.06</v>
      </c>
    </row>
    <row r="115" spans="1:9" x14ac:dyDescent="0.2">
      <c r="A115" s="2" t="s">
        <v>119</v>
      </c>
      <c r="B115" s="2">
        <f>(1-B109*B110)</f>
        <v>0.9780821917808219</v>
      </c>
    </row>
    <row r="116" spans="1:9" x14ac:dyDescent="0.2">
      <c r="A116" s="2" t="s">
        <v>120</v>
      </c>
      <c r="B116" s="2">
        <f>(1-B112*B113)</f>
        <v>0.98438356164383567</v>
      </c>
    </row>
    <row r="118" spans="1:9" x14ac:dyDescent="0.2">
      <c r="A118" s="4" t="s">
        <v>7</v>
      </c>
      <c r="B118" s="5">
        <f>(365/5 * (B116/B115 -1 ))*100</f>
        <v>47.030812324929805</v>
      </c>
    </row>
    <row r="121" spans="1:9" x14ac:dyDescent="0.2">
      <c r="A121" s="32" t="s">
        <v>112</v>
      </c>
      <c r="B121" s="32"/>
      <c r="C121" s="32"/>
      <c r="D121" s="32"/>
      <c r="E121" s="32"/>
      <c r="F121" s="32"/>
      <c r="G121" s="32"/>
      <c r="H121" s="32"/>
      <c r="I121" s="32"/>
    </row>
    <row r="122" spans="1:9" x14ac:dyDescent="0.2">
      <c r="A122" s="32"/>
      <c r="B122" s="32"/>
      <c r="C122" s="32"/>
      <c r="D122" s="32"/>
      <c r="E122" s="32"/>
      <c r="F122" s="32"/>
      <c r="G122" s="32"/>
      <c r="H122" s="32"/>
      <c r="I122" s="32"/>
    </row>
    <row r="123" spans="1:9" x14ac:dyDescent="0.2">
      <c r="A123" s="32"/>
      <c r="B123" s="32"/>
      <c r="C123" s="32"/>
      <c r="D123" s="32"/>
      <c r="E123" s="32"/>
      <c r="F123" s="32"/>
      <c r="G123" s="32"/>
      <c r="H123" s="32"/>
      <c r="I123" s="32"/>
    </row>
    <row r="124" spans="1:9" x14ac:dyDescent="0.2">
      <c r="A124" s="32"/>
      <c r="B124" s="32"/>
      <c r="C124" s="32"/>
      <c r="D124" s="32"/>
      <c r="E124" s="32"/>
      <c r="F124" s="32"/>
      <c r="G124" s="32"/>
      <c r="H124" s="32"/>
      <c r="I124" s="32"/>
    </row>
    <row r="125" spans="1:9" x14ac:dyDescent="0.2">
      <c r="A125" s="32"/>
      <c r="B125" s="32"/>
      <c r="C125" s="32"/>
      <c r="D125" s="32"/>
      <c r="E125" s="32"/>
      <c r="F125" s="32"/>
      <c r="G125" s="32"/>
      <c r="H125" s="32"/>
      <c r="I125" s="32"/>
    </row>
    <row r="126" spans="1:9" x14ac:dyDescent="0.2">
      <c r="A126" s="2" t="s">
        <v>113</v>
      </c>
      <c r="B126" s="9">
        <f>90/365</f>
        <v>0.24657534246575341</v>
      </c>
    </row>
    <row r="127" spans="1:9" x14ac:dyDescent="0.2">
      <c r="A127" s="2" t="s">
        <v>115</v>
      </c>
      <c r="B127" s="2">
        <v>0.08</v>
      </c>
    </row>
    <row r="129" spans="1:9" ht="15" customHeight="1" x14ac:dyDescent="0.2">
      <c r="A129" s="2" t="s">
        <v>116</v>
      </c>
      <c r="B129" s="9">
        <f>45/365</f>
        <v>0.12328767123287671</v>
      </c>
    </row>
    <row r="130" spans="1:9" x14ac:dyDescent="0.2">
      <c r="A130" s="2" t="s">
        <v>117</v>
      </c>
      <c r="B130" s="2">
        <v>7.0000000000000007E-2</v>
      </c>
    </row>
    <row r="132" spans="1:9" x14ac:dyDescent="0.2">
      <c r="A132" s="2" t="s">
        <v>119</v>
      </c>
      <c r="B132" s="2">
        <f>(1-B126*B127)</f>
        <v>0.98027397260273974</v>
      </c>
    </row>
    <row r="133" spans="1:9" x14ac:dyDescent="0.2">
      <c r="A133" s="2" t="s">
        <v>120</v>
      </c>
      <c r="B133" s="2">
        <f>(1-B129*B130)</f>
        <v>0.99136986301369867</v>
      </c>
    </row>
    <row r="135" spans="1:9" x14ac:dyDescent="0.2">
      <c r="A135" s="4" t="s">
        <v>7</v>
      </c>
      <c r="B135" s="5">
        <f>(365/45 * (B133/B132 -1 ))*100</f>
        <v>9.1811067635551602</v>
      </c>
    </row>
    <row r="136" spans="1:9" x14ac:dyDescent="0.2">
      <c r="A136" s="32" t="s">
        <v>121</v>
      </c>
      <c r="B136" s="32"/>
      <c r="C136" s="32"/>
      <c r="D136" s="32"/>
      <c r="E136" s="32"/>
      <c r="F136" s="32"/>
      <c r="G136" s="32"/>
      <c r="H136" s="32"/>
      <c r="I136" s="32"/>
    </row>
    <row r="137" spans="1:9" x14ac:dyDescent="0.2">
      <c r="A137" s="32"/>
      <c r="B137" s="32"/>
      <c r="C137" s="32"/>
      <c r="D137" s="32"/>
      <c r="E137" s="32"/>
      <c r="F137" s="32"/>
      <c r="G137" s="32"/>
      <c r="H137" s="32"/>
      <c r="I137" s="32"/>
    </row>
    <row r="138" spans="1:9" x14ac:dyDescent="0.2">
      <c r="A138" s="32"/>
      <c r="B138" s="32"/>
      <c r="C138" s="32"/>
      <c r="D138" s="32"/>
      <c r="E138" s="32"/>
      <c r="F138" s="32"/>
      <c r="G138" s="32"/>
      <c r="H138" s="32"/>
      <c r="I138" s="32"/>
    </row>
    <row r="139" spans="1:9" x14ac:dyDescent="0.2">
      <c r="A139" s="32"/>
      <c r="B139" s="32"/>
      <c r="C139" s="32"/>
      <c r="D139" s="32"/>
      <c r="E139" s="32"/>
      <c r="F139" s="32"/>
      <c r="G139" s="32"/>
      <c r="H139" s="32"/>
      <c r="I139" s="32"/>
    </row>
    <row r="140" spans="1:9" x14ac:dyDescent="0.2">
      <c r="A140" s="32"/>
      <c r="B140" s="32"/>
      <c r="C140" s="32"/>
      <c r="D140" s="32"/>
      <c r="E140" s="32"/>
      <c r="F140" s="32"/>
      <c r="G140" s="32"/>
      <c r="H140" s="32"/>
      <c r="I140" s="32"/>
    </row>
    <row r="141" spans="1:9" x14ac:dyDescent="0.2">
      <c r="A141" s="2" t="s">
        <v>113</v>
      </c>
      <c r="B141" s="9">
        <f>200/365</f>
        <v>0.54794520547945202</v>
      </c>
    </row>
    <row r="142" spans="1:9" x14ac:dyDescent="0.2">
      <c r="A142" s="2" t="s">
        <v>115</v>
      </c>
      <c r="B142" s="2">
        <v>7.0000000000000007E-2</v>
      </c>
    </row>
    <row r="144" spans="1:9" x14ac:dyDescent="0.2">
      <c r="A144" s="2" t="s">
        <v>116</v>
      </c>
      <c r="B144" s="9">
        <f>185/365</f>
        <v>0.50684931506849318</v>
      </c>
    </row>
    <row r="145" spans="1:9" x14ac:dyDescent="0.2">
      <c r="A145" s="2" t="s">
        <v>117</v>
      </c>
      <c r="B145" s="2">
        <v>0.06</v>
      </c>
    </row>
    <row r="147" spans="1:9" x14ac:dyDescent="0.2">
      <c r="A147" s="2" t="s">
        <v>119</v>
      </c>
      <c r="B147" s="9">
        <f>(1-B142)^B141</f>
        <v>0.96101547877355864</v>
      </c>
    </row>
    <row r="148" spans="1:9" x14ac:dyDescent="0.2">
      <c r="A148" s="2" t="s">
        <v>120</v>
      </c>
      <c r="B148" s="9">
        <f>(1-B145)^B144</f>
        <v>0.96912516518631864</v>
      </c>
    </row>
    <row r="150" spans="1:9" x14ac:dyDescent="0.2">
      <c r="A150" s="4" t="s">
        <v>7</v>
      </c>
      <c r="B150" s="5">
        <f>(POWER(B148/B147,365/15)-1)*100</f>
        <v>22.688600825828708</v>
      </c>
    </row>
    <row r="151" spans="1:9" x14ac:dyDescent="0.2">
      <c r="A151" s="32" t="s">
        <v>124</v>
      </c>
      <c r="B151" s="32"/>
      <c r="C151" s="32"/>
      <c r="D151" s="32"/>
      <c r="E151" s="32"/>
      <c r="F151" s="32"/>
      <c r="G151" s="32"/>
      <c r="H151" s="32"/>
      <c r="I151" s="32"/>
    </row>
    <row r="152" spans="1:9" x14ac:dyDescent="0.2">
      <c r="A152" s="32"/>
      <c r="B152" s="32"/>
      <c r="C152" s="32"/>
      <c r="D152" s="32"/>
      <c r="E152" s="32"/>
      <c r="F152" s="32"/>
      <c r="G152" s="32"/>
      <c r="H152" s="32"/>
      <c r="I152" s="32"/>
    </row>
    <row r="153" spans="1:9" x14ac:dyDescent="0.2">
      <c r="A153" s="32"/>
      <c r="B153" s="32"/>
      <c r="C153" s="32"/>
      <c r="D153" s="32"/>
      <c r="E153" s="32"/>
      <c r="F153" s="32"/>
      <c r="G153" s="32"/>
      <c r="H153" s="32"/>
      <c r="I153" s="32"/>
    </row>
    <row r="154" spans="1:9" x14ac:dyDescent="0.2">
      <c r="A154" s="32"/>
      <c r="B154" s="32"/>
      <c r="C154" s="32"/>
      <c r="D154" s="32"/>
      <c r="E154" s="32"/>
      <c r="F154" s="32"/>
      <c r="G154" s="32"/>
      <c r="H154" s="32"/>
      <c r="I154" s="32"/>
    </row>
    <row r="155" spans="1:9" x14ac:dyDescent="0.2">
      <c r="A155" s="32"/>
      <c r="B155" s="32"/>
      <c r="C155" s="32"/>
      <c r="D155" s="32"/>
      <c r="E155" s="32"/>
      <c r="F155" s="32"/>
      <c r="G155" s="32"/>
      <c r="H155" s="32"/>
      <c r="I155" s="32"/>
    </row>
    <row r="156" spans="1:9" x14ac:dyDescent="0.2">
      <c r="A156" s="2" t="s">
        <v>113</v>
      </c>
      <c r="B156" s="9">
        <f>90/365</f>
        <v>0.24657534246575341</v>
      </c>
    </row>
    <row r="157" spans="1:9" x14ac:dyDescent="0.2">
      <c r="A157" s="2" t="s">
        <v>115</v>
      </c>
      <c r="B157" s="2">
        <v>0.08</v>
      </c>
    </row>
    <row r="159" spans="1:9" x14ac:dyDescent="0.2">
      <c r="A159" s="2" t="s">
        <v>116</v>
      </c>
      <c r="B159" s="9">
        <f>45/365</f>
        <v>0.12328767123287671</v>
      </c>
    </row>
    <row r="160" spans="1:9" x14ac:dyDescent="0.2">
      <c r="A160" s="2" t="s">
        <v>117</v>
      </c>
      <c r="B160" s="2">
        <v>7.0000000000000007E-2</v>
      </c>
    </row>
    <row r="162" spans="1:7" x14ac:dyDescent="0.2">
      <c r="A162" s="2" t="s">
        <v>119</v>
      </c>
      <c r="B162" s="9">
        <f>(1-B157)^B156</f>
        <v>0.97965006385933884</v>
      </c>
    </row>
    <row r="163" spans="1:7" x14ac:dyDescent="0.2">
      <c r="A163" s="2" t="s">
        <v>120</v>
      </c>
      <c r="B163" s="9">
        <f>(1-B160)^B159</f>
        <v>0.99109283422434991</v>
      </c>
    </row>
    <row r="165" spans="1:7" x14ac:dyDescent="0.2">
      <c r="A165" s="4" t="s">
        <v>7</v>
      </c>
      <c r="B165" s="5">
        <f>(POWER(B163/B162,365/45)-1)*100</f>
        <v>9.8771266540642166</v>
      </c>
    </row>
    <row r="167" spans="1:7" x14ac:dyDescent="0.2">
      <c r="A167" s="31" t="s">
        <v>127</v>
      </c>
      <c r="B167" s="36"/>
      <c r="C167" s="36"/>
      <c r="D167" s="36"/>
      <c r="E167" s="36"/>
      <c r="F167" s="36"/>
      <c r="G167" s="36"/>
    </row>
    <row r="168" spans="1:7" x14ac:dyDescent="0.2">
      <c r="A168" s="36"/>
      <c r="B168" s="36"/>
      <c r="C168" s="36"/>
      <c r="D168" s="36"/>
      <c r="E168" s="36"/>
      <c r="F168" s="36"/>
      <c r="G168" s="36"/>
    </row>
    <row r="169" spans="1:7" x14ac:dyDescent="0.2">
      <c r="A169" s="36"/>
      <c r="B169" s="36"/>
      <c r="C169" s="36"/>
      <c r="D169" s="36"/>
      <c r="E169" s="36"/>
      <c r="F169" s="36"/>
      <c r="G169" s="36"/>
    </row>
    <row r="170" spans="1:7" x14ac:dyDescent="0.2">
      <c r="A170" s="36"/>
      <c r="B170" s="36"/>
      <c r="C170" s="36"/>
      <c r="D170" s="36"/>
      <c r="E170" s="36"/>
      <c r="F170" s="36"/>
      <c r="G170" s="36"/>
    </row>
    <row r="171" spans="1:7" x14ac:dyDescent="0.2">
      <c r="A171" s="36"/>
      <c r="B171" s="36"/>
      <c r="C171" s="36"/>
      <c r="D171" s="36"/>
      <c r="E171" s="36"/>
      <c r="F171" s="36"/>
      <c r="G171" s="36"/>
    </row>
    <row r="172" spans="1:7" x14ac:dyDescent="0.2">
      <c r="A172" s="2" t="s">
        <v>2</v>
      </c>
      <c r="B172" s="2">
        <v>850000</v>
      </c>
    </row>
    <row r="173" spans="1:7" x14ac:dyDescent="0.2">
      <c r="A173" s="2" t="s">
        <v>114</v>
      </c>
      <c r="B173" s="2">
        <v>0.1</v>
      </c>
    </row>
    <row r="174" spans="1:7" x14ac:dyDescent="0.2">
      <c r="A174" s="2" t="s">
        <v>3</v>
      </c>
      <c r="B174" s="2">
        <v>3</v>
      </c>
    </row>
    <row r="175" spans="1:7" x14ac:dyDescent="0.2">
      <c r="A175" s="2" t="s">
        <v>1</v>
      </c>
      <c r="B175" s="2">
        <f>B172*(1-B173)^(B174)</f>
        <v>619650.00000000012</v>
      </c>
    </row>
    <row r="177" spans="1:10" x14ac:dyDescent="0.2">
      <c r="A177" s="4" t="s">
        <v>122</v>
      </c>
      <c r="B177" s="4">
        <f>B172-B175</f>
        <v>230349.99999999988</v>
      </c>
    </row>
    <row r="178" spans="1:10" x14ac:dyDescent="0.2">
      <c r="A178" s="32" t="s">
        <v>130</v>
      </c>
      <c r="B178" s="33"/>
      <c r="C178" s="33"/>
      <c r="D178" s="33"/>
      <c r="E178" s="33"/>
      <c r="F178" s="33"/>
      <c r="G178" s="33"/>
    </row>
    <row r="179" spans="1:10" x14ac:dyDescent="0.2">
      <c r="A179" s="33"/>
      <c r="B179" s="33"/>
      <c r="C179" s="33"/>
      <c r="D179" s="33"/>
      <c r="E179" s="33"/>
      <c r="F179" s="33"/>
      <c r="G179" s="33"/>
    </row>
    <row r="180" spans="1:10" x14ac:dyDescent="0.2">
      <c r="A180" s="33"/>
      <c r="B180" s="33"/>
      <c r="C180" s="33"/>
      <c r="D180" s="33"/>
      <c r="E180" s="33"/>
      <c r="F180" s="33"/>
      <c r="G180" s="33"/>
    </row>
    <row r="181" spans="1:10" x14ac:dyDescent="0.2">
      <c r="A181" s="33"/>
      <c r="B181" s="33"/>
      <c r="C181" s="33"/>
      <c r="D181" s="33"/>
      <c r="E181" s="33"/>
      <c r="F181" s="33"/>
      <c r="G181" s="33"/>
    </row>
    <row r="182" spans="1:10" x14ac:dyDescent="0.2">
      <c r="A182" s="33"/>
      <c r="B182" s="33"/>
      <c r="C182" s="33"/>
      <c r="D182" s="33"/>
      <c r="E182" s="33"/>
      <c r="F182" s="33"/>
      <c r="G182" s="33"/>
    </row>
    <row r="183" spans="1:10" x14ac:dyDescent="0.2">
      <c r="A183" s="2" t="s">
        <v>2</v>
      </c>
      <c r="B183" s="2">
        <v>200000</v>
      </c>
    </row>
    <row r="184" spans="1:10" x14ac:dyDescent="0.2">
      <c r="A184" s="2" t="s">
        <v>114</v>
      </c>
      <c r="B184" s="2">
        <v>0.1</v>
      </c>
    </row>
    <row r="185" spans="1:10" x14ac:dyDescent="0.2">
      <c r="A185" s="2" t="s">
        <v>3</v>
      </c>
      <c r="B185" s="2">
        <f>(255-114)/365</f>
        <v>0.38630136986301372</v>
      </c>
    </row>
    <row r="186" spans="1:10" x14ac:dyDescent="0.2">
      <c r="A186" s="2"/>
      <c r="B186" s="2"/>
    </row>
    <row r="188" spans="1:10" x14ac:dyDescent="0.2">
      <c r="A188" s="4" t="s">
        <v>1</v>
      </c>
      <c r="B188" s="4">
        <f>B183*(1-B184)^(B185)</f>
        <v>192023.2493420169</v>
      </c>
    </row>
    <row r="189" spans="1:10" x14ac:dyDescent="0.2">
      <c r="A189" s="32" t="s">
        <v>133</v>
      </c>
      <c r="B189" s="32"/>
      <c r="C189" s="32"/>
      <c r="D189" s="32"/>
      <c r="E189" s="32"/>
      <c r="F189" s="32"/>
      <c r="G189" s="32"/>
      <c r="H189" s="32"/>
      <c r="I189" s="32"/>
      <c r="J189" s="32"/>
    </row>
    <row r="190" spans="1:10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</row>
    <row r="191" spans="1:10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</row>
    <row r="192" spans="1:10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</row>
    <row r="193" spans="1:10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</row>
    <row r="194" spans="1:10" x14ac:dyDescent="0.2">
      <c r="A194" s="2" t="s">
        <v>113</v>
      </c>
      <c r="B194" s="9">
        <f>200/365</f>
        <v>0.54794520547945202</v>
      </c>
    </row>
    <row r="195" spans="1:10" x14ac:dyDescent="0.2">
      <c r="A195" s="2" t="s">
        <v>115</v>
      </c>
      <c r="B195" s="2">
        <v>0.08</v>
      </c>
    </row>
    <row r="197" spans="1:10" x14ac:dyDescent="0.2">
      <c r="A197" s="2" t="s">
        <v>116</v>
      </c>
      <c r="B197" s="9">
        <f>195/365</f>
        <v>0.53424657534246578</v>
      </c>
    </row>
    <row r="198" spans="1:10" x14ac:dyDescent="0.2">
      <c r="A198" s="2" t="s">
        <v>117</v>
      </c>
      <c r="B198" s="2">
        <v>0.06</v>
      </c>
    </row>
    <row r="200" spans="1:10" x14ac:dyDescent="0.2">
      <c r="A200" s="2" t="s">
        <v>119</v>
      </c>
      <c r="B200" s="2">
        <f>(1-B194*B195)</f>
        <v>0.95616438356164379</v>
      </c>
    </row>
    <row r="201" spans="1:10" x14ac:dyDescent="0.2">
      <c r="A201" s="2" t="s">
        <v>120</v>
      </c>
      <c r="B201" s="2">
        <f>(1-B197*B198)</f>
        <v>0.96794520547945206</v>
      </c>
    </row>
    <row r="203" spans="1:10" x14ac:dyDescent="0.2">
      <c r="A203" s="4" t="s">
        <v>7</v>
      </c>
      <c r="B203" s="5">
        <f>(365/5 * (B201/B200 -1 ))*100</f>
        <v>89.942693409742105</v>
      </c>
    </row>
    <row r="204" spans="1:10" x14ac:dyDescent="0.2">
      <c r="A204" s="32" t="s">
        <v>135</v>
      </c>
      <c r="B204" s="32"/>
      <c r="C204" s="32"/>
      <c r="D204" s="32"/>
      <c r="E204" s="32"/>
      <c r="F204" s="32"/>
      <c r="G204" s="32"/>
      <c r="H204" s="32"/>
      <c r="I204" s="32"/>
    </row>
    <row r="205" spans="1:10" x14ac:dyDescent="0.2">
      <c r="A205" s="32"/>
      <c r="B205" s="32"/>
      <c r="C205" s="32"/>
      <c r="D205" s="32"/>
      <c r="E205" s="32"/>
      <c r="F205" s="32"/>
      <c r="G205" s="32"/>
      <c r="H205" s="32"/>
      <c r="I205" s="32"/>
    </row>
    <row r="206" spans="1:10" x14ac:dyDescent="0.2">
      <c r="A206" s="32"/>
      <c r="B206" s="32"/>
      <c r="C206" s="32"/>
      <c r="D206" s="32"/>
      <c r="E206" s="32"/>
      <c r="F206" s="32"/>
      <c r="G206" s="32"/>
      <c r="H206" s="32"/>
      <c r="I206" s="32"/>
    </row>
    <row r="207" spans="1:10" x14ac:dyDescent="0.2">
      <c r="A207" s="32"/>
      <c r="B207" s="32"/>
      <c r="C207" s="32"/>
      <c r="D207" s="32"/>
      <c r="E207" s="32"/>
      <c r="F207" s="32"/>
      <c r="G207" s="32"/>
      <c r="H207" s="32"/>
      <c r="I207" s="32"/>
    </row>
    <row r="208" spans="1:10" x14ac:dyDescent="0.2">
      <c r="A208" s="32"/>
      <c r="B208" s="32"/>
      <c r="C208" s="32"/>
      <c r="D208" s="32"/>
      <c r="E208" s="32"/>
      <c r="F208" s="32"/>
      <c r="G208" s="32"/>
      <c r="H208" s="32"/>
      <c r="I208" s="32"/>
    </row>
    <row r="209" spans="1:10" x14ac:dyDescent="0.2">
      <c r="A209" s="2" t="s">
        <v>113</v>
      </c>
      <c r="B209" s="9">
        <f>90/365</f>
        <v>0.24657534246575341</v>
      </c>
    </row>
    <row r="210" spans="1:10" x14ac:dyDescent="0.2">
      <c r="A210" s="2" t="s">
        <v>115</v>
      </c>
      <c r="B210" s="2">
        <v>0.08</v>
      </c>
    </row>
    <row r="212" spans="1:10" x14ac:dyDescent="0.2">
      <c r="A212" s="2" t="s">
        <v>116</v>
      </c>
      <c r="B212" s="9">
        <f>45/365</f>
        <v>0.12328767123287671</v>
      </c>
    </row>
    <row r="213" spans="1:10" x14ac:dyDescent="0.2">
      <c r="A213" s="2" t="s">
        <v>117</v>
      </c>
      <c r="B213" s="2">
        <v>7.0000000000000007E-2</v>
      </c>
    </row>
    <row r="215" spans="1:10" x14ac:dyDescent="0.2">
      <c r="A215" s="2" t="s">
        <v>119</v>
      </c>
      <c r="B215" s="2">
        <f>(1-B209*B210)</f>
        <v>0.98027397260273974</v>
      </c>
    </row>
    <row r="216" spans="1:10" x14ac:dyDescent="0.2">
      <c r="A216" s="2" t="s">
        <v>120</v>
      </c>
      <c r="B216" s="2">
        <f>(1-B212*B213)</f>
        <v>0.99136986301369867</v>
      </c>
    </row>
    <row r="218" spans="1:10" x14ac:dyDescent="0.2">
      <c r="A218" s="4" t="s">
        <v>7</v>
      </c>
      <c r="B218" s="5">
        <f>(365/45 * (B216/B215 -1 ))*100</f>
        <v>9.1811067635551602</v>
      </c>
    </row>
    <row r="219" spans="1:10" x14ac:dyDescent="0.2">
      <c r="A219" s="32" t="s">
        <v>137</v>
      </c>
      <c r="B219" s="32"/>
      <c r="C219" s="32"/>
      <c r="D219" s="32"/>
      <c r="E219" s="32"/>
      <c r="F219" s="32"/>
      <c r="G219" s="32"/>
      <c r="H219" s="32"/>
      <c r="I219" s="32"/>
      <c r="J219" s="32"/>
    </row>
    <row r="220" spans="1:10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</row>
    <row r="221" spans="1:10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</row>
    <row r="222" spans="1:10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</row>
    <row r="223" spans="1:10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</row>
    <row r="224" spans="1:10" x14ac:dyDescent="0.2">
      <c r="A224" s="2" t="s">
        <v>113</v>
      </c>
      <c r="B224" s="9">
        <f>200/365</f>
        <v>0.54794520547945202</v>
      </c>
    </row>
    <row r="225" spans="1:9" x14ac:dyDescent="0.2">
      <c r="A225" s="2" t="s">
        <v>115</v>
      </c>
      <c r="B225" s="2">
        <v>7.0000000000000007E-2</v>
      </c>
    </row>
    <row r="227" spans="1:9" x14ac:dyDescent="0.2">
      <c r="A227" s="2" t="s">
        <v>116</v>
      </c>
      <c r="B227" s="9">
        <f>195/365</f>
        <v>0.53424657534246578</v>
      </c>
    </row>
    <row r="228" spans="1:9" x14ac:dyDescent="0.2">
      <c r="A228" s="2" t="s">
        <v>117</v>
      </c>
      <c r="B228" s="2">
        <v>0.06</v>
      </c>
    </row>
    <row r="230" spans="1:9" x14ac:dyDescent="0.2">
      <c r="A230" s="2" t="s">
        <v>119</v>
      </c>
      <c r="B230" s="9">
        <f>(1-B225)^B224</f>
        <v>0.96101547877355864</v>
      </c>
    </row>
    <row r="231" spans="1:9" x14ac:dyDescent="0.2">
      <c r="A231" s="2" t="s">
        <v>120</v>
      </c>
      <c r="B231" s="9">
        <f>(1-B228)^B227</f>
        <v>0.96748367990635109</v>
      </c>
    </row>
    <row r="233" spans="1:9" x14ac:dyDescent="0.2">
      <c r="A233" s="4" t="s">
        <v>7</v>
      </c>
      <c r="B233" s="5">
        <f>(POWER(B231/B230,365/5)-1)*100</f>
        <v>63.180533334377763</v>
      </c>
    </row>
    <row r="234" spans="1:9" x14ac:dyDescent="0.2">
      <c r="A234" s="32" t="s">
        <v>139</v>
      </c>
      <c r="B234" s="32"/>
      <c r="C234" s="32"/>
      <c r="D234" s="32"/>
      <c r="E234" s="32"/>
      <c r="F234" s="32"/>
      <c r="G234" s="32"/>
      <c r="H234" s="32"/>
      <c r="I234" s="32"/>
    </row>
    <row r="235" spans="1:9" x14ac:dyDescent="0.2">
      <c r="A235" s="32"/>
      <c r="B235" s="32"/>
      <c r="C235" s="32"/>
      <c r="D235" s="32"/>
      <c r="E235" s="32"/>
      <c r="F235" s="32"/>
      <c r="G235" s="32"/>
      <c r="H235" s="32"/>
      <c r="I235" s="32"/>
    </row>
    <row r="236" spans="1:9" x14ac:dyDescent="0.2">
      <c r="A236" s="32"/>
      <c r="B236" s="32"/>
      <c r="C236" s="32"/>
      <c r="D236" s="32"/>
      <c r="E236" s="32"/>
      <c r="F236" s="32"/>
      <c r="G236" s="32"/>
      <c r="H236" s="32"/>
      <c r="I236" s="32"/>
    </row>
    <row r="237" spans="1:9" x14ac:dyDescent="0.2">
      <c r="A237" s="32"/>
      <c r="B237" s="32"/>
      <c r="C237" s="32"/>
      <c r="D237" s="32"/>
      <c r="E237" s="32"/>
      <c r="F237" s="32"/>
      <c r="G237" s="32"/>
      <c r="H237" s="32"/>
      <c r="I237" s="32"/>
    </row>
    <row r="238" spans="1:9" x14ac:dyDescent="0.2">
      <c r="A238" s="32"/>
      <c r="B238" s="32"/>
      <c r="C238" s="32"/>
      <c r="D238" s="32"/>
      <c r="E238" s="32"/>
      <c r="F238" s="32"/>
      <c r="G238" s="32"/>
      <c r="H238" s="32"/>
      <c r="I238" s="32"/>
    </row>
    <row r="239" spans="1:9" x14ac:dyDescent="0.2">
      <c r="A239" s="2" t="s">
        <v>113</v>
      </c>
      <c r="B239" s="9">
        <f>90/365</f>
        <v>0.24657534246575341</v>
      </c>
    </row>
    <row r="240" spans="1:9" x14ac:dyDescent="0.2">
      <c r="A240" s="2" t="s">
        <v>115</v>
      </c>
      <c r="B240" s="2">
        <v>0.08</v>
      </c>
    </row>
    <row r="242" spans="1:9" x14ac:dyDescent="0.2">
      <c r="A242" s="2" t="s">
        <v>116</v>
      </c>
      <c r="B242" s="9">
        <f>45/365</f>
        <v>0.12328767123287671</v>
      </c>
    </row>
    <row r="243" spans="1:9" x14ac:dyDescent="0.2">
      <c r="A243" s="2" t="s">
        <v>117</v>
      </c>
      <c r="B243" s="2">
        <v>7.0000000000000007E-2</v>
      </c>
    </row>
    <row r="245" spans="1:9" x14ac:dyDescent="0.2">
      <c r="A245" s="2" t="s">
        <v>119</v>
      </c>
      <c r="B245" s="9">
        <f>(1-B240)^B239</f>
        <v>0.97965006385933884</v>
      </c>
    </row>
    <row r="246" spans="1:9" x14ac:dyDescent="0.2">
      <c r="A246" s="2" t="s">
        <v>120</v>
      </c>
      <c r="B246" s="9">
        <f>(1-B243)^B242</f>
        <v>0.99109283422434991</v>
      </c>
    </row>
    <row r="248" spans="1:9" x14ac:dyDescent="0.2">
      <c r="A248" s="4" t="s">
        <v>7</v>
      </c>
      <c r="B248" s="5">
        <f>(POWER(B246/B245,365/45)-1)*100</f>
        <v>9.8771266540642166</v>
      </c>
    </row>
    <row r="249" spans="1:9" x14ac:dyDescent="0.2">
      <c r="A249" s="32" t="s">
        <v>140</v>
      </c>
      <c r="B249" s="32"/>
      <c r="C249" s="32"/>
      <c r="D249" s="32"/>
      <c r="E249" s="32"/>
      <c r="F249" s="32"/>
      <c r="G249" s="32"/>
      <c r="H249" s="32"/>
      <c r="I249" s="32"/>
    </row>
    <row r="250" spans="1:9" x14ac:dyDescent="0.2">
      <c r="A250" s="32"/>
      <c r="B250" s="32"/>
      <c r="C250" s="32"/>
      <c r="D250" s="32"/>
      <c r="E250" s="32"/>
      <c r="F250" s="32"/>
      <c r="G250" s="32"/>
      <c r="H250" s="32"/>
      <c r="I250" s="32"/>
    </row>
    <row r="251" spans="1:9" x14ac:dyDescent="0.2">
      <c r="A251" s="32"/>
      <c r="B251" s="32"/>
      <c r="C251" s="32"/>
      <c r="D251" s="32"/>
      <c r="E251" s="32"/>
      <c r="F251" s="32"/>
      <c r="G251" s="32"/>
      <c r="H251" s="32"/>
      <c r="I251" s="32"/>
    </row>
    <row r="252" spans="1:9" x14ac:dyDescent="0.2">
      <c r="A252" s="32"/>
      <c r="B252" s="32"/>
      <c r="C252" s="32"/>
      <c r="D252" s="32"/>
      <c r="E252" s="32"/>
      <c r="F252" s="32"/>
      <c r="G252" s="32"/>
      <c r="H252" s="32"/>
      <c r="I252" s="32"/>
    </row>
    <row r="253" spans="1:9" x14ac:dyDescent="0.2">
      <c r="A253" s="32"/>
      <c r="B253" s="32"/>
      <c r="C253" s="32"/>
      <c r="D253" s="32"/>
      <c r="E253" s="32"/>
      <c r="F253" s="32"/>
      <c r="G253" s="32"/>
      <c r="H253" s="32"/>
      <c r="I253" s="32"/>
    </row>
    <row r="254" spans="1:9" x14ac:dyDescent="0.2">
      <c r="A254" s="2" t="s">
        <v>113</v>
      </c>
      <c r="B254" s="9">
        <f>200/365</f>
        <v>0.54794520547945202</v>
      </c>
    </row>
    <row r="255" spans="1:9" x14ac:dyDescent="0.2">
      <c r="A255" s="2" t="s">
        <v>115</v>
      </c>
      <c r="B255" s="2">
        <v>7.0000000000000007E-2</v>
      </c>
    </row>
    <row r="257" spans="1:2" x14ac:dyDescent="0.2">
      <c r="A257" s="2" t="s">
        <v>116</v>
      </c>
      <c r="B257" s="9">
        <f>195/365</f>
        <v>0.53424657534246578</v>
      </c>
    </row>
    <row r="258" spans="1:2" x14ac:dyDescent="0.2">
      <c r="A258" s="2" t="s">
        <v>117</v>
      </c>
      <c r="B258" s="2">
        <v>0.06</v>
      </c>
    </row>
    <row r="260" spans="1:2" x14ac:dyDescent="0.2">
      <c r="A260" s="2" t="s">
        <v>119</v>
      </c>
      <c r="B260" s="2">
        <f>(1-B254*B255)</f>
        <v>0.9616438356164384</v>
      </c>
    </row>
    <row r="261" spans="1:2" x14ac:dyDescent="0.2">
      <c r="A261" s="2" t="s">
        <v>120</v>
      </c>
      <c r="B261" s="2">
        <f>(1-B257*B258)</f>
        <v>0.96794520547945206</v>
      </c>
    </row>
    <row r="263" spans="1:2" x14ac:dyDescent="0.2">
      <c r="A263" s="4" t="s">
        <v>7</v>
      </c>
      <c r="B263" s="5">
        <f>(365/5 * (B261/B260 -1 ))*100</f>
        <v>47.834757834757127</v>
      </c>
    </row>
  </sheetData>
  <mergeCells count="20">
    <mergeCell ref="A249:I253"/>
    <mergeCell ref="A79:G83"/>
    <mergeCell ref="A204:I208"/>
    <mergeCell ref="A90:G94"/>
    <mergeCell ref="A219:J223"/>
    <mergeCell ref="A101:G108"/>
    <mergeCell ref="A234:I238"/>
    <mergeCell ref="A189:J193"/>
    <mergeCell ref="A167:G171"/>
    <mergeCell ref="A57:G61"/>
    <mergeCell ref="A178:G182"/>
    <mergeCell ref="A68:G72"/>
    <mergeCell ref="A151:I155"/>
    <mergeCell ref="A1:G5"/>
    <mergeCell ref="A121:I125"/>
    <mergeCell ref="A12:G16"/>
    <mergeCell ref="A136:I140"/>
    <mergeCell ref="A24:G28"/>
    <mergeCell ref="A35:G39"/>
    <mergeCell ref="A46:G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C8B9-BF41-AD4D-A12E-D9DCD1164681}">
  <dimension ref="A1:J208"/>
  <sheetViews>
    <sheetView topLeftCell="A16" zoomScale="111" workbookViewId="0">
      <selection activeCell="N14" sqref="N14"/>
    </sheetView>
  </sheetViews>
  <sheetFormatPr baseColWidth="10" defaultColWidth="8.83203125" defaultRowHeight="16" x14ac:dyDescent="0.2"/>
  <cols>
    <col min="1" max="1" width="8.83203125" style="1"/>
    <col min="2" max="2" width="9.5" style="1" bestFit="1" customWidth="1"/>
    <col min="3" max="9" width="8.83203125" style="1"/>
    <col min="10" max="10" width="9.5" style="1" bestFit="1" customWidth="1"/>
    <col min="11" max="16384" width="8.83203125" style="1"/>
  </cols>
  <sheetData>
    <row r="1" spans="1:10" x14ac:dyDescent="0.2">
      <c r="A1" s="31" t="s">
        <v>141</v>
      </c>
      <c r="B1" s="31"/>
      <c r="C1" s="31"/>
      <c r="D1" s="31"/>
      <c r="E1" s="31"/>
      <c r="F1" s="31"/>
      <c r="G1" s="31"/>
    </row>
    <row r="2" spans="1:10" x14ac:dyDescent="0.2">
      <c r="A2" s="31"/>
      <c r="B2" s="31"/>
      <c r="C2" s="31"/>
      <c r="D2" s="31"/>
      <c r="E2" s="31"/>
      <c r="F2" s="31"/>
      <c r="G2" s="31"/>
    </row>
    <row r="3" spans="1:10" x14ac:dyDescent="0.2">
      <c r="A3" s="31"/>
      <c r="B3" s="31"/>
      <c r="C3" s="31"/>
      <c r="D3" s="31"/>
      <c r="E3" s="31"/>
      <c r="F3" s="31"/>
      <c r="G3" s="31"/>
      <c r="J3"/>
    </row>
    <row r="4" spans="1:10" x14ac:dyDescent="0.2">
      <c r="A4" s="31"/>
      <c r="B4" s="31"/>
      <c r="C4" s="31"/>
      <c r="D4" s="31"/>
      <c r="E4" s="31"/>
      <c r="F4" s="31"/>
      <c r="G4" s="31"/>
    </row>
    <row r="5" spans="1:10" x14ac:dyDescent="0.2">
      <c r="A5" s="31"/>
      <c r="B5" s="31"/>
      <c r="C5" s="31"/>
      <c r="D5" s="31"/>
      <c r="E5" s="31"/>
      <c r="F5" s="31"/>
      <c r="G5" s="31"/>
    </row>
    <row r="6" spans="1:10" x14ac:dyDescent="0.2">
      <c r="A6" s="2" t="s">
        <v>7</v>
      </c>
      <c r="B6" s="2">
        <v>0.12</v>
      </c>
    </row>
    <row r="7" spans="1:10" x14ac:dyDescent="0.2">
      <c r="A7" s="2" t="s">
        <v>144</v>
      </c>
      <c r="B7" s="2">
        <v>0.08</v>
      </c>
    </row>
    <row r="8" spans="1:10" x14ac:dyDescent="0.2">
      <c r="A8" s="2" t="s">
        <v>143</v>
      </c>
      <c r="B8" s="2">
        <f>B6-B7</f>
        <v>3.9999999999999994E-2</v>
      </c>
    </row>
    <row r="9" spans="1:10" x14ac:dyDescent="0.2">
      <c r="A9" s="2"/>
      <c r="B9" s="2"/>
    </row>
    <row r="11" spans="1:10" x14ac:dyDescent="0.2">
      <c r="A11" s="4" t="s">
        <v>148</v>
      </c>
      <c r="B11" s="5">
        <f>(B6-B8)/(1+B8)*100</f>
        <v>7.6923076923076925</v>
      </c>
    </row>
    <row r="12" spans="1:10" x14ac:dyDescent="0.2">
      <c r="A12" s="32" t="s">
        <v>150</v>
      </c>
      <c r="B12" s="33"/>
      <c r="C12" s="33"/>
      <c r="D12" s="33"/>
      <c r="E12" s="33"/>
      <c r="F12" s="33"/>
      <c r="G12" s="33"/>
    </row>
    <row r="13" spans="1:10" x14ac:dyDescent="0.2">
      <c r="A13" s="33"/>
      <c r="B13" s="33"/>
      <c r="C13" s="33"/>
      <c r="D13" s="33"/>
      <c r="E13" s="33"/>
      <c r="F13" s="33"/>
      <c r="G13" s="33"/>
    </row>
    <row r="14" spans="1:10" x14ac:dyDescent="0.2">
      <c r="A14" s="33"/>
      <c r="B14" s="33"/>
      <c r="C14" s="33"/>
      <c r="D14" s="33"/>
      <c r="E14" s="33"/>
      <c r="F14" s="33"/>
      <c r="G14" s="33"/>
    </row>
    <row r="15" spans="1:10" x14ac:dyDescent="0.2">
      <c r="A15" s="33"/>
      <c r="B15" s="33"/>
      <c r="C15" s="33"/>
      <c r="D15" s="33"/>
      <c r="E15" s="33"/>
      <c r="F15" s="33"/>
      <c r="G15" s="33"/>
    </row>
    <row r="16" spans="1:10" x14ac:dyDescent="0.2">
      <c r="A16" s="33"/>
      <c r="B16" s="33"/>
      <c r="C16" s="33"/>
      <c r="D16" s="33"/>
      <c r="E16" s="33"/>
      <c r="F16" s="33"/>
      <c r="G16" s="33"/>
    </row>
    <row r="17" spans="1:8" x14ac:dyDescent="0.2">
      <c r="A17" s="2" t="s">
        <v>7</v>
      </c>
      <c r="B17" s="2">
        <v>0.12</v>
      </c>
    </row>
    <row r="18" spans="1:8" x14ac:dyDescent="0.2">
      <c r="A18" s="2" t="s">
        <v>144</v>
      </c>
      <c r="B18" s="2">
        <v>0.08</v>
      </c>
    </row>
    <row r="19" spans="1:8" x14ac:dyDescent="0.2">
      <c r="A19" s="2" t="s">
        <v>143</v>
      </c>
      <c r="B19" s="2">
        <f>B17-B18</f>
        <v>3.9999999999999994E-2</v>
      </c>
    </row>
    <row r="20" spans="1:8" x14ac:dyDescent="0.2">
      <c r="A20" s="2" t="s">
        <v>148</v>
      </c>
      <c r="B20" s="7">
        <f>(B17-B19)/(1+B19)</f>
        <v>7.6923076923076927E-2</v>
      </c>
    </row>
    <row r="21" spans="1:8" x14ac:dyDescent="0.2">
      <c r="A21" s="2" t="s">
        <v>78</v>
      </c>
      <c r="B21" s="2">
        <v>12</v>
      </c>
    </row>
    <row r="23" spans="1:8" x14ac:dyDescent="0.2">
      <c r="A23" s="4" t="s">
        <v>7</v>
      </c>
      <c r="B23" s="5">
        <f>((1+B20/B21)^B21-1)*100</f>
        <v>7.9693902318932475</v>
      </c>
    </row>
    <row r="24" spans="1:8" ht="15" customHeight="1" x14ac:dyDescent="0.2">
      <c r="A24" s="32" t="s">
        <v>153</v>
      </c>
      <c r="B24" s="32"/>
      <c r="C24" s="32"/>
      <c r="D24" s="32"/>
      <c r="E24" s="32"/>
      <c r="F24" s="32"/>
      <c r="G24" s="32"/>
      <c r="H24" s="32"/>
    </row>
    <row r="25" spans="1:8" x14ac:dyDescent="0.2">
      <c r="A25" s="32"/>
      <c r="B25" s="32"/>
      <c r="C25" s="32"/>
      <c r="D25" s="32"/>
      <c r="E25" s="32"/>
      <c r="F25" s="32"/>
      <c r="G25" s="32"/>
      <c r="H25" s="32"/>
    </row>
    <row r="26" spans="1:8" x14ac:dyDescent="0.2">
      <c r="A26" s="32"/>
      <c r="B26" s="32"/>
      <c r="C26" s="32"/>
      <c r="D26" s="32"/>
      <c r="E26" s="32"/>
      <c r="F26" s="32"/>
      <c r="G26" s="32"/>
      <c r="H26" s="32"/>
    </row>
    <row r="27" spans="1:8" x14ac:dyDescent="0.2">
      <c r="A27" s="32"/>
      <c r="B27" s="32"/>
      <c r="C27" s="32"/>
      <c r="D27" s="32"/>
      <c r="E27" s="32"/>
      <c r="F27" s="32"/>
      <c r="G27" s="32"/>
      <c r="H27" s="32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2" t="s">
        <v>7</v>
      </c>
      <c r="B29" s="2">
        <v>0.12</v>
      </c>
    </row>
    <row r="30" spans="1:8" x14ac:dyDescent="0.2">
      <c r="A30" s="2" t="s">
        <v>144</v>
      </c>
      <c r="B30" s="2">
        <v>0.08</v>
      </c>
    </row>
    <row r="31" spans="1:8" x14ac:dyDescent="0.2">
      <c r="A31" s="2" t="s">
        <v>143</v>
      </c>
      <c r="B31" s="2">
        <f>B29-B30</f>
        <v>3.9999999999999994E-2</v>
      </c>
    </row>
    <row r="32" spans="1:8" x14ac:dyDescent="0.2">
      <c r="A32" s="2" t="s">
        <v>148</v>
      </c>
      <c r="B32" s="7">
        <f>(B29-B31)/(1+B31)</f>
        <v>7.6923076923076927E-2</v>
      </c>
    </row>
    <row r="33" spans="1:7" x14ac:dyDescent="0.2">
      <c r="A33" s="2" t="s">
        <v>78</v>
      </c>
      <c r="B33" s="2">
        <v>365</v>
      </c>
    </row>
    <row r="35" spans="1:7" x14ac:dyDescent="0.2">
      <c r="A35" s="4" t="s">
        <v>7</v>
      </c>
      <c r="B35" s="5">
        <f>((1+B32/B33)^B33-1)*100</f>
        <v>7.9950246871542952</v>
      </c>
    </row>
    <row r="36" spans="1:7" x14ac:dyDescent="0.2">
      <c r="A36" s="32" t="s">
        <v>156</v>
      </c>
      <c r="B36" s="33"/>
      <c r="C36" s="33"/>
      <c r="D36" s="33"/>
      <c r="E36" s="33"/>
      <c r="F36" s="33"/>
      <c r="G36" s="33"/>
    </row>
    <row r="37" spans="1:7" x14ac:dyDescent="0.2">
      <c r="A37" s="33"/>
      <c r="B37" s="33"/>
      <c r="C37" s="33"/>
      <c r="D37" s="33"/>
      <c r="E37" s="33"/>
      <c r="F37" s="33"/>
      <c r="G37" s="33"/>
    </row>
    <row r="38" spans="1:7" x14ac:dyDescent="0.2">
      <c r="A38" s="33"/>
      <c r="B38" s="33"/>
      <c r="C38" s="33"/>
      <c r="D38" s="33"/>
      <c r="E38" s="33"/>
      <c r="F38" s="33"/>
      <c r="G38" s="33"/>
    </row>
    <row r="39" spans="1:7" x14ac:dyDescent="0.2">
      <c r="A39" s="33"/>
      <c r="B39" s="33"/>
      <c r="C39" s="33"/>
      <c r="D39" s="33"/>
      <c r="E39" s="33"/>
      <c r="F39" s="33"/>
      <c r="G39" s="33"/>
    </row>
    <row r="40" spans="1:7" x14ac:dyDescent="0.2">
      <c r="A40" s="33"/>
      <c r="B40" s="33"/>
      <c r="C40" s="33"/>
      <c r="D40" s="33"/>
      <c r="E40" s="33"/>
      <c r="F40" s="33"/>
      <c r="G40" s="33"/>
    </row>
    <row r="41" spans="1:7" x14ac:dyDescent="0.2">
      <c r="A41" s="2" t="s">
        <v>7</v>
      </c>
      <c r="B41" s="2">
        <v>0.12</v>
      </c>
    </row>
    <row r="42" spans="1:7" x14ac:dyDescent="0.2">
      <c r="A42" s="2" t="s">
        <v>144</v>
      </c>
      <c r="B42" s="2">
        <v>0.08</v>
      </c>
    </row>
    <row r="43" spans="1:7" x14ac:dyDescent="0.2">
      <c r="A43" s="2" t="s">
        <v>143</v>
      </c>
      <c r="B43" s="2">
        <f>B41-B42</f>
        <v>3.9999999999999994E-2</v>
      </c>
    </row>
    <row r="44" spans="1:7" x14ac:dyDescent="0.2">
      <c r="A44" s="2" t="s">
        <v>148</v>
      </c>
      <c r="B44" s="7">
        <f>(B41-B43)/(1+B43)</f>
        <v>7.6923076923076927E-2</v>
      </c>
    </row>
    <row r="45" spans="1:7" x14ac:dyDescent="0.2">
      <c r="A45" s="2" t="s">
        <v>78</v>
      </c>
      <c r="B45" s="2">
        <v>4</v>
      </c>
    </row>
    <row r="47" spans="1:7" x14ac:dyDescent="0.2">
      <c r="A47" s="4" t="s">
        <v>7</v>
      </c>
      <c r="B47" s="5">
        <f>((1+B44/B45)^B45-1)*100</f>
        <v>7.9170596486467293</v>
      </c>
    </row>
    <row r="48" spans="1:7" x14ac:dyDescent="0.2">
      <c r="A48" s="32" t="s">
        <v>158</v>
      </c>
      <c r="B48" s="33"/>
      <c r="C48" s="33"/>
      <c r="D48" s="33"/>
      <c r="E48" s="33"/>
      <c r="F48" s="33"/>
      <c r="G48" s="33"/>
    </row>
    <row r="49" spans="1:7" x14ac:dyDescent="0.2">
      <c r="A49" s="33"/>
      <c r="B49" s="33"/>
      <c r="C49" s="33"/>
      <c r="D49" s="33"/>
      <c r="E49" s="33"/>
      <c r="F49" s="33"/>
      <c r="G49" s="33"/>
    </row>
    <row r="50" spans="1:7" x14ac:dyDescent="0.2">
      <c r="A50" s="33"/>
      <c r="B50" s="33"/>
      <c r="C50" s="33"/>
      <c r="D50" s="33"/>
      <c r="E50" s="33"/>
      <c r="F50" s="33"/>
      <c r="G50" s="33"/>
    </row>
    <row r="51" spans="1:7" x14ac:dyDescent="0.2">
      <c r="A51" s="33"/>
      <c r="B51" s="33"/>
      <c r="C51" s="33"/>
      <c r="D51" s="33"/>
      <c r="E51" s="33"/>
      <c r="F51" s="33"/>
      <c r="G51" s="33"/>
    </row>
    <row r="52" spans="1:7" x14ac:dyDescent="0.2">
      <c r="A52" s="33"/>
      <c r="B52" s="33"/>
      <c r="C52" s="33"/>
      <c r="D52" s="33"/>
      <c r="E52" s="33"/>
      <c r="F52" s="33"/>
      <c r="G52" s="33"/>
    </row>
    <row r="53" spans="1:7" x14ac:dyDescent="0.2">
      <c r="A53" s="1" t="s">
        <v>7</v>
      </c>
      <c r="B53" s="1">
        <v>0.1</v>
      </c>
    </row>
    <row r="54" spans="1:7" x14ac:dyDescent="0.2">
      <c r="A54" s="1" t="s">
        <v>147</v>
      </c>
      <c r="B54" s="1">
        <v>0.02</v>
      </c>
    </row>
    <row r="55" spans="1:7" x14ac:dyDescent="0.2">
      <c r="A55" s="1" t="s">
        <v>149</v>
      </c>
      <c r="B55" s="1">
        <v>0.03</v>
      </c>
    </row>
    <row r="56" spans="1:7" x14ac:dyDescent="0.2">
      <c r="A56" s="1" t="s">
        <v>2</v>
      </c>
      <c r="B56" s="1">
        <v>760000</v>
      </c>
    </row>
    <row r="57" spans="1:7" x14ac:dyDescent="0.2">
      <c r="A57" s="1" t="s">
        <v>143</v>
      </c>
      <c r="B57" s="15">
        <f>(1+B54)*(1+B55)-1</f>
        <v>5.0599999999999978E-2</v>
      </c>
    </row>
    <row r="58" spans="1:7" x14ac:dyDescent="0.2">
      <c r="A58" s="4" t="s">
        <v>56</v>
      </c>
      <c r="B58" s="5">
        <f>B56*(1+(B53-B57)/(1+B57))</f>
        <v>795735.77003616979</v>
      </c>
    </row>
    <row r="59" spans="1:7" x14ac:dyDescent="0.2">
      <c r="A59" s="32" t="s">
        <v>162</v>
      </c>
      <c r="B59" s="33"/>
      <c r="C59" s="33"/>
      <c r="D59" s="33"/>
      <c r="E59" s="33"/>
      <c r="F59" s="33"/>
      <c r="G59" s="33"/>
    </row>
    <row r="60" spans="1:7" x14ac:dyDescent="0.2">
      <c r="A60" s="33"/>
      <c r="B60" s="33"/>
      <c r="C60" s="33"/>
      <c r="D60" s="33"/>
      <c r="E60" s="33"/>
      <c r="F60" s="33"/>
      <c r="G60" s="33"/>
    </row>
    <row r="61" spans="1:7" x14ac:dyDescent="0.2">
      <c r="A61" s="33"/>
      <c r="B61" s="33"/>
      <c r="C61" s="33"/>
      <c r="D61" s="33"/>
      <c r="E61" s="33"/>
      <c r="F61" s="33"/>
      <c r="G61" s="33"/>
    </row>
    <row r="62" spans="1:7" x14ac:dyDescent="0.2">
      <c r="A62" s="33"/>
      <c r="B62" s="33"/>
      <c r="C62" s="33"/>
      <c r="D62" s="33"/>
      <c r="E62" s="33"/>
      <c r="F62" s="33"/>
      <c r="G62" s="33"/>
    </row>
    <row r="63" spans="1:7" x14ac:dyDescent="0.2">
      <c r="A63" s="33"/>
      <c r="B63" s="33"/>
      <c r="C63" s="33"/>
      <c r="D63" s="33"/>
      <c r="E63" s="33"/>
      <c r="F63" s="33"/>
      <c r="G63" s="33"/>
    </row>
    <row r="64" spans="1:7" x14ac:dyDescent="0.2">
      <c r="A64" s="2" t="s">
        <v>143</v>
      </c>
      <c r="B64" s="2">
        <v>0.7</v>
      </c>
    </row>
    <row r="65" spans="1:7" x14ac:dyDescent="0.2">
      <c r="A65" s="2" t="s">
        <v>90</v>
      </c>
      <c r="B65" s="2">
        <v>0.8</v>
      </c>
      <c r="C65" s="2">
        <f>2+B65</f>
        <v>2.8</v>
      </c>
    </row>
    <row r="66" spans="1:7" x14ac:dyDescent="0.2">
      <c r="A66" s="2" t="s">
        <v>145</v>
      </c>
      <c r="B66" s="2" t="s">
        <v>164</v>
      </c>
    </row>
    <row r="67" spans="1:7" x14ac:dyDescent="0.2">
      <c r="A67" s="2" t="s">
        <v>122</v>
      </c>
      <c r="B67" s="2">
        <f>C65^2-4*1*-B64</f>
        <v>10.639999999999999</v>
      </c>
    </row>
    <row r="68" spans="1:7" x14ac:dyDescent="0.2">
      <c r="A68" s="4" t="s">
        <v>147</v>
      </c>
      <c r="B68" s="16">
        <f>(-C65+SQRT(B67))/2*(1+B65)</f>
        <v>0.41571115745401621</v>
      </c>
    </row>
    <row r="69" spans="1:7" x14ac:dyDescent="0.2">
      <c r="A69" s="32" t="s">
        <v>165</v>
      </c>
      <c r="B69" s="33"/>
      <c r="C69" s="33"/>
      <c r="D69" s="33"/>
      <c r="E69" s="33"/>
      <c r="F69" s="33"/>
      <c r="G69" s="33"/>
    </row>
    <row r="70" spans="1:7" x14ac:dyDescent="0.2">
      <c r="A70" s="33"/>
      <c r="B70" s="33"/>
      <c r="C70" s="33"/>
      <c r="D70" s="33"/>
      <c r="E70" s="33"/>
      <c r="F70" s="33"/>
      <c r="G70" s="33"/>
    </row>
    <row r="71" spans="1:7" x14ac:dyDescent="0.2">
      <c r="A71" s="33"/>
      <c r="B71" s="33"/>
      <c r="C71" s="33"/>
      <c r="D71" s="33"/>
      <c r="E71" s="33"/>
      <c r="F71" s="33"/>
      <c r="G71" s="33"/>
    </row>
    <row r="72" spans="1:7" x14ac:dyDescent="0.2">
      <c r="A72" s="33"/>
      <c r="B72" s="33"/>
      <c r="C72" s="33"/>
      <c r="D72" s="33"/>
      <c r="E72" s="33"/>
      <c r="F72" s="33"/>
      <c r="G72" s="33"/>
    </row>
    <row r="73" spans="1:7" x14ac:dyDescent="0.2">
      <c r="A73" s="33"/>
      <c r="B73" s="33"/>
      <c r="C73" s="33"/>
      <c r="D73" s="33"/>
      <c r="E73" s="33"/>
      <c r="F73" s="33"/>
      <c r="G73" s="33"/>
    </row>
    <row r="74" spans="1:7" x14ac:dyDescent="0.2">
      <c r="A74" s="2" t="s">
        <v>143</v>
      </c>
      <c r="B74" s="2">
        <v>0.9</v>
      </c>
    </row>
    <row r="75" spans="1:7" x14ac:dyDescent="0.2">
      <c r="A75" s="2" t="s">
        <v>90</v>
      </c>
      <c r="B75" s="2">
        <v>0.02</v>
      </c>
      <c r="C75" s="2">
        <f>2+B75</f>
        <v>2.02</v>
      </c>
    </row>
    <row r="76" spans="1:7" x14ac:dyDescent="0.2">
      <c r="A76" s="2" t="s">
        <v>145</v>
      </c>
      <c r="B76" s="2" t="s">
        <v>167</v>
      </c>
    </row>
    <row r="77" spans="1:7" x14ac:dyDescent="0.2">
      <c r="A77" s="2" t="s">
        <v>122</v>
      </c>
      <c r="B77" s="2">
        <f>C75^2-4*1*-B74</f>
        <v>7.6804000000000006</v>
      </c>
      <c r="C77" s="2" t="s">
        <v>147</v>
      </c>
      <c r="D77" s="7">
        <f>(-C75+SQRT(B77))/2*(1+B75)</f>
        <v>0.38319026457663136</v>
      </c>
    </row>
    <row r="78" spans="1:7" x14ac:dyDescent="0.2">
      <c r="A78" s="4" t="s">
        <v>149</v>
      </c>
      <c r="B78" s="17">
        <f>D77*(1+B75)</f>
        <v>0.39085406986816401</v>
      </c>
    </row>
    <row r="79" spans="1:7" x14ac:dyDescent="0.2">
      <c r="A79" s="34" t="s">
        <v>168</v>
      </c>
      <c r="B79" s="35"/>
      <c r="C79" s="35"/>
      <c r="D79" s="35"/>
      <c r="E79" s="35"/>
      <c r="F79" s="35"/>
      <c r="G79" s="35"/>
    </row>
    <row r="80" spans="1:7" x14ac:dyDescent="0.2">
      <c r="A80" s="35"/>
      <c r="B80" s="35"/>
      <c r="C80" s="35"/>
      <c r="D80" s="35"/>
      <c r="E80" s="35"/>
      <c r="F80" s="35"/>
      <c r="G80" s="35"/>
    </row>
    <row r="81" spans="1:7" x14ac:dyDescent="0.2">
      <c r="A81" s="35"/>
      <c r="B81" s="35"/>
      <c r="C81" s="35"/>
      <c r="D81" s="35"/>
      <c r="E81" s="35"/>
      <c r="F81" s="35"/>
      <c r="G81" s="35"/>
    </row>
    <row r="82" spans="1:7" x14ac:dyDescent="0.2">
      <c r="A82" s="35"/>
      <c r="B82" s="35"/>
      <c r="C82" s="35"/>
      <c r="D82" s="35"/>
      <c r="E82" s="35"/>
      <c r="F82" s="35"/>
      <c r="G82" s="35"/>
    </row>
    <row r="83" spans="1:7" x14ac:dyDescent="0.2">
      <c r="A83" s="35"/>
      <c r="B83" s="35"/>
      <c r="C83" s="35"/>
      <c r="D83" s="35"/>
      <c r="E83" s="35"/>
      <c r="F83" s="35"/>
      <c r="G83" s="35"/>
    </row>
    <row r="84" spans="1:7" x14ac:dyDescent="0.2">
      <c r="A84" s="2" t="s">
        <v>143</v>
      </c>
      <c r="B84" s="2">
        <v>0.9</v>
      </c>
    </row>
    <row r="85" spans="1:7" x14ac:dyDescent="0.2">
      <c r="A85" s="2" t="s">
        <v>90</v>
      </c>
      <c r="B85" s="2">
        <v>0.01</v>
      </c>
      <c r="C85" s="2">
        <f>2+B85</f>
        <v>2.0099999999999998</v>
      </c>
    </row>
    <row r="86" spans="1:7" x14ac:dyDescent="0.2">
      <c r="A86" s="2" t="s">
        <v>145</v>
      </c>
      <c r="B86" s="2" t="s">
        <v>170</v>
      </c>
    </row>
    <row r="87" spans="1:7" x14ac:dyDescent="0.2">
      <c r="A87" s="2" t="s">
        <v>122</v>
      </c>
      <c r="B87" s="2">
        <f>C85^2-4*1*-B84</f>
        <v>7.6400999999999986</v>
      </c>
    </row>
    <row r="89" spans="1:7" x14ac:dyDescent="0.2">
      <c r="A89" s="4" t="s">
        <v>147</v>
      </c>
      <c r="B89" s="16">
        <f>(-C85+SQRT(B87))/2*(1+B85)</f>
        <v>0.38080690616911023</v>
      </c>
    </row>
    <row r="90" spans="1:7" ht="15" customHeight="1" x14ac:dyDescent="0.2">
      <c r="A90" s="32" t="s">
        <v>172</v>
      </c>
      <c r="B90" s="33"/>
      <c r="C90" s="33"/>
      <c r="D90" s="33"/>
      <c r="E90" s="33"/>
      <c r="F90" s="33"/>
      <c r="G90" s="33"/>
    </row>
    <row r="91" spans="1:7" x14ac:dyDescent="0.2">
      <c r="A91" s="33"/>
      <c r="B91" s="33"/>
      <c r="C91" s="33"/>
      <c r="D91" s="33"/>
      <c r="E91" s="33"/>
      <c r="F91" s="33"/>
      <c r="G91" s="33"/>
    </row>
    <row r="92" spans="1:7" x14ac:dyDescent="0.2">
      <c r="A92" s="33"/>
      <c r="B92" s="33"/>
      <c r="C92" s="33"/>
      <c r="D92" s="33"/>
      <c r="E92" s="33"/>
      <c r="F92" s="33"/>
      <c r="G92" s="33"/>
    </row>
    <row r="93" spans="1:7" x14ac:dyDescent="0.2">
      <c r="A93" s="33"/>
      <c r="B93" s="33"/>
      <c r="C93" s="33"/>
      <c r="D93" s="33"/>
      <c r="E93" s="33"/>
      <c r="F93" s="33"/>
      <c r="G93" s="33"/>
    </row>
    <row r="94" spans="1:7" x14ac:dyDescent="0.2">
      <c r="A94" s="33"/>
      <c r="B94" s="33"/>
      <c r="C94" s="33"/>
      <c r="D94" s="33"/>
      <c r="E94" s="33"/>
      <c r="F94" s="33"/>
      <c r="G94" s="33"/>
    </row>
    <row r="95" spans="1:7" x14ac:dyDescent="0.2">
      <c r="A95" s="2" t="s">
        <v>143</v>
      </c>
      <c r="B95" s="2">
        <v>0.7</v>
      </c>
    </row>
    <row r="96" spans="1:7" x14ac:dyDescent="0.2">
      <c r="A96" s="2" t="s">
        <v>90</v>
      </c>
      <c r="B96" s="2">
        <v>0.8</v>
      </c>
      <c r="C96" s="2">
        <f>2+B96</f>
        <v>2.8</v>
      </c>
    </row>
    <row r="97" spans="1:10" x14ac:dyDescent="0.2">
      <c r="A97" s="2" t="s">
        <v>145</v>
      </c>
      <c r="B97" s="2" t="s">
        <v>164</v>
      </c>
      <c r="J97" s="15"/>
    </row>
    <row r="98" spans="1:10" x14ac:dyDescent="0.2">
      <c r="A98" s="2" t="s">
        <v>122</v>
      </c>
      <c r="B98" s="2">
        <f>C96^2-4*1*-B95</f>
        <v>10.639999999999999</v>
      </c>
    </row>
    <row r="99" spans="1:10" x14ac:dyDescent="0.2">
      <c r="A99" s="2" t="s">
        <v>147</v>
      </c>
      <c r="B99" s="7">
        <f>(-C96+SQRT(B98))/2*(1+B96)</f>
        <v>0.41571115745401621</v>
      </c>
    </row>
    <row r="100" spans="1:10" x14ac:dyDescent="0.2">
      <c r="A100" s="4" t="s">
        <v>149</v>
      </c>
      <c r="B100" s="16">
        <f>B99*(1+B96)</f>
        <v>0.74828008341722918</v>
      </c>
    </row>
    <row r="101" spans="1:10" x14ac:dyDescent="0.2">
      <c r="A101" s="32" t="s">
        <v>174</v>
      </c>
      <c r="B101" s="33"/>
      <c r="C101" s="33"/>
      <c r="D101" s="33"/>
      <c r="E101" s="33"/>
      <c r="F101" s="33"/>
      <c r="G101" s="33"/>
    </row>
    <row r="102" spans="1:10" ht="15" customHeight="1" x14ac:dyDescent="0.2">
      <c r="A102" s="33"/>
      <c r="B102" s="33"/>
      <c r="C102" s="33"/>
      <c r="D102" s="33"/>
      <c r="E102" s="33"/>
      <c r="F102" s="33"/>
      <c r="G102" s="33"/>
    </row>
    <row r="103" spans="1:10" x14ac:dyDescent="0.2">
      <c r="A103" s="33"/>
      <c r="B103" s="33"/>
      <c r="C103" s="33"/>
      <c r="D103" s="33"/>
      <c r="E103" s="33"/>
      <c r="F103" s="33"/>
      <c r="G103" s="33"/>
    </row>
    <row r="104" spans="1:10" x14ac:dyDescent="0.2">
      <c r="A104" s="33"/>
      <c r="B104" s="33"/>
      <c r="C104" s="33"/>
      <c r="D104" s="33"/>
      <c r="E104" s="33"/>
      <c r="F104" s="33"/>
      <c r="G104" s="33"/>
    </row>
    <row r="105" spans="1:10" x14ac:dyDescent="0.2">
      <c r="A105" s="33"/>
      <c r="B105" s="33"/>
      <c r="C105" s="33"/>
      <c r="D105" s="33"/>
      <c r="E105" s="33"/>
      <c r="F105" s="33"/>
      <c r="G105" s="33"/>
    </row>
    <row r="106" spans="1:10" x14ac:dyDescent="0.2">
      <c r="A106" s="2" t="s">
        <v>143</v>
      </c>
      <c r="B106" s="2">
        <v>0.45</v>
      </c>
    </row>
    <row r="107" spans="1:10" x14ac:dyDescent="0.2">
      <c r="A107" s="2" t="s">
        <v>3</v>
      </c>
      <c r="B107" s="2">
        <v>0.65</v>
      </c>
      <c r="C107" s="1">
        <f>2+B107</f>
        <v>2.65</v>
      </c>
    </row>
    <row r="108" spans="1:10" x14ac:dyDescent="0.2">
      <c r="A108" s="2" t="s">
        <v>145</v>
      </c>
      <c r="B108" s="2" t="s">
        <v>175</v>
      </c>
    </row>
    <row r="109" spans="1:10" x14ac:dyDescent="0.2">
      <c r="A109" s="2" t="s">
        <v>122</v>
      </c>
      <c r="B109" s="2">
        <f>C107^2-4 * 1 * -B106</f>
        <v>8.8224999999999998</v>
      </c>
      <c r="J109" s="15"/>
    </row>
    <row r="111" spans="1:10" x14ac:dyDescent="0.2">
      <c r="A111" s="4" t="s">
        <v>147</v>
      </c>
      <c r="B111" s="5">
        <f>(-C107+SQRT(B109))/2*1.65</f>
        <v>0.26422221214605907</v>
      </c>
    </row>
    <row r="114" spans="1:7" x14ac:dyDescent="0.2">
      <c r="A114" s="32" t="s">
        <v>142</v>
      </c>
      <c r="B114" s="33"/>
      <c r="C114" s="33"/>
      <c r="D114" s="33"/>
      <c r="E114" s="33"/>
      <c r="F114" s="33"/>
      <c r="G114" s="33"/>
    </row>
    <row r="115" spans="1:7" x14ac:dyDescent="0.2">
      <c r="A115" s="33"/>
      <c r="B115" s="33"/>
      <c r="C115" s="33"/>
      <c r="D115" s="33"/>
      <c r="E115" s="33"/>
      <c r="F115" s="33"/>
      <c r="G115" s="33"/>
    </row>
    <row r="116" spans="1:7" x14ac:dyDescent="0.2">
      <c r="A116" s="33"/>
      <c r="B116" s="33"/>
      <c r="C116" s="33"/>
      <c r="D116" s="33"/>
      <c r="E116" s="33"/>
      <c r="F116" s="33"/>
      <c r="G116" s="33"/>
    </row>
    <row r="117" spans="1:7" x14ac:dyDescent="0.2">
      <c r="A117" s="33"/>
      <c r="B117" s="33"/>
      <c r="C117" s="33"/>
      <c r="D117" s="33"/>
      <c r="E117" s="33"/>
      <c r="F117" s="33"/>
      <c r="G117" s="33"/>
    </row>
    <row r="118" spans="1:7" x14ac:dyDescent="0.2">
      <c r="A118" s="33"/>
      <c r="B118" s="33"/>
      <c r="C118" s="33"/>
      <c r="D118" s="33"/>
      <c r="E118" s="33"/>
      <c r="F118" s="33"/>
      <c r="G118" s="33"/>
    </row>
    <row r="119" spans="1:7" x14ac:dyDescent="0.2">
      <c r="A119" s="2" t="s">
        <v>143</v>
      </c>
      <c r="B119" s="2">
        <v>0.5</v>
      </c>
    </row>
    <row r="120" spans="1:7" x14ac:dyDescent="0.2">
      <c r="A120" s="2" t="s">
        <v>3</v>
      </c>
      <c r="B120" s="2">
        <v>1.1299999999999999</v>
      </c>
      <c r="C120" s="1">
        <f>1+B120</f>
        <v>2.13</v>
      </c>
    </row>
    <row r="121" spans="1:7" x14ac:dyDescent="0.2">
      <c r="A121" s="2" t="s">
        <v>145</v>
      </c>
      <c r="B121" s="2" t="s">
        <v>146</v>
      </c>
    </row>
    <row r="122" spans="1:7" x14ac:dyDescent="0.2">
      <c r="A122" s="2" t="s">
        <v>122</v>
      </c>
      <c r="B122" s="2">
        <f>C120^2-4*B120*-(B119-(1-B120))</f>
        <v>7.3844999999999992</v>
      </c>
    </row>
    <row r="123" spans="1:7" x14ac:dyDescent="0.2">
      <c r="A123" s="2" t="s">
        <v>147</v>
      </c>
      <c r="B123" s="9">
        <f>(-C120+SQRT(B122))/2*B120</f>
        <v>0.33190566319338521</v>
      </c>
    </row>
    <row r="124" spans="1:7" x14ac:dyDescent="0.2">
      <c r="A124" s="4" t="s">
        <v>149</v>
      </c>
      <c r="B124" s="16">
        <f>B123*(1+B120)</f>
        <v>0.70695906260191044</v>
      </c>
    </row>
    <row r="125" spans="1:7" x14ac:dyDescent="0.2">
      <c r="A125" s="32" t="s">
        <v>151</v>
      </c>
      <c r="B125" s="33"/>
      <c r="C125" s="33"/>
      <c r="D125" s="33"/>
      <c r="E125" s="33"/>
      <c r="F125" s="33"/>
      <c r="G125" s="33"/>
    </row>
    <row r="126" spans="1:7" x14ac:dyDescent="0.2">
      <c r="A126" s="33"/>
      <c r="B126" s="33"/>
      <c r="C126" s="33"/>
      <c r="D126" s="33"/>
      <c r="E126" s="33"/>
      <c r="F126" s="33"/>
      <c r="G126" s="33"/>
    </row>
    <row r="127" spans="1:7" x14ac:dyDescent="0.2">
      <c r="A127" s="33"/>
      <c r="B127" s="33"/>
      <c r="C127" s="33"/>
      <c r="D127" s="33"/>
      <c r="E127" s="33"/>
      <c r="F127" s="33"/>
      <c r="G127" s="33"/>
    </row>
    <row r="128" spans="1:7" x14ac:dyDescent="0.2">
      <c r="A128" s="33"/>
      <c r="B128" s="33"/>
      <c r="C128" s="33"/>
      <c r="D128" s="33"/>
      <c r="E128" s="33"/>
      <c r="F128" s="33"/>
      <c r="G128" s="33"/>
    </row>
    <row r="129" spans="1:7" x14ac:dyDescent="0.2">
      <c r="A129" s="33"/>
      <c r="B129" s="33"/>
      <c r="C129" s="33"/>
      <c r="D129" s="33"/>
      <c r="E129" s="33"/>
      <c r="F129" s="33"/>
      <c r="G129" s="33"/>
    </row>
    <row r="130" spans="1:7" x14ac:dyDescent="0.2">
      <c r="A130" s="2" t="s">
        <v>143</v>
      </c>
      <c r="B130" s="2">
        <v>0.5</v>
      </c>
    </row>
    <row r="131" spans="1:7" x14ac:dyDescent="0.2">
      <c r="A131" s="2" t="s">
        <v>3</v>
      </c>
      <c r="B131" s="2">
        <v>1.17</v>
      </c>
      <c r="C131" s="1">
        <f>1+B131</f>
        <v>2.17</v>
      </c>
    </row>
    <row r="132" spans="1:7" x14ac:dyDescent="0.2">
      <c r="A132" s="2" t="s">
        <v>145</v>
      </c>
      <c r="B132" s="2" t="s">
        <v>152</v>
      </c>
    </row>
    <row r="133" spans="1:7" x14ac:dyDescent="0.2">
      <c r="A133" s="2" t="s">
        <v>122</v>
      </c>
      <c r="B133" s="2">
        <f>C131^2-4 * B131 * -(B130-(1-B131))</f>
        <v>7.8444999999999991</v>
      </c>
    </row>
    <row r="135" spans="1:7" x14ac:dyDescent="0.2">
      <c r="A135" s="4" t="s">
        <v>147</v>
      </c>
      <c r="B135" s="16">
        <f>(-C131+SQRT(B133))/2*B131</f>
        <v>0.36902002184965232</v>
      </c>
    </row>
    <row r="137" spans="1:7" x14ac:dyDescent="0.2">
      <c r="A137" s="31" t="s">
        <v>154</v>
      </c>
      <c r="B137" s="36"/>
      <c r="C137" s="36"/>
      <c r="D137" s="36"/>
      <c r="E137" s="36"/>
      <c r="F137" s="36"/>
      <c r="G137" s="36"/>
    </row>
    <row r="138" spans="1:7" x14ac:dyDescent="0.2">
      <c r="A138" s="36"/>
      <c r="B138" s="36"/>
      <c r="C138" s="36"/>
      <c r="D138" s="36"/>
      <c r="E138" s="36"/>
      <c r="F138" s="36"/>
      <c r="G138" s="36"/>
    </row>
    <row r="139" spans="1:7" x14ac:dyDescent="0.2">
      <c r="A139" s="36"/>
      <c r="B139" s="36"/>
      <c r="C139" s="36"/>
      <c r="D139" s="36"/>
      <c r="E139" s="36"/>
      <c r="F139" s="36"/>
      <c r="G139" s="36"/>
    </row>
    <row r="140" spans="1:7" x14ac:dyDescent="0.2">
      <c r="A140" s="36"/>
      <c r="B140" s="36"/>
      <c r="C140" s="36"/>
      <c r="D140" s="36"/>
      <c r="E140" s="36"/>
      <c r="F140" s="36"/>
      <c r="G140" s="36"/>
    </row>
    <row r="141" spans="1:7" x14ac:dyDescent="0.2">
      <c r="A141" s="36"/>
      <c r="B141" s="36"/>
      <c r="C141" s="36"/>
      <c r="D141" s="36"/>
      <c r="E141" s="36"/>
      <c r="F141" s="36"/>
      <c r="G141" s="36"/>
    </row>
    <row r="142" spans="1:7" x14ac:dyDescent="0.2">
      <c r="A142" s="2" t="s">
        <v>147</v>
      </c>
      <c r="B142" s="2">
        <v>0.04</v>
      </c>
    </row>
    <row r="144" spans="1:7" x14ac:dyDescent="0.2">
      <c r="A144" s="4" t="s">
        <v>143</v>
      </c>
      <c r="B144" s="5">
        <f>(1+B142)^4-1</f>
        <v>0.16985856000000021</v>
      </c>
    </row>
    <row r="145" spans="1:7" x14ac:dyDescent="0.2">
      <c r="A145" s="31" t="s">
        <v>155</v>
      </c>
      <c r="B145" s="36"/>
      <c r="C145" s="36"/>
      <c r="D145" s="36"/>
      <c r="E145" s="36"/>
      <c r="F145" s="36"/>
      <c r="G145" s="36"/>
    </row>
    <row r="146" spans="1:7" x14ac:dyDescent="0.2">
      <c r="A146" s="36"/>
      <c r="B146" s="36"/>
      <c r="C146" s="36"/>
      <c r="D146" s="36"/>
      <c r="E146" s="36"/>
      <c r="F146" s="36"/>
      <c r="G146" s="36"/>
    </row>
    <row r="147" spans="1:7" x14ac:dyDescent="0.2">
      <c r="A147" s="36"/>
      <c r="B147" s="36"/>
      <c r="C147" s="36"/>
      <c r="D147" s="36"/>
      <c r="E147" s="36"/>
      <c r="F147" s="36"/>
      <c r="G147" s="36"/>
    </row>
    <row r="148" spans="1:7" x14ac:dyDescent="0.2">
      <c r="A148" s="36"/>
      <c r="B148" s="36"/>
      <c r="C148" s="36"/>
      <c r="D148" s="36"/>
      <c r="E148" s="36"/>
      <c r="F148" s="36"/>
      <c r="G148" s="36"/>
    </row>
    <row r="149" spans="1:7" x14ac:dyDescent="0.2">
      <c r="A149" s="36"/>
      <c r="B149" s="36"/>
      <c r="C149" s="36"/>
      <c r="D149" s="36"/>
      <c r="E149" s="36"/>
      <c r="F149" s="36"/>
      <c r="G149" s="36"/>
    </row>
    <row r="150" spans="1:7" x14ac:dyDescent="0.2">
      <c r="A150" s="2" t="s">
        <v>147</v>
      </c>
      <c r="B150" s="2">
        <v>0.02</v>
      </c>
    </row>
    <row r="152" spans="1:7" x14ac:dyDescent="0.2">
      <c r="A152" s="4" t="s">
        <v>143</v>
      </c>
      <c r="B152" s="5">
        <f>(1+B150)^6-1</f>
        <v>0.12616241926400007</v>
      </c>
    </row>
    <row r="153" spans="1:7" x14ac:dyDescent="0.2">
      <c r="A153" s="32" t="s">
        <v>157</v>
      </c>
      <c r="B153" s="33"/>
      <c r="C153" s="33"/>
      <c r="D153" s="33"/>
      <c r="E153" s="33"/>
      <c r="F153" s="33"/>
      <c r="G153" s="33"/>
    </row>
    <row r="154" spans="1:7" x14ac:dyDescent="0.2">
      <c r="A154" s="33"/>
      <c r="B154" s="33"/>
      <c r="C154" s="33"/>
      <c r="D154" s="33"/>
      <c r="E154" s="33"/>
      <c r="F154" s="33"/>
      <c r="G154" s="33"/>
    </row>
    <row r="155" spans="1:7" x14ac:dyDescent="0.2">
      <c r="A155" s="33"/>
      <c r="B155" s="33"/>
      <c r="C155" s="33"/>
      <c r="D155" s="33"/>
      <c r="E155" s="33"/>
      <c r="F155" s="33"/>
      <c r="G155" s="33"/>
    </row>
    <row r="156" spans="1:7" x14ac:dyDescent="0.2">
      <c r="A156" s="33"/>
      <c r="B156" s="33"/>
      <c r="C156" s="33"/>
      <c r="D156" s="33"/>
      <c r="E156" s="33"/>
      <c r="F156" s="33"/>
      <c r="G156" s="33"/>
    </row>
    <row r="157" spans="1:7" x14ac:dyDescent="0.2">
      <c r="A157" s="33"/>
      <c r="B157" s="33"/>
      <c r="C157" s="33"/>
      <c r="D157" s="33"/>
      <c r="E157" s="33"/>
      <c r="F157" s="33"/>
      <c r="G157" s="33"/>
    </row>
    <row r="158" spans="1:7" x14ac:dyDescent="0.2">
      <c r="A158" s="2" t="s">
        <v>147</v>
      </c>
      <c r="B158" s="2">
        <v>0.02</v>
      </c>
    </row>
    <row r="160" spans="1:7" x14ac:dyDescent="0.2">
      <c r="A160" s="4" t="s">
        <v>143</v>
      </c>
      <c r="B160" s="5">
        <f>(1+B158)^12-1</f>
        <v>0.26824179456254527</v>
      </c>
    </row>
    <row r="161" spans="1:7" x14ac:dyDescent="0.2">
      <c r="A161" s="32" t="s">
        <v>159</v>
      </c>
      <c r="B161" s="33"/>
      <c r="C161" s="33"/>
      <c r="D161" s="33"/>
      <c r="E161" s="33"/>
      <c r="F161" s="33"/>
      <c r="G161" s="33"/>
    </row>
    <row r="162" spans="1:7" x14ac:dyDescent="0.2">
      <c r="A162" s="33"/>
      <c r="B162" s="33"/>
      <c r="C162" s="33"/>
      <c r="D162" s="33"/>
      <c r="E162" s="33"/>
      <c r="F162" s="33"/>
      <c r="G162" s="33"/>
    </row>
    <row r="163" spans="1:7" x14ac:dyDescent="0.2">
      <c r="A163" s="33"/>
      <c r="B163" s="33"/>
      <c r="C163" s="33"/>
      <c r="D163" s="33"/>
      <c r="E163" s="33"/>
      <c r="F163" s="33"/>
      <c r="G163" s="33"/>
    </row>
    <row r="164" spans="1:7" x14ac:dyDescent="0.2">
      <c r="A164" s="33"/>
      <c r="B164" s="33"/>
      <c r="C164" s="33"/>
      <c r="D164" s="33"/>
      <c r="E164" s="33"/>
      <c r="F164" s="33"/>
      <c r="G164" s="33"/>
    </row>
    <row r="165" spans="1:7" x14ac:dyDescent="0.2">
      <c r="A165" s="33"/>
      <c r="B165" s="33"/>
      <c r="C165" s="33"/>
      <c r="D165" s="33"/>
      <c r="E165" s="33"/>
      <c r="F165" s="33"/>
      <c r="G165" s="33"/>
    </row>
    <row r="166" spans="1:7" x14ac:dyDescent="0.2">
      <c r="A166" s="2" t="s">
        <v>147</v>
      </c>
      <c r="B166" s="2">
        <v>1.4999999999999999E-2</v>
      </c>
    </row>
    <row r="167" spans="1:7" x14ac:dyDescent="0.2">
      <c r="A167" s="2" t="s">
        <v>143</v>
      </c>
      <c r="B167" s="9">
        <f>(1+B166)^12-1</f>
        <v>0.19561817146153326</v>
      </c>
    </row>
    <row r="168" spans="1:7" x14ac:dyDescent="0.2">
      <c r="A168" s="4" t="s">
        <v>160</v>
      </c>
      <c r="B168" s="17">
        <f>1+B167</f>
        <v>1.1956181714615333</v>
      </c>
    </row>
    <row r="169" spans="1:7" x14ac:dyDescent="0.2">
      <c r="A169" s="32" t="s">
        <v>161</v>
      </c>
      <c r="B169" s="33"/>
      <c r="C169" s="33"/>
      <c r="D169" s="33"/>
      <c r="E169" s="33"/>
      <c r="F169" s="33"/>
      <c r="G169" s="33"/>
    </row>
    <row r="170" spans="1:7" x14ac:dyDescent="0.2">
      <c r="A170" s="33"/>
      <c r="B170" s="33"/>
      <c r="C170" s="33"/>
      <c r="D170" s="33"/>
      <c r="E170" s="33"/>
      <c r="F170" s="33"/>
      <c r="G170" s="33"/>
    </row>
    <row r="171" spans="1:7" x14ac:dyDescent="0.2">
      <c r="A171" s="33"/>
      <c r="B171" s="33"/>
      <c r="C171" s="33"/>
      <c r="D171" s="33"/>
      <c r="E171" s="33"/>
      <c r="F171" s="33"/>
      <c r="G171" s="33"/>
    </row>
    <row r="172" spans="1:7" x14ac:dyDescent="0.2">
      <c r="A172" s="33"/>
      <c r="B172" s="33"/>
      <c r="C172" s="33"/>
      <c r="D172" s="33"/>
      <c r="E172" s="33"/>
      <c r="F172" s="33"/>
      <c r="G172" s="33"/>
    </row>
    <row r="173" spans="1:7" x14ac:dyDescent="0.2">
      <c r="A173" s="33"/>
      <c r="B173" s="33"/>
      <c r="C173" s="33"/>
      <c r="D173" s="33"/>
      <c r="E173" s="33"/>
      <c r="F173" s="33"/>
      <c r="G173" s="33"/>
    </row>
    <row r="174" spans="1:7" x14ac:dyDescent="0.2">
      <c r="A174" s="2" t="s">
        <v>147</v>
      </c>
      <c r="B174" s="2">
        <v>0.01</v>
      </c>
    </row>
    <row r="176" spans="1:7" x14ac:dyDescent="0.2">
      <c r="A176" s="4" t="s">
        <v>143</v>
      </c>
      <c r="B176" s="5">
        <f>(1+B174)^12-1</f>
        <v>0.12682503013196977</v>
      </c>
    </row>
    <row r="177" spans="1:8" x14ac:dyDescent="0.2">
      <c r="A177" s="32" t="s">
        <v>163</v>
      </c>
      <c r="B177" s="33"/>
      <c r="C177" s="33"/>
      <c r="D177" s="33"/>
      <c r="E177" s="33"/>
      <c r="F177" s="33"/>
      <c r="G177" s="33"/>
    </row>
    <row r="178" spans="1:8" x14ac:dyDescent="0.2">
      <c r="A178" s="33"/>
      <c r="B178" s="33"/>
      <c r="C178" s="33"/>
      <c r="D178" s="33"/>
      <c r="E178" s="33"/>
      <c r="F178" s="33"/>
      <c r="G178" s="33"/>
    </row>
    <row r="179" spans="1:8" x14ac:dyDescent="0.2">
      <c r="A179" s="33"/>
      <c r="B179" s="33"/>
      <c r="C179" s="33"/>
      <c r="D179" s="33"/>
      <c r="E179" s="33"/>
      <c r="F179" s="33"/>
      <c r="G179" s="33"/>
    </row>
    <row r="180" spans="1:8" x14ac:dyDescent="0.2">
      <c r="A180" s="33"/>
      <c r="B180" s="33"/>
      <c r="C180" s="33"/>
      <c r="D180" s="33"/>
      <c r="E180" s="33"/>
      <c r="F180" s="33"/>
      <c r="G180" s="33"/>
    </row>
    <row r="181" spans="1:8" x14ac:dyDescent="0.2">
      <c r="A181" s="33"/>
      <c r="B181" s="33"/>
      <c r="C181" s="33"/>
      <c r="D181" s="33"/>
      <c r="E181" s="33"/>
      <c r="F181" s="33"/>
      <c r="G181" s="33"/>
    </row>
    <row r="182" spans="1:8" x14ac:dyDescent="0.2">
      <c r="A182" s="2" t="s">
        <v>147</v>
      </c>
      <c r="B182" s="2">
        <v>0.03</v>
      </c>
    </row>
    <row r="183" spans="1:8" x14ac:dyDescent="0.2">
      <c r="A183" s="2" t="s">
        <v>1</v>
      </c>
      <c r="B183" s="2">
        <v>200000</v>
      </c>
    </row>
    <row r="184" spans="1:8" x14ac:dyDescent="0.2">
      <c r="A184" s="2" t="s">
        <v>143</v>
      </c>
      <c r="B184" s="9">
        <f>(1+B182)^12-1</f>
        <v>0.42576088684617863</v>
      </c>
    </row>
    <row r="185" spans="1:8" x14ac:dyDescent="0.2">
      <c r="A185" s="2" t="s">
        <v>56</v>
      </c>
      <c r="B185" s="2">
        <v>0.15</v>
      </c>
    </row>
    <row r="187" spans="1:8" x14ac:dyDescent="0.2">
      <c r="A187" s="4" t="s">
        <v>1</v>
      </c>
      <c r="B187" s="5">
        <f>B183*(1+(B185-B184)/(1+B184))</f>
        <v>161317.37244438386</v>
      </c>
    </row>
    <row r="188" spans="1:8" x14ac:dyDescent="0.2">
      <c r="A188" s="32" t="s">
        <v>166</v>
      </c>
      <c r="B188" s="32"/>
      <c r="C188" s="32"/>
      <c r="D188" s="32"/>
      <c r="E188" s="32"/>
      <c r="F188" s="32"/>
      <c r="G188" s="32"/>
      <c r="H188" s="32"/>
    </row>
    <row r="189" spans="1:8" x14ac:dyDescent="0.2">
      <c r="A189" s="32"/>
      <c r="B189" s="32"/>
      <c r="C189" s="32"/>
      <c r="D189" s="32"/>
      <c r="E189" s="32"/>
      <c r="F189" s="32"/>
      <c r="G189" s="32"/>
      <c r="H189" s="32"/>
    </row>
    <row r="190" spans="1:8" x14ac:dyDescent="0.2">
      <c r="A190" s="32"/>
      <c r="B190" s="32"/>
      <c r="C190" s="32"/>
      <c r="D190" s="32"/>
      <c r="E190" s="32"/>
      <c r="F190" s="32"/>
      <c r="G190" s="32"/>
      <c r="H190" s="32"/>
    </row>
    <row r="191" spans="1:8" x14ac:dyDescent="0.2">
      <c r="A191" s="32"/>
      <c r="B191" s="32"/>
      <c r="C191" s="32"/>
      <c r="D191" s="32"/>
      <c r="E191" s="32"/>
      <c r="F191" s="32"/>
      <c r="G191" s="32"/>
      <c r="H191" s="32"/>
    </row>
    <row r="192" spans="1:8" x14ac:dyDescent="0.2">
      <c r="A192" s="32"/>
      <c r="B192" s="32"/>
      <c r="C192" s="32"/>
      <c r="D192" s="32"/>
      <c r="E192" s="32"/>
      <c r="F192" s="32"/>
      <c r="G192" s="32"/>
      <c r="H192" s="32"/>
    </row>
    <row r="193" spans="1:8" x14ac:dyDescent="0.2">
      <c r="A193" s="2" t="s">
        <v>143</v>
      </c>
      <c r="B193" s="2">
        <v>0.8</v>
      </c>
    </row>
    <row r="194" spans="1:8" x14ac:dyDescent="0.2">
      <c r="A194" s="2" t="s">
        <v>90</v>
      </c>
      <c r="B194" s="2">
        <v>0.01</v>
      </c>
      <c r="C194" s="2">
        <f>2+B194</f>
        <v>2.0099999999999998</v>
      </c>
    </row>
    <row r="195" spans="1:8" x14ac:dyDescent="0.2">
      <c r="A195" s="2" t="s">
        <v>145</v>
      </c>
      <c r="B195" s="2" t="s">
        <v>169</v>
      </c>
    </row>
    <row r="196" spans="1:8" x14ac:dyDescent="0.2">
      <c r="A196" s="2" t="s">
        <v>122</v>
      </c>
      <c r="B196" s="2">
        <f>C194^2-4*1*-B193</f>
        <v>7.2400999999999991</v>
      </c>
    </row>
    <row r="198" spans="1:8" x14ac:dyDescent="0.2">
      <c r="A198" s="4" t="s">
        <v>147</v>
      </c>
      <c r="B198" s="16">
        <f>(-C194+SQRT(B196))/2*(1+B194)</f>
        <v>0.34377541281063773</v>
      </c>
    </row>
    <row r="199" spans="1:8" x14ac:dyDescent="0.2">
      <c r="A199" s="32" t="s">
        <v>171</v>
      </c>
      <c r="B199" s="32"/>
      <c r="C199" s="32"/>
      <c r="D199" s="32"/>
      <c r="E199" s="32"/>
      <c r="F199" s="32"/>
      <c r="G199" s="32"/>
      <c r="H199" s="32"/>
    </row>
    <row r="200" spans="1:8" x14ac:dyDescent="0.2">
      <c r="A200" s="32"/>
      <c r="B200" s="32"/>
      <c r="C200" s="32"/>
      <c r="D200" s="32"/>
      <c r="E200" s="32"/>
      <c r="F200" s="32"/>
      <c r="G200" s="32"/>
      <c r="H200" s="32"/>
    </row>
    <row r="201" spans="1:8" x14ac:dyDescent="0.2">
      <c r="A201" s="32"/>
      <c r="B201" s="32"/>
      <c r="C201" s="32"/>
      <c r="D201" s="32"/>
      <c r="E201" s="32"/>
      <c r="F201" s="32"/>
      <c r="G201" s="32"/>
      <c r="H201" s="32"/>
    </row>
    <row r="202" spans="1:8" x14ac:dyDescent="0.2">
      <c r="A202" s="32"/>
      <c r="B202" s="32"/>
      <c r="C202" s="32"/>
      <c r="D202" s="32"/>
      <c r="E202" s="32"/>
      <c r="F202" s="32"/>
      <c r="G202" s="32"/>
      <c r="H202" s="32"/>
    </row>
    <row r="203" spans="1:8" x14ac:dyDescent="0.2">
      <c r="A203" s="32"/>
      <c r="B203" s="32"/>
      <c r="C203" s="32"/>
      <c r="D203" s="32"/>
      <c r="E203" s="32"/>
      <c r="F203" s="32"/>
      <c r="G203" s="32"/>
      <c r="H203" s="32"/>
    </row>
    <row r="204" spans="1:8" x14ac:dyDescent="0.2">
      <c r="A204" s="2" t="s">
        <v>143</v>
      </c>
      <c r="B204" s="2">
        <v>0.8</v>
      </c>
    </row>
    <row r="205" spans="1:8" x14ac:dyDescent="0.2">
      <c r="A205" s="2" t="s">
        <v>90</v>
      </c>
      <c r="B205" s="2">
        <v>0.1</v>
      </c>
      <c r="C205" s="2">
        <f>2+B205</f>
        <v>2.1</v>
      </c>
    </row>
    <row r="206" spans="1:8" x14ac:dyDescent="0.2">
      <c r="A206" s="2" t="s">
        <v>145</v>
      </c>
      <c r="B206" s="2" t="s">
        <v>173</v>
      </c>
    </row>
    <row r="207" spans="1:8" x14ac:dyDescent="0.2">
      <c r="A207" s="2" t="s">
        <v>122</v>
      </c>
      <c r="B207" s="2">
        <f>C205^2-4*1*-B204</f>
        <v>7.61</v>
      </c>
      <c r="C207" s="2" t="s">
        <v>147</v>
      </c>
      <c r="D207" s="7">
        <f>(-C205+SQRT(B207))/2*(1+B205)</f>
        <v>0.36224256465470944</v>
      </c>
    </row>
    <row r="208" spans="1:8" x14ac:dyDescent="0.2">
      <c r="A208" s="4" t="s">
        <v>149</v>
      </c>
      <c r="B208" s="17">
        <f>D207*(1+B205)</f>
        <v>0.39846682112018039</v>
      </c>
    </row>
  </sheetData>
  <mergeCells count="20">
    <mergeCell ref="A199:H203"/>
    <mergeCell ref="A90:G94"/>
    <mergeCell ref="A145:G149"/>
    <mergeCell ref="A36:G40"/>
    <mergeCell ref="A153:G157"/>
    <mergeCell ref="A48:G52"/>
    <mergeCell ref="A161:G165"/>
    <mergeCell ref="A169:G173"/>
    <mergeCell ref="A59:G63"/>
    <mergeCell ref="A137:G141"/>
    <mergeCell ref="A101:G105"/>
    <mergeCell ref="A177:G181"/>
    <mergeCell ref="A69:G73"/>
    <mergeCell ref="A188:H192"/>
    <mergeCell ref="A79:G83"/>
    <mergeCell ref="A1:G5"/>
    <mergeCell ref="A114:G118"/>
    <mergeCell ref="A12:G16"/>
    <mergeCell ref="A125:G129"/>
    <mergeCell ref="A24:H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1C35-5222-2841-81D3-6ECF96591814}">
  <dimension ref="A1:I226"/>
  <sheetViews>
    <sheetView topLeftCell="A12" workbookViewId="0">
      <selection activeCell="B34" sqref="B34"/>
    </sheetView>
  </sheetViews>
  <sheetFormatPr baseColWidth="10" defaultColWidth="8.83203125" defaultRowHeight="16" x14ac:dyDescent="0.2"/>
  <cols>
    <col min="1" max="2" width="9" style="1" bestFit="1" customWidth="1"/>
    <col min="3" max="3" width="8.83203125" style="1"/>
    <col min="4" max="4" width="9" style="1" bestFit="1" customWidth="1"/>
    <col min="5" max="5" width="9.1640625" style="1" bestFit="1" customWidth="1"/>
    <col min="6" max="16384" width="8.83203125" style="1"/>
  </cols>
  <sheetData>
    <row r="1" spans="1:7" x14ac:dyDescent="0.2">
      <c r="A1" s="31" t="s">
        <v>176</v>
      </c>
      <c r="B1" s="31"/>
      <c r="C1" s="31"/>
      <c r="D1" s="31"/>
      <c r="E1" s="31"/>
      <c r="F1" s="31"/>
      <c r="G1" s="31"/>
    </row>
    <row r="2" spans="1:7" x14ac:dyDescent="0.2">
      <c r="A2" s="31"/>
      <c r="B2" s="31"/>
      <c r="C2" s="31"/>
      <c r="D2" s="31"/>
      <c r="E2" s="31"/>
      <c r="F2" s="31"/>
      <c r="G2" s="31"/>
    </row>
    <row r="3" spans="1:7" x14ac:dyDescent="0.2">
      <c r="A3" s="31"/>
      <c r="B3" s="31"/>
      <c r="C3" s="31"/>
      <c r="D3" s="31"/>
      <c r="E3" s="31"/>
      <c r="F3" s="31"/>
      <c r="G3" s="31"/>
    </row>
    <row r="4" spans="1:7" x14ac:dyDescent="0.2">
      <c r="A4" s="31"/>
      <c r="B4" s="31"/>
      <c r="C4" s="31"/>
      <c r="D4" s="31"/>
      <c r="E4" s="31"/>
      <c r="F4" s="31"/>
      <c r="G4" s="31"/>
    </row>
    <row r="5" spans="1:7" x14ac:dyDescent="0.2">
      <c r="A5" s="31"/>
      <c r="B5" s="31"/>
      <c r="C5" s="31"/>
      <c r="D5" s="31"/>
      <c r="E5" s="31"/>
      <c r="F5" s="31"/>
      <c r="G5" s="31"/>
    </row>
    <row r="6" spans="1:7" x14ac:dyDescent="0.2">
      <c r="A6" s="2">
        <v>0</v>
      </c>
      <c r="B6" s="2">
        <v>-3500</v>
      </c>
    </row>
    <row r="7" spans="1:7" x14ac:dyDescent="0.2">
      <c r="A7" s="2">
        <v>1</v>
      </c>
      <c r="B7" s="2">
        <v>3000</v>
      </c>
      <c r="D7" s="1" t="s">
        <v>122</v>
      </c>
      <c r="E7" s="1">
        <f>B7^2-4*B8*B6</f>
        <v>58000000</v>
      </c>
    </row>
    <row r="8" spans="1:7" x14ac:dyDescent="0.2">
      <c r="A8" s="2">
        <v>2</v>
      </c>
      <c r="B8" s="2">
        <v>3500</v>
      </c>
      <c r="D8" s="1" t="s">
        <v>119</v>
      </c>
      <c r="E8" s="18">
        <f>(-B7+SQRT(E7))/(2*B8)</f>
        <v>0.65939615798055828</v>
      </c>
    </row>
    <row r="9" spans="1:7" x14ac:dyDescent="0.2">
      <c r="A9" s="2" t="s">
        <v>178</v>
      </c>
      <c r="B9" s="2"/>
      <c r="D9" s="1" t="s">
        <v>120</v>
      </c>
      <c r="E9" s="1">
        <f>(-B7-SQRT(E7))/(2*B8)</f>
        <v>-1.5165390151234153</v>
      </c>
    </row>
    <row r="11" spans="1:7" x14ac:dyDescent="0.2">
      <c r="A11" s="4" t="s">
        <v>7</v>
      </c>
      <c r="B11" s="6">
        <f>E8^-1 - 1</f>
        <v>0.51653901512341549</v>
      </c>
    </row>
    <row r="12" spans="1:7" x14ac:dyDescent="0.2">
      <c r="A12" s="32" t="s">
        <v>180</v>
      </c>
      <c r="B12" s="33"/>
      <c r="C12" s="33"/>
      <c r="D12" s="33"/>
      <c r="E12" s="33"/>
      <c r="F12" s="33"/>
      <c r="G12" s="33"/>
    </row>
    <row r="13" spans="1:7" x14ac:dyDescent="0.2">
      <c r="A13" s="33"/>
      <c r="B13" s="33"/>
      <c r="C13" s="33"/>
      <c r="D13" s="33"/>
      <c r="E13" s="33"/>
      <c r="F13" s="33"/>
      <c r="G13" s="33"/>
    </row>
    <row r="14" spans="1:7" x14ac:dyDescent="0.2">
      <c r="A14" s="33"/>
      <c r="B14" s="33"/>
      <c r="C14" s="33"/>
      <c r="D14" s="33"/>
      <c r="E14" s="33"/>
      <c r="F14" s="33"/>
      <c r="G14" s="33"/>
    </row>
    <row r="15" spans="1:7" x14ac:dyDescent="0.2">
      <c r="A15" s="33"/>
      <c r="B15" s="33"/>
      <c r="C15" s="33"/>
      <c r="D15" s="33"/>
      <c r="E15" s="33"/>
      <c r="F15" s="33"/>
      <c r="G15" s="33"/>
    </row>
    <row r="16" spans="1:7" x14ac:dyDescent="0.2">
      <c r="A16" s="33"/>
      <c r="B16" s="33"/>
      <c r="C16" s="33"/>
      <c r="D16" s="33"/>
      <c r="E16" s="33"/>
      <c r="F16" s="33"/>
      <c r="G16" s="33"/>
    </row>
    <row r="17" spans="1:9" x14ac:dyDescent="0.2">
      <c r="A17" s="2">
        <v>0</v>
      </c>
      <c r="B17" s="2">
        <v>-600</v>
      </c>
    </row>
    <row r="18" spans="1:9" x14ac:dyDescent="0.2">
      <c r="A18" s="2">
        <v>1</v>
      </c>
      <c r="B18" s="2">
        <v>400</v>
      </c>
      <c r="D18" s="1" t="s">
        <v>122</v>
      </c>
      <c r="E18" s="1">
        <f>B18^2-4*B19*B17</f>
        <v>880000</v>
      </c>
    </row>
    <row r="19" spans="1:9" x14ac:dyDescent="0.2">
      <c r="A19" s="2">
        <v>2</v>
      </c>
      <c r="B19" s="2">
        <v>300</v>
      </c>
      <c r="D19" s="1" t="s">
        <v>119</v>
      </c>
      <c r="E19" s="18">
        <f>(-B18+SQRT(E18))/(2*B19)</f>
        <v>0.89680525327447658</v>
      </c>
    </row>
    <row r="20" spans="1:9" x14ac:dyDescent="0.2">
      <c r="A20" s="2" t="s">
        <v>178</v>
      </c>
      <c r="B20" s="2"/>
      <c r="D20" s="1" t="s">
        <v>120</v>
      </c>
      <c r="E20" s="1">
        <f>(-B18-SQRT(E18))/(2*B19)</f>
        <v>-2.2301385866078096</v>
      </c>
    </row>
    <row r="22" spans="1:9" x14ac:dyDescent="0.2">
      <c r="A22" s="4" t="s">
        <v>7</v>
      </c>
      <c r="B22" s="5">
        <f>E19^-1 - 1</f>
        <v>0.11506929330390481</v>
      </c>
    </row>
    <row r="24" spans="1:9" x14ac:dyDescent="0.2">
      <c r="A24" s="32" t="s">
        <v>182</v>
      </c>
      <c r="B24" s="33"/>
      <c r="C24" s="33"/>
      <c r="D24" s="33"/>
      <c r="E24" s="33"/>
      <c r="F24" s="33"/>
      <c r="G24" s="33"/>
      <c r="I24"/>
    </row>
    <row r="25" spans="1:9" x14ac:dyDescent="0.2">
      <c r="A25" s="33"/>
      <c r="B25" s="33"/>
      <c r="C25" s="33"/>
      <c r="D25" s="33"/>
      <c r="E25" s="33"/>
      <c r="F25" s="33"/>
      <c r="G25" s="33"/>
    </row>
    <row r="26" spans="1:9" x14ac:dyDescent="0.2">
      <c r="A26" s="33"/>
      <c r="B26" s="33"/>
      <c r="C26" s="33"/>
      <c r="D26" s="33"/>
      <c r="E26" s="33"/>
      <c r="F26" s="33"/>
      <c r="G26" s="33"/>
    </row>
    <row r="27" spans="1:9" x14ac:dyDescent="0.2">
      <c r="A27" s="33"/>
      <c r="B27" s="33"/>
      <c r="C27" s="33"/>
      <c r="D27" s="33"/>
      <c r="E27" s="33"/>
      <c r="F27" s="33"/>
      <c r="G27" s="33"/>
    </row>
    <row r="28" spans="1:9" x14ac:dyDescent="0.2">
      <c r="A28" s="33"/>
      <c r="B28" s="33"/>
      <c r="C28" s="33"/>
      <c r="D28" s="33"/>
      <c r="E28" s="33"/>
      <c r="F28" s="33"/>
      <c r="G28" s="33"/>
    </row>
    <row r="29" spans="1:9" x14ac:dyDescent="0.2">
      <c r="A29" s="2">
        <v>0</v>
      </c>
      <c r="B29" s="2">
        <v>500</v>
      </c>
    </row>
    <row r="30" spans="1:9" x14ac:dyDescent="0.2">
      <c r="A30" s="2">
        <v>1</v>
      </c>
      <c r="B30" s="2">
        <v>200</v>
      </c>
    </row>
    <row r="31" spans="1:9" x14ac:dyDescent="0.2">
      <c r="A31" s="2">
        <v>2</v>
      </c>
      <c r="B31" s="2">
        <v>400</v>
      </c>
    </row>
    <row r="32" spans="1:9" x14ac:dyDescent="0.2">
      <c r="A32" s="2">
        <v>3</v>
      </c>
      <c r="B32" s="2">
        <v>200</v>
      </c>
    </row>
    <row r="34" spans="1:7" x14ac:dyDescent="0.2">
      <c r="A34" s="4" t="s">
        <v>3</v>
      </c>
      <c r="B34" s="5">
        <f>(A29*B29+A30*B30+A31*B31+A32*B32)/(B29+B30+B31+B32)</f>
        <v>1.2307692307692308</v>
      </c>
    </row>
    <row r="35" spans="1:7" x14ac:dyDescent="0.2">
      <c r="A35" s="32" t="s">
        <v>184</v>
      </c>
      <c r="B35" s="33"/>
      <c r="C35" s="33"/>
      <c r="D35" s="33"/>
      <c r="E35" s="33"/>
      <c r="F35" s="33"/>
      <c r="G35" s="33"/>
    </row>
    <row r="36" spans="1:7" x14ac:dyDescent="0.2">
      <c r="A36" s="33"/>
      <c r="B36" s="33"/>
      <c r="C36" s="33"/>
      <c r="D36" s="33"/>
      <c r="E36" s="33"/>
      <c r="F36" s="33"/>
      <c r="G36" s="33"/>
    </row>
    <row r="37" spans="1:7" x14ac:dyDescent="0.2">
      <c r="A37" s="33"/>
      <c r="B37" s="33"/>
      <c r="C37" s="33"/>
      <c r="D37" s="33"/>
      <c r="E37" s="33"/>
      <c r="F37" s="33"/>
      <c r="G37" s="33"/>
    </row>
    <row r="38" spans="1:7" x14ac:dyDescent="0.2">
      <c r="A38" s="33"/>
      <c r="B38" s="33"/>
      <c r="C38" s="33"/>
      <c r="D38" s="33"/>
      <c r="E38" s="33"/>
      <c r="F38" s="33"/>
      <c r="G38" s="33"/>
    </row>
    <row r="39" spans="1:7" x14ac:dyDescent="0.2">
      <c r="A39" s="33"/>
      <c r="B39" s="33"/>
      <c r="C39" s="33"/>
      <c r="D39" s="33"/>
      <c r="E39" s="33"/>
      <c r="F39" s="33"/>
      <c r="G39" s="33"/>
    </row>
    <row r="40" spans="1:7" x14ac:dyDescent="0.2">
      <c r="A40" s="2">
        <v>0</v>
      </c>
      <c r="B40" s="2">
        <v>600</v>
      </c>
    </row>
    <row r="41" spans="1:7" x14ac:dyDescent="0.2">
      <c r="A41" s="2">
        <v>1</v>
      </c>
      <c r="B41" s="2">
        <v>250</v>
      </c>
    </row>
    <row r="42" spans="1:7" x14ac:dyDescent="0.2">
      <c r="A42" s="2">
        <v>2</v>
      </c>
      <c r="B42" s="2">
        <v>550</v>
      </c>
    </row>
    <row r="43" spans="1:7" x14ac:dyDescent="0.2">
      <c r="A43" s="2">
        <v>3</v>
      </c>
      <c r="B43" s="2">
        <v>150</v>
      </c>
    </row>
    <row r="45" spans="1:7" x14ac:dyDescent="0.2">
      <c r="A45" s="4" t="s">
        <v>3</v>
      </c>
      <c r="B45" s="5">
        <f>(A40*B40+A41*B41+A42*B42+A43*B43)/(B40+B41+B42+B43)</f>
        <v>1.1612903225806452</v>
      </c>
    </row>
    <row r="46" spans="1:7" x14ac:dyDescent="0.2">
      <c r="A46" s="32" t="s">
        <v>187</v>
      </c>
      <c r="B46" s="33"/>
      <c r="C46" s="33"/>
      <c r="D46" s="33"/>
      <c r="E46" s="33"/>
      <c r="F46" s="33"/>
      <c r="G46" s="33"/>
    </row>
    <row r="47" spans="1:7" x14ac:dyDescent="0.2">
      <c r="A47" s="33"/>
      <c r="B47" s="33"/>
      <c r="C47" s="33"/>
      <c r="D47" s="33"/>
      <c r="E47" s="33"/>
      <c r="F47" s="33"/>
      <c r="G47" s="33"/>
    </row>
    <row r="48" spans="1:7" x14ac:dyDescent="0.2">
      <c r="A48" s="33"/>
      <c r="B48" s="33"/>
      <c r="C48" s="33"/>
      <c r="D48" s="33"/>
      <c r="E48" s="33"/>
      <c r="F48" s="33"/>
      <c r="G48" s="33"/>
    </row>
    <row r="49" spans="1:7" x14ac:dyDescent="0.2">
      <c r="A49" s="33"/>
      <c r="B49" s="33"/>
      <c r="C49" s="33"/>
      <c r="D49" s="33"/>
      <c r="E49" s="33"/>
      <c r="F49" s="33"/>
      <c r="G49" s="33"/>
    </row>
    <row r="50" spans="1:7" x14ac:dyDescent="0.2">
      <c r="A50" s="33"/>
      <c r="B50" s="33"/>
      <c r="C50" s="33"/>
      <c r="D50" s="33"/>
      <c r="E50" s="33"/>
      <c r="F50" s="33"/>
      <c r="G50" s="33"/>
    </row>
    <row r="51" spans="1:7" x14ac:dyDescent="0.2">
      <c r="A51" s="2">
        <v>1</v>
      </c>
      <c r="B51" s="2">
        <v>200</v>
      </c>
    </row>
    <row r="52" spans="1:7" x14ac:dyDescent="0.2">
      <c r="A52" s="2">
        <v>2</v>
      </c>
      <c r="B52" s="2">
        <v>300</v>
      </c>
    </row>
    <row r="53" spans="1:7" x14ac:dyDescent="0.2">
      <c r="A53" s="2">
        <v>3</v>
      </c>
      <c r="B53" s="2">
        <v>200</v>
      </c>
    </row>
    <row r="54" spans="1:7" x14ac:dyDescent="0.2">
      <c r="A54" s="2" t="s">
        <v>56</v>
      </c>
      <c r="B54" s="2">
        <v>0.1</v>
      </c>
    </row>
    <row r="56" spans="1:7" x14ac:dyDescent="0.2">
      <c r="A56" s="4" t="s">
        <v>179</v>
      </c>
      <c r="B56" s="5">
        <f>(B51/(1+B54)^A51)+(B52/(1+B54)^A52)+(B53/(1+B54)^A53)</f>
        <v>580.01502629601794</v>
      </c>
    </row>
    <row r="57" spans="1:7" x14ac:dyDescent="0.2">
      <c r="A57" s="32" t="s">
        <v>189</v>
      </c>
      <c r="B57" s="33"/>
      <c r="C57" s="33"/>
      <c r="D57" s="33"/>
      <c r="E57" s="33"/>
      <c r="F57" s="33"/>
      <c r="G57" s="33"/>
    </row>
    <row r="58" spans="1:7" x14ac:dyDescent="0.2">
      <c r="A58" s="33"/>
      <c r="B58" s="33"/>
      <c r="C58" s="33"/>
      <c r="D58" s="33"/>
      <c r="E58" s="33"/>
      <c r="F58" s="33"/>
      <c r="G58" s="33"/>
    </row>
    <row r="59" spans="1:7" x14ac:dyDescent="0.2">
      <c r="A59" s="33"/>
      <c r="B59" s="33"/>
      <c r="C59" s="33"/>
      <c r="D59" s="33"/>
      <c r="E59" s="33"/>
      <c r="F59" s="33"/>
      <c r="G59" s="33"/>
    </row>
    <row r="60" spans="1:7" x14ac:dyDescent="0.2">
      <c r="A60" s="33"/>
      <c r="B60" s="33"/>
      <c r="C60" s="33"/>
      <c r="D60" s="33"/>
      <c r="E60" s="33"/>
      <c r="F60" s="33"/>
      <c r="G60" s="33"/>
    </row>
    <row r="61" spans="1:7" x14ac:dyDescent="0.2">
      <c r="A61" s="33"/>
      <c r="B61" s="33"/>
      <c r="C61" s="33"/>
      <c r="D61" s="33"/>
      <c r="E61" s="33"/>
      <c r="F61" s="33"/>
      <c r="G61" s="33"/>
    </row>
    <row r="62" spans="1:7" x14ac:dyDescent="0.2">
      <c r="A62" s="2">
        <v>1</v>
      </c>
      <c r="B62" s="2">
        <v>300</v>
      </c>
    </row>
    <row r="63" spans="1:7" x14ac:dyDescent="0.2">
      <c r="A63" s="2">
        <v>2</v>
      </c>
      <c r="B63" s="2">
        <v>300</v>
      </c>
    </row>
    <row r="64" spans="1:7" x14ac:dyDescent="0.2">
      <c r="A64" s="2">
        <v>3</v>
      </c>
      <c r="B64" s="2">
        <v>100</v>
      </c>
    </row>
    <row r="65" spans="1:7" x14ac:dyDescent="0.2">
      <c r="A65" s="2" t="s">
        <v>56</v>
      </c>
      <c r="B65" s="2">
        <v>0.12</v>
      </c>
    </row>
    <row r="67" spans="1:7" x14ac:dyDescent="0.2">
      <c r="A67" s="4" t="s">
        <v>179</v>
      </c>
      <c r="B67" s="5">
        <f>(B62/(1+B65)^A62)+(B63/(1+B65)^A63)+(B64/(1+B65)^A64)</f>
        <v>578.19333090378996</v>
      </c>
    </row>
    <row r="68" spans="1:7" x14ac:dyDescent="0.2">
      <c r="A68" s="32" t="s">
        <v>191</v>
      </c>
      <c r="B68" s="33"/>
      <c r="C68" s="33"/>
      <c r="D68" s="33"/>
      <c r="E68" s="33"/>
      <c r="F68" s="33"/>
      <c r="G68" s="33"/>
    </row>
    <row r="69" spans="1:7" x14ac:dyDescent="0.2">
      <c r="A69" s="33"/>
      <c r="B69" s="33"/>
      <c r="C69" s="33"/>
      <c r="D69" s="33"/>
      <c r="E69" s="33"/>
      <c r="F69" s="33"/>
      <c r="G69" s="33"/>
    </row>
    <row r="70" spans="1:7" x14ac:dyDescent="0.2">
      <c r="A70" s="33"/>
      <c r="B70" s="33"/>
      <c r="C70" s="33"/>
      <c r="D70" s="33"/>
      <c r="E70" s="33"/>
      <c r="F70" s="33"/>
      <c r="G70" s="33"/>
    </row>
    <row r="71" spans="1:7" x14ac:dyDescent="0.2">
      <c r="A71" s="33"/>
      <c r="B71" s="33"/>
      <c r="C71" s="33"/>
      <c r="D71" s="33"/>
      <c r="E71" s="33"/>
      <c r="F71" s="33"/>
      <c r="G71" s="33"/>
    </row>
    <row r="72" spans="1:7" x14ac:dyDescent="0.2">
      <c r="A72" s="33"/>
      <c r="B72" s="33"/>
      <c r="C72" s="33"/>
      <c r="D72" s="33"/>
      <c r="E72" s="33"/>
      <c r="F72" s="33"/>
      <c r="G72" s="33"/>
    </row>
    <row r="73" spans="1:7" x14ac:dyDescent="0.2">
      <c r="A73" s="2">
        <v>1</v>
      </c>
      <c r="B73" s="2">
        <v>200</v>
      </c>
    </row>
    <row r="74" spans="1:7" x14ac:dyDescent="0.2">
      <c r="A74" s="2">
        <v>2</v>
      </c>
      <c r="B74" s="2">
        <v>300</v>
      </c>
    </row>
    <row r="75" spans="1:7" x14ac:dyDescent="0.2">
      <c r="A75" s="2">
        <v>3</v>
      </c>
      <c r="B75" s="2">
        <v>400</v>
      </c>
    </row>
    <row r="76" spans="1:7" x14ac:dyDescent="0.2">
      <c r="A76" s="2" t="s">
        <v>56</v>
      </c>
      <c r="B76" s="2">
        <v>0.11</v>
      </c>
    </row>
    <row r="78" spans="1:7" x14ac:dyDescent="0.2">
      <c r="A78" s="4" t="s">
        <v>1</v>
      </c>
      <c r="B78" s="5">
        <f>(B73*(1+B76)^A75)+(B74*(1+B76)^A74)+(B75*(1+B76)^A73)</f>
        <v>1087.1562000000001</v>
      </c>
    </row>
    <row r="79" spans="1:7" x14ac:dyDescent="0.2">
      <c r="A79" s="34" t="s">
        <v>193</v>
      </c>
      <c r="B79" s="35"/>
      <c r="C79" s="35"/>
      <c r="D79" s="35"/>
      <c r="E79" s="35"/>
      <c r="F79" s="35"/>
      <c r="G79" s="35"/>
    </row>
    <row r="80" spans="1:7" x14ac:dyDescent="0.2">
      <c r="A80" s="35"/>
      <c r="B80" s="35"/>
      <c r="C80" s="35"/>
      <c r="D80" s="35"/>
      <c r="E80" s="35"/>
      <c r="F80" s="35"/>
      <c r="G80" s="35"/>
    </row>
    <row r="81" spans="1:7" x14ac:dyDescent="0.2">
      <c r="A81" s="35"/>
      <c r="B81" s="35"/>
      <c r="C81" s="35"/>
      <c r="D81" s="35"/>
      <c r="E81" s="35"/>
      <c r="F81" s="35"/>
      <c r="G81" s="35"/>
    </row>
    <row r="82" spans="1:7" x14ac:dyDescent="0.2">
      <c r="A82" s="35"/>
      <c r="B82" s="35"/>
      <c r="C82" s="35"/>
      <c r="D82" s="35"/>
      <c r="E82" s="35"/>
      <c r="F82" s="35"/>
      <c r="G82" s="35"/>
    </row>
    <row r="83" spans="1:7" x14ac:dyDescent="0.2">
      <c r="A83" s="35"/>
      <c r="B83" s="35"/>
      <c r="C83" s="35"/>
      <c r="D83" s="35"/>
      <c r="E83" s="35"/>
      <c r="F83" s="35"/>
      <c r="G83" s="35"/>
    </row>
    <row r="84" spans="1:7" x14ac:dyDescent="0.2">
      <c r="A84" s="2">
        <v>1</v>
      </c>
      <c r="B84" s="2">
        <v>200</v>
      </c>
    </row>
    <row r="85" spans="1:7" x14ac:dyDescent="0.2">
      <c r="A85" s="2">
        <v>2</v>
      </c>
      <c r="B85" s="2">
        <v>300</v>
      </c>
    </row>
    <row r="86" spans="1:7" x14ac:dyDescent="0.2">
      <c r="A86" s="2">
        <v>3</v>
      </c>
      <c r="B86" s="2">
        <v>100</v>
      </c>
    </row>
    <row r="87" spans="1:7" x14ac:dyDescent="0.2">
      <c r="A87" s="2" t="s">
        <v>56</v>
      </c>
      <c r="B87" s="2">
        <v>0.12</v>
      </c>
    </row>
    <row r="89" spans="1:7" x14ac:dyDescent="0.2">
      <c r="A89" s="4" t="s">
        <v>1</v>
      </c>
      <c r="B89" s="5">
        <f>(B84*(1+B87)^A86)+(B85*(1+B87)^A85)+(B86*(1+B87)^A84)</f>
        <v>769.30560000000014</v>
      </c>
    </row>
    <row r="90" spans="1:7" x14ac:dyDescent="0.2">
      <c r="A90" s="32" t="s">
        <v>195</v>
      </c>
      <c r="B90" s="33"/>
      <c r="C90" s="33"/>
      <c r="D90" s="33"/>
      <c r="E90" s="33"/>
      <c r="F90" s="33"/>
      <c r="G90" s="33"/>
    </row>
    <row r="91" spans="1:7" x14ac:dyDescent="0.2">
      <c r="A91" s="33"/>
      <c r="B91" s="33"/>
      <c r="C91" s="33"/>
      <c r="D91" s="33"/>
      <c r="E91" s="33"/>
      <c r="F91" s="33"/>
      <c r="G91" s="33"/>
    </row>
    <row r="92" spans="1:7" x14ac:dyDescent="0.2">
      <c r="A92" s="33"/>
      <c r="B92" s="33"/>
      <c r="C92" s="33"/>
      <c r="D92" s="33"/>
      <c r="E92" s="33"/>
      <c r="F92" s="33"/>
      <c r="G92" s="33"/>
    </row>
    <row r="93" spans="1:7" x14ac:dyDescent="0.2">
      <c r="A93" s="33"/>
      <c r="B93" s="33"/>
      <c r="C93" s="33"/>
      <c r="D93" s="33"/>
      <c r="E93" s="33"/>
      <c r="F93" s="33"/>
      <c r="G93" s="33"/>
    </row>
    <row r="94" spans="1:7" x14ac:dyDescent="0.2">
      <c r="A94" s="33"/>
      <c r="B94" s="33"/>
      <c r="C94" s="33"/>
      <c r="D94" s="33"/>
      <c r="E94" s="33"/>
      <c r="F94" s="33"/>
      <c r="G94" s="33"/>
    </row>
    <row r="95" spans="1:7" x14ac:dyDescent="0.2">
      <c r="A95" s="2">
        <v>1</v>
      </c>
      <c r="B95" s="2">
        <v>200</v>
      </c>
    </row>
    <row r="96" spans="1:7" x14ac:dyDescent="0.2">
      <c r="A96" s="2">
        <v>2</v>
      </c>
      <c r="B96" s="2">
        <v>300</v>
      </c>
    </row>
    <row r="97" spans="1:7" x14ac:dyDescent="0.2">
      <c r="A97" s="2">
        <v>3</v>
      </c>
      <c r="B97" s="2">
        <v>100</v>
      </c>
    </row>
    <row r="98" spans="1:7" x14ac:dyDescent="0.2">
      <c r="A98" s="2" t="s">
        <v>56</v>
      </c>
      <c r="B98" s="2">
        <v>0.12</v>
      </c>
    </row>
    <row r="100" spans="1:7" x14ac:dyDescent="0.2">
      <c r="A100" s="4" t="s">
        <v>122</v>
      </c>
      <c r="B100" s="5">
        <f>((B95*(1+B98)^-A95 * A95)+(B96*(1+B98)^-A96 * A96) + (B97*(1+B98)^-A97 * A97))/((B95*(1+B98)^-A95)+(B96*(1+B98)^-A96) + (B97*(1+B98)^-A97))</f>
        <v>1.7803400885161893</v>
      </c>
    </row>
    <row r="101" spans="1:7" x14ac:dyDescent="0.2">
      <c r="A101" s="32" t="s">
        <v>197</v>
      </c>
      <c r="B101" s="33"/>
      <c r="C101" s="33"/>
      <c r="D101" s="33"/>
      <c r="E101" s="33"/>
      <c r="F101" s="33"/>
      <c r="G101" s="33"/>
    </row>
    <row r="102" spans="1:7" x14ac:dyDescent="0.2">
      <c r="A102" s="33"/>
      <c r="B102" s="33"/>
      <c r="C102" s="33"/>
      <c r="D102" s="33"/>
      <c r="E102" s="33"/>
      <c r="F102" s="33"/>
      <c r="G102" s="33"/>
    </row>
    <row r="103" spans="1:7" x14ac:dyDescent="0.2">
      <c r="A103" s="33"/>
      <c r="B103" s="33"/>
      <c r="C103" s="33"/>
      <c r="D103" s="33"/>
      <c r="E103" s="33"/>
      <c r="F103" s="33"/>
      <c r="G103" s="33"/>
    </row>
    <row r="104" spans="1:7" x14ac:dyDescent="0.2">
      <c r="A104" s="33"/>
      <c r="B104" s="33"/>
      <c r="C104" s="33"/>
      <c r="D104" s="33"/>
      <c r="E104" s="33"/>
      <c r="F104" s="33"/>
      <c r="G104" s="33"/>
    </row>
    <row r="105" spans="1:7" x14ac:dyDescent="0.2">
      <c r="A105" s="33"/>
      <c r="B105" s="33"/>
      <c r="C105" s="33"/>
      <c r="D105" s="33"/>
      <c r="E105" s="33"/>
      <c r="F105" s="33"/>
      <c r="G105" s="33"/>
    </row>
    <row r="106" spans="1:7" x14ac:dyDescent="0.2">
      <c r="A106" s="2">
        <v>1</v>
      </c>
      <c r="B106" s="2">
        <v>200</v>
      </c>
    </row>
    <row r="107" spans="1:7" x14ac:dyDescent="0.2">
      <c r="A107" s="2">
        <v>2</v>
      </c>
      <c r="B107" s="2">
        <v>300</v>
      </c>
    </row>
    <row r="108" spans="1:7" x14ac:dyDescent="0.2">
      <c r="A108" s="2">
        <v>3</v>
      </c>
      <c r="B108" s="2">
        <v>200</v>
      </c>
    </row>
    <row r="109" spans="1:7" x14ac:dyDescent="0.2">
      <c r="A109" s="2" t="s">
        <v>56</v>
      </c>
      <c r="B109" s="2">
        <v>0.11</v>
      </c>
    </row>
    <row r="111" spans="1:7" x14ac:dyDescent="0.2">
      <c r="A111" s="4" t="s">
        <v>122</v>
      </c>
      <c r="B111" s="5">
        <f>((B106*(1+B109)^-A106 * A106)+(B107*(1+B109)^-A107 * A107) + (B108*(1+B109)^-A108 * A108))/((B106*(1+B109)^-A106)+(B107*(1+B109)^-A107) + (B108*(1+B109)^-A108))</f>
        <v>1.9404428934335791</v>
      </c>
    </row>
    <row r="115" spans="1:7" x14ac:dyDescent="0.2">
      <c r="A115" s="32" t="s">
        <v>177</v>
      </c>
      <c r="B115" s="33"/>
      <c r="C115" s="33"/>
      <c r="D115" s="33"/>
      <c r="E115" s="33"/>
      <c r="F115" s="33"/>
      <c r="G115" s="33"/>
    </row>
    <row r="116" spans="1:7" x14ac:dyDescent="0.2">
      <c r="A116" s="33"/>
      <c r="B116" s="33"/>
      <c r="C116" s="33"/>
      <c r="D116" s="33"/>
      <c r="E116" s="33"/>
      <c r="F116" s="33"/>
      <c r="G116" s="33"/>
    </row>
    <row r="117" spans="1:7" x14ac:dyDescent="0.2">
      <c r="A117" s="33"/>
      <c r="B117" s="33"/>
      <c r="C117" s="33"/>
      <c r="D117" s="33"/>
      <c r="E117" s="33"/>
      <c r="F117" s="33"/>
      <c r="G117" s="33"/>
    </row>
    <row r="118" spans="1:7" x14ac:dyDescent="0.2">
      <c r="A118" s="33"/>
      <c r="B118" s="33"/>
      <c r="C118" s="33"/>
      <c r="D118" s="33"/>
      <c r="E118" s="33"/>
      <c r="F118" s="33"/>
      <c r="G118" s="33"/>
    </row>
    <row r="119" spans="1:7" x14ac:dyDescent="0.2">
      <c r="A119" s="33"/>
      <c r="B119" s="33"/>
      <c r="C119" s="33"/>
      <c r="D119" s="33"/>
      <c r="E119" s="33"/>
      <c r="F119" s="33"/>
      <c r="G119" s="33"/>
    </row>
    <row r="120" spans="1:7" x14ac:dyDescent="0.2">
      <c r="A120" s="2">
        <v>0</v>
      </c>
      <c r="B120" s="2">
        <v>-2500</v>
      </c>
    </row>
    <row r="121" spans="1:7" x14ac:dyDescent="0.2">
      <c r="A121" s="2">
        <v>2</v>
      </c>
      <c r="B121" s="2">
        <v>2000</v>
      </c>
    </row>
    <row r="122" spans="1:7" x14ac:dyDescent="0.2">
      <c r="A122" s="2">
        <v>4</v>
      </c>
      <c r="B122" s="2">
        <v>3000</v>
      </c>
    </row>
    <row r="123" spans="1:7" x14ac:dyDescent="0.2">
      <c r="A123" s="2" t="s">
        <v>56</v>
      </c>
      <c r="B123" s="2">
        <v>0.15</v>
      </c>
    </row>
    <row r="125" spans="1:7" x14ac:dyDescent="0.2">
      <c r="A125" s="4" t="s">
        <v>179</v>
      </c>
      <c r="B125" s="5">
        <f>(B120/(1+B123)^A120)+(B121/(1+B123)^A121)+(B122/(1+B123)^A122)</f>
        <v>727.54707137267314</v>
      </c>
    </row>
    <row r="126" spans="1:7" x14ac:dyDescent="0.2">
      <c r="A126" s="32" t="s">
        <v>181</v>
      </c>
      <c r="B126" s="33"/>
      <c r="C126" s="33"/>
      <c r="D126" s="33"/>
      <c r="E126" s="33"/>
      <c r="F126" s="33"/>
      <c r="G126" s="33"/>
    </row>
    <row r="127" spans="1:7" x14ac:dyDescent="0.2">
      <c r="A127" s="33"/>
      <c r="B127" s="33"/>
      <c r="C127" s="33"/>
      <c r="D127" s="33"/>
      <c r="E127" s="33"/>
      <c r="F127" s="33"/>
      <c r="G127" s="33"/>
    </row>
    <row r="128" spans="1:7" x14ac:dyDescent="0.2">
      <c r="A128" s="33"/>
      <c r="B128" s="33"/>
      <c r="C128" s="33"/>
      <c r="D128" s="33"/>
      <c r="E128" s="33"/>
      <c r="F128" s="33"/>
      <c r="G128" s="33"/>
    </row>
    <row r="129" spans="1:7" x14ac:dyDescent="0.2">
      <c r="A129" s="33"/>
      <c r="B129" s="33"/>
      <c r="C129" s="33"/>
      <c r="D129" s="33"/>
      <c r="E129" s="33"/>
      <c r="F129" s="33"/>
      <c r="G129" s="33"/>
    </row>
    <row r="130" spans="1:7" x14ac:dyDescent="0.2">
      <c r="A130" s="33"/>
      <c r="B130" s="33"/>
      <c r="C130" s="33"/>
      <c r="D130" s="33"/>
      <c r="E130" s="33"/>
      <c r="F130" s="33"/>
      <c r="G130" s="33"/>
    </row>
    <row r="131" spans="1:7" x14ac:dyDescent="0.2">
      <c r="A131" s="2">
        <v>0</v>
      </c>
      <c r="B131" s="2">
        <v>-2000</v>
      </c>
    </row>
    <row r="132" spans="1:7" x14ac:dyDescent="0.2">
      <c r="A132" s="2">
        <v>2</v>
      </c>
      <c r="B132" s="2">
        <v>2000</v>
      </c>
    </row>
    <row r="133" spans="1:7" x14ac:dyDescent="0.2">
      <c r="A133" s="2">
        <v>4</v>
      </c>
      <c r="B133" s="2">
        <v>3000</v>
      </c>
    </row>
    <row r="134" spans="1:7" x14ac:dyDescent="0.2">
      <c r="A134" s="2" t="s">
        <v>56</v>
      </c>
      <c r="B134" s="2">
        <v>0.12</v>
      </c>
    </row>
    <row r="136" spans="1:7" x14ac:dyDescent="0.2">
      <c r="A136" s="4" t="s">
        <v>1</v>
      </c>
      <c r="B136" s="5">
        <f>(B131*(1+B134)^A133)+(B132*(1+B134)^A132)+(B133*(1+B134)^A131)</f>
        <v>2361.7612799999993</v>
      </c>
    </row>
    <row r="138" spans="1:7" x14ac:dyDescent="0.2">
      <c r="A138" s="32" t="s">
        <v>183</v>
      </c>
      <c r="B138" s="33"/>
      <c r="C138" s="33"/>
      <c r="D138" s="33"/>
      <c r="E138" s="33"/>
      <c r="F138" s="33"/>
      <c r="G138" s="33"/>
    </row>
    <row r="139" spans="1:7" x14ac:dyDescent="0.2">
      <c r="A139" s="33"/>
      <c r="B139" s="33"/>
      <c r="C139" s="33"/>
      <c r="D139" s="33"/>
      <c r="E139" s="33"/>
      <c r="F139" s="33"/>
      <c r="G139" s="33"/>
    </row>
    <row r="140" spans="1:7" x14ac:dyDescent="0.2">
      <c r="A140" s="33"/>
      <c r="B140" s="33"/>
      <c r="C140" s="33"/>
      <c r="D140" s="33"/>
      <c r="E140" s="33"/>
      <c r="F140" s="33"/>
      <c r="G140" s="33"/>
    </row>
    <row r="141" spans="1:7" x14ac:dyDescent="0.2">
      <c r="A141" s="33"/>
      <c r="B141" s="33"/>
      <c r="C141" s="33"/>
      <c r="D141" s="33"/>
      <c r="E141" s="33"/>
      <c r="F141" s="33"/>
      <c r="G141" s="33"/>
    </row>
    <row r="142" spans="1:7" x14ac:dyDescent="0.2">
      <c r="A142" s="33"/>
      <c r="B142" s="33"/>
      <c r="C142" s="33"/>
      <c r="D142" s="33"/>
      <c r="E142" s="33"/>
      <c r="F142" s="33"/>
      <c r="G142" s="33"/>
    </row>
    <row r="143" spans="1:7" x14ac:dyDescent="0.2">
      <c r="A143" s="2">
        <v>0</v>
      </c>
      <c r="B143" s="2">
        <v>-2000</v>
      </c>
    </row>
    <row r="144" spans="1:7" x14ac:dyDescent="0.2">
      <c r="A144" s="2">
        <v>2</v>
      </c>
      <c r="B144" s="2">
        <v>2000</v>
      </c>
    </row>
    <row r="145" spans="1:7" x14ac:dyDescent="0.2">
      <c r="A145" s="2">
        <v>4</v>
      </c>
      <c r="B145" s="2">
        <v>3000</v>
      </c>
    </row>
    <row r="146" spans="1:7" x14ac:dyDescent="0.2">
      <c r="A146" s="2" t="s">
        <v>56</v>
      </c>
      <c r="B146" s="2">
        <v>0.11</v>
      </c>
    </row>
    <row r="148" spans="1:7" x14ac:dyDescent="0.2">
      <c r="A148" s="4" t="s">
        <v>122</v>
      </c>
      <c r="B148" s="5">
        <f>((B143*(1+B146)^-A143 * A143)+(B144*(1+B146)^-A144 * A144) + (B145*(1+B146)^-A145 * A145))/((B143*(1+B146)^-A143)+(B144*(1+B146)^-A144) + (B145*(1+B146)^-A145))</f>
        <v>6.971988219825846</v>
      </c>
    </row>
    <row r="149" spans="1:7" x14ac:dyDescent="0.2">
      <c r="A149" s="32" t="s">
        <v>185</v>
      </c>
      <c r="B149" s="33"/>
      <c r="C149" s="33"/>
      <c r="D149" s="33"/>
      <c r="E149" s="33"/>
      <c r="F149" s="33"/>
      <c r="G149" s="33"/>
    </row>
    <row r="150" spans="1:7" x14ac:dyDescent="0.2">
      <c r="A150" s="33"/>
      <c r="B150" s="33"/>
      <c r="C150" s="33"/>
      <c r="D150" s="33"/>
      <c r="E150" s="33"/>
      <c r="F150" s="33"/>
      <c r="G150" s="33"/>
    </row>
    <row r="151" spans="1:7" x14ac:dyDescent="0.2">
      <c r="A151" s="33"/>
      <c r="B151" s="33"/>
      <c r="C151" s="33"/>
      <c r="D151" s="33"/>
      <c r="E151" s="33"/>
      <c r="F151" s="33"/>
      <c r="G151" s="33"/>
    </row>
    <row r="152" spans="1:7" x14ac:dyDescent="0.2">
      <c r="A152" s="33"/>
      <c r="B152" s="33"/>
      <c r="C152" s="33"/>
      <c r="D152" s="33"/>
      <c r="E152" s="33"/>
      <c r="F152" s="33"/>
      <c r="G152" s="33"/>
    </row>
    <row r="153" spans="1:7" x14ac:dyDescent="0.2">
      <c r="A153" s="33"/>
      <c r="B153" s="33"/>
      <c r="C153" s="33"/>
      <c r="D153" s="33"/>
      <c r="E153" s="33"/>
      <c r="F153" s="33"/>
      <c r="G153" s="33"/>
    </row>
    <row r="154" spans="1:7" x14ac:dyDescent="0.2">
      <c r="A154" s="2">
        <v>0</v>
      </c>
      <c r="B154" s="2">
        <v>600</v>
      </c>
      <c r="C154" s="1" t="s">
        <v>3</v>
      </c>
      <c r="D154" s="1">
        <v>2</v>
      </c>
    </row>
    <row r="155" spans="1:7" x14ac:dyDescent="0.2">
      <c r="A155" s="2">
        <v>1</v>
      </c>
      <c r="B155" s="2">
        <v>200</v>
      </c>
    </row>
    <row r="156" spans="1:7" x14ac:dyDescent="0.2">
      <c r="A156" s="2">
        <v>2</v>
      </c>
      <c r="B156" s="2">
        <v>300</v>
      </c>
    </row>
    <row r="157" spans="1:7" x14ac:dyDescent="0.2">
      <c r="A157" s="2">
        <v>3</v>
      </c>
      <c r="B157" s="2">
        <v>600</v>
      </c>
    </row>
    <row r="158" spans="1:7" x14ac:dyDescent="0.2">
      <c r="A158" s="1" t="s">
        <v>7</v>
      </c>
      <c r="B158" s="13">
        <v>0.09</v>
      </c>
    </row>
    <row r="159" spans="1:7" x14ac:dyDescent="0.2">
      <c r="A159" s="4" t="s">
        <v>186</v>
      </c>
      <c r="B159" s="5">
        <f>(B154*(1+B158)^2)+(B155*(1+B158)^1)+(B156*(1+B158)^0)+(B157*(1+B158)^-1)</f>
        <v>1781.3187155963303</v>
      </c>
    </row>
    <row r="160" spans="1:7" x14ac:dyDescent="0.2">
      <c r="A160" s="32" t="s">
        <v>188</v>
      </c>
      <c r="B160" s="33"/>
      <c r="C160" s="33"/>
      <c r="D160" s="33"/>
      <c r="E160" s="33"/>
      <c r="F160" s="33"/>
      <c r="G160" s="33"/>
    </row>
    <row r="161" spans="1:7" x14ac:dyDescent="0.2">
      <c r="A161" s="33"/>
      <c r="B161" s="33"/>
      <c r="C161" s="33"/>
      <c r="D161" s="33"/>
      <c r="E161" s="33"/>
      <c r="F161" s="33"/>
      <c r="G161" s="33"/>
    </row>
    <row r="162" spans="1:7" x14ac:dyDescent="0.2">
      <c r="A162" s="33"/>
      <c r="B162" s="33"/>
      <c r="C162" s="33"/>
      <c r="D162" s="33"/>
      <c r="E162" s="33"/>
      <c r="F162" s="33"/>
      <c r="G162" s="33"/>
    </row>
    <row r="163" spans="1:7" x14ac:dyDescent="0.2">
      <c r="A163" s="33"/>
      <c r="B163" s="33"/>
      <c r="C163" s="33"/>
      <c r="D163" s="33"/>
      <c r="E163" s="33"/>
      <c r="F163" s="33"/>
      <c r="G163" s="33"/>
    </row>
    <row r="164" spans="1:7" x14ac:dyDescent="0.2">
      <c r="A164" s="33"/>
      <c r="B164" s="33"/>
      <c r="C164" s="33"/>
      <c r="D164" s="33"/>
      <c r="E164" s="33"/>
      <c r="F164" s="33"/>
      <c r="G164" s="33"/>
    </row>
    <row r="165" spans="1:7" x14ac:dyDescent="0.2">
      <c r="A165" s="2">
        <v>0</v>
      </c>
      <c r="B165" s="2">
        <v>600</v>
      </c>
    </row>
    <row r="166" spans="1:7" x14ac:dyDescent="0.2">
      <c r="A166" s="2">
        <v>1</v>
      </c>
      <c r="B166" s="2">
        <v>300</v>
      </c>
    </row>
    <row r="167" spans="1:7" x14ac:dyDescent="0.2">
      <c r="A167" s="2">
        <v>2</v>
      </c>
      <c r="B167" s="2">
        <v>400</v>
      </c>
    </row>
    <row r="168" spans="1:7" x14ac:dyDescent="0.2">
      <c r="A168" s="2">
        <v>3</v>
      </c>
      <c r="B168" s="2">
        <v>600</v>
      </c>
    </row>
    <row r="169" spans="1:7" x14ac:dyDescent="0.2">
      <c r="A169" s="1" t="s">
        <v>7</v>
      </c>
      <c r="B169" s="13">
        <v>0.1</v>
      </c>
    </row>
    <row r="170" spans="1:7" x14ac:dyDescent="0.2">
      <c r="A170" s="4" t="s">
        <v>186</v>
      </c>
      <c r="B170" s="5">
        <f>(B165*(1+B169)^2)+(B166*(1+B169)^1)+(B167*(1+B169)^0)+(B168*(1+B169)^-1)</f>
        <v>2001.4545454545455</v>
      </c>
    </row>
    <row r="171" spans="1:7" x14ac:dyDescent="0.2">
      <c r="A171" s="32" t="s">
        <v>190</v>
      </c>
      <c r="B171" s="33"/>
      <c r="C171" s="33"/>
      <c r="D171" s="33"/>
      <c r="E171" s="33"/>
      <c r="F171" s="33"/>
      <c r="G171" s="33"/>
    </row>
    <row r="172" spans="1:7" x14ac:dyDescent="0.2">
      <c r="A172" s="33"/>
      <c r="B172" s="33"/>
      <c r="C172" s="33"/>
      <c r="D172" s="33"/>
      <c r="E172" s="33"/>
      <c r="F172" s="33"/>
      <c r="G172" s="33"/>
    </row>
    <row r="173" spans="1:7" x14ac:dyDescent="0.2">
      <c r="A173" s="33"/>
      <c r="B173" s="33"/>
      <c r="C173" s="33"/>
      <c r="D173" s="33"/>
      <c r="E173" s="33"/>
      <c r="F173" s="33"/>
      <c r="G173" s="33"/>
    </row>
    <row r="174" spans="1:7" x14ac:dyDescent="0.2">
      <c r="A174" s="33"/>
      <c r="B174" s="33"/>
      <c r="C174" s="33"/>
      <c r="D174" s="33"/>
      <c r="E174" s="33"/>
      <c r="F174" s="33"/>
      <c r="G174" s="33"/>
    </row>
    <row r="175" spans="1:7" x14ac:dyDescent="0.2">
      <c r="A175" s="33"/>
      <c r="B175" s="33"/>
      <c r="C175" s="33"/>
      <c r="D175" s="33"/>
      <c r="E175" s="33"/>
      <c r="F175" s="33"/>
      <c r="G175" s="33"/>
    </row>
    <row r="176" spans="1:7" x14ac:dyDescent="0.2">
      <c r="A176" s="2">
        <v>0</v>
      </c>
      <c r="B176" s="2">
        <v>1000</v>
      </c>
    </row>
    <row r="177" spans="1:7" x14ac:dyDescent="0.2">
      <c r="A177" s="2">
        <v>1</v>
      </c>
      <c r="B177" s="2">
        <v>2000</v>
      </c>
    </row>
    <row r="178" spans="1:7" x14ac:dyDescent="0.2">
      <c r="A178" s="2">
        <v>2</v>
      </c>
      <c r="B178" s="2">
        <v>4000</v>
      </c>
    </row>
    <row r="179" spans="1:7" x14ac:dyDescent="0.2">
      <c r="A179" s="2">
        <v>3</v>
      </c>
      <c r="B179" s="2">
        <v>1000</v>
      </c>
    </row>
    <row r="181" spans="1:7" x14ac:dyDescent="0.2">
      <c r="A181" s="4" t="s">
        <v>3</v>
      </c>
      <c r="B181" s="5">
        <f>(A176*B176+A177*B177+A178*B178+A179*B179)/(B176+B177+B178+B179)</f>
        <v>1.625</v>
      </c>
    </row>
    <row r="182" spans="1:7" x14ac:dyDescent="0.2">
      <c r="A182" s="32" t="s">
        <v>192</v>
      </c>
      <c r="B182" s="33"/>
      <c r="C182" s="33"/>
      <c r="D182" s="33"/>
      <c r="E182" s="33"/>
      <c r="F182" s="33"/>
      <c r="G182" s="33"/>
    </row>
    <row r="183" spans="1:7" x14ac:dyDescent="0.2">
      <c r="A183" s="33"/>
      <c r="B183" s="33"/>
      <c r="C183" s="33"/>
      <c r="D183" s="33"/>
      <c r="E183" s="33"/>
      <c r="F183" s="33"/>
      <c r="G183" s="33"/>
    </row>
    <row r="184" spans="1:7" x14ac:dyDescent="0.2">
      <c r="A184" s="33"/>
      <c r="B184" s="33"/>
      <c r="C184" s="33"/>
      <c r="D184" s="33"/>
      <c r="E184" s="33"/>
      <c r="F184" s="33"/>
      <c r="G184" s="33"/>
    </row>
    <row r="185" spans="1:7" x14ac:dyDescent="0.2">
      <c r="A185" s="33"/>
      <c r="B185" s="33"/>
      <c r="C185" s="33"/>
      <c r="D185" s="33"/>
      <c r="E185" s="33"/>
      <c r="F185" s="33"/>
      <c r="G185" s="33"/>
    </row>
    <row r="186" spans="1:7" x14ac:dyDescent="0.2">
      <c r="A186" s="33"/>
      <c r="B186" s="33"/>
      <c r="C186" s="33"/>
      <c r="D186" s="33"/>
      <c r="E186" s="33"/>
      <c r="F186" s="33"/>
      <c r="G186" s="33"/>
    </row>
    <row r="187" spans="1:7" x14ac:dyDescent="0.2">
      <c r="A187" s="2">
        <v>0</v>
      </c>
      <c r="B187" s="2">
        <v>1000</v>
      </c>
    </row>
    <row r="188" spans="1:7" x14ac:dyDescent="0.2">
      <c r="A188" s="2">
        <v>1</v>
      </c>
      <c r="B188" s="2">
        <v>2000</v>
      </c>
    </row>
    <row r="189" spans="1:7" x14ac:dyDescent="0.2">
      <c r="A189" s="2">
        <v>2</v>
      </c>
      <c r="B189" s="2">
        <v>4000</v>
      </c>
    </row>
    <row r="190" spans="1:7" x14ac:dyDescent="0.2">
      <c r="A190" s="13">
        <v>3</v>
      </c>
      <c r="B190" s="13">
        <v>1000</v>
      </c>
    </row>
    <row r="191" spans="1:7" x14ac:dyDescent="0.2">
      <c r="A191" s="2" t="s">
        <v>56</v>
      </c>
      <c r="B191" s="2">
        <v>0.1</v>
      </c>
    </row>
    <row r="192" spans="1:7" x14ac:dyDescent="0.2">
      <c r="A192" s="4" t="s">
        <v>122</v>
      </c>
      <c r="B192" s="5">
        <f>((B187*(1+B191)^-A187 * A187)+(B188*(1+B191)^-A188 * A188) + (B189*(1+B191)^-A189 * A189)+(B190*(1+B191)^-A190 * A190))/((B187*(1+B191)^-A187)+(B188*(1+B191)^-A188) + (B189*(1+B191)^-A189)+(B190*(1+B191)^-A190))</f>
        <v>1.5539285324008303</v>
      </c>
    </row>
    <row r="193" spans="1:7" x14ac:dyDescent="0.2">
      <c r="A193" s="32" t="s">
        <v>194</v>
      </c>
      <c r="B193" s="33"/>
      <c r="C193" s="33"/>
      <c r="D193" s="33"/>
      <c r="E193" s="33"/>
      <c r="F193" s="33"/>
      <c r="G193" s="33"/>
    </row>
    <row r="194" spans="1:7" x14ac:dyDescent="0.2">
      <c r="A194" s="33"/>
      <c r="B194" s="33"/>
      <c r="C194" s="33"/>
      <c r="D194" s="33"/>
      <c r="E194" s="33"/>
      <c r="F194" s="33"/>
      <c r="G194" s="33"/>
    </row>
    <row r="195" spans="1:7" x14ac:dyDescent="0.2">
      <c r="A195" s="33"/>
      <c r="B195" s="33"/>
      <c r="C195" s="33"/>
      <c r="D195" s="33"/>
      <c r="E195" s="33"/>
      <c r="F195" s="33"/>
      <c r="G195" s="33"/>
    </row>
    <row r="196" spans="1:7" x14ac:dyDescent="0.2">
      <c r="A196" s="33"/>
      <c r="B196" s="33"/>
      <c r="C196" s="33"/>
      <c r="D196" s="33"/>
      <c r="E196" s="33"/>
      <c r="F196" s="33"/>
      <c r="G196" s="33"/>
    </row>
    <row r="197" spans="1:7" x14ac:dyDescent="0.2">
      <c r="A197" s="33"/>
      <c r="B197" s="33"/>
      <c r="C197" s="33"/>
      <c r="D197" s="33"/>
      <c r="E197" s="33"/>
      <c r="F197" s="33"/>
      <c r="G197" s="33"/>
    </row>
    <row r="198" spans="1:7" x14ac:dyDescent="0.2">
      <c r="A198" s="2">
        <v>0</v>
      </c>
      <c r="B198" s="2">
        <v>600</v>
      </c>
    </row>
    <row r="199" spans="1:7" x14ac:dyDescent="0.2">
      <c r="A199" s="2">
        <v>1</v>
      </c>
      <c r="B199" s="2">
        <v>300</v>
      </c>
    </row>
    <row r="200" spans="1:7" x14ac:dyDescent="0.2">
      <c r="A200" s="2">
        <v>2</v>
      </c>
      <c r="B200" s="2">
        <v>400</v>
      </c>
    </row>
    <row r="201" spans="1:7" x14ac:dyDescent="0.2">
      <c r="A201" s="13">
        <v>3</v>
      </c>
      <c r="B201" s="13">
        <v>600</v>
      </c>
    </row>
    <row r="202" spans="1:7" x14ac:dyDescent="0.2">
      <c r="A202" s="2" t="s">
        <v>56</v>
      </c>
      <c r="B202" s="2">
        <v>0.08</v>
      </c>
    </row>
    <row r="203" spans="1:7" x14ac:dyDescent="0.2">
      <c r="A203" s="4" t="s">
        <v>122</v>
      </c>
      <c r="B203" s="5">
        <f>((B198*(1+B202)^-A198 * A198)+(B199*(1+B202)^-A199 * A199) + (B200*(1+B202)^-A200 * A200)+(B201*(1+B202)^-A201 * A201))/((B198*(1+B202)^-A198)+(B199*(1+B202)^-A199) + (B200*(1+B202)^-A200)+(B201*(1+B202)^-A201))</f>
        <v>1.409858003790158</v>
      </c>
    </row>
    <row r="204" spans="1:7" x14ac:dyDescent="0.2">
      <c r="A204" s="32" t="s">
        <v>196</v>
      </c>
      <c r="B204" s="33"/>
      <c r="C204" s="33"/>
      <c r="D204" s="33"/>
      <c r="E204" s="33"/>
      <c r="F204" s="33"/>
      <c r="G204" s="33"/>
    </row>
    <row r="205" spans="1:7" x14ac:dyDescent="0.2">
      <c r="A205" s="33"/>
      <c r="B205" s="33"/>
      <c r="C205" s="33"/>
      <c r="D205" s="33"/>
      <c r="E205" s="33"/>
      <c r="F205" s="33"/>
      <c r="G205" s="33"/>
    </row>
    <row r="206" spans="1:7" x14ac:dyDescent="0.2">
      <c r="A206" s="33"/>
      <c r="B206" s="33"/>
      <c r="C206" s="33"/>
      <c r="D206" s="33"/>
      <c r="E206" s="33"/>
      <c r="F206" s="33"/>
      <c r="G206" s="33"/>
    </row>
    <row r="207" spans="1:7" x14ac:dyDescent="0.2">
      <c r="A207" s="33"/>
      <c r="B207" s="33"/>
      <c r="C207" s="33"/>
      <c r="D207" s="33"/>
      <c r="E207" s="33"/>
      <c r="F207" s="33"/>
      <c r="G207" s="33"/>
    </row>
    <row r="208" spans="1:7" x14ac:dyDescent="0.2">
      <c r="A208" s="33"/>
      <c r="B208" s="33"/>
      <c r="C208" s="33"/>
      <c r="D208" s="33"/>
      <c r="E208" s="33"/>
      <c r="F208" s="33"/>
      <c r="G208" s="33"/>
    </row>
    <row r="209" spans="1:7" x14ac:dyDescent="0.2">
      <c r="A209" s="2">
        <v>0</v>
      </c>
      <c r="B209" s="2">
        <v>6000</v>
      </c>
    </row>
    <row r="210" spans="1:7" x14ac:dyDescent="0.2">
      <c r="A210" s="2">
        <v>1</v>
      </c>
      <c r="B210" s="2">
        <v>2500</v>
      </c>
    </row>
    <row r="211" spans="1:7" x14ac:dyDescent="0.2">
      <c r="A211" s="2">
        <v>2</v>
      </c>
      <c r="B211" s="2">
        <v>350</v>
      </c>
    </row>
    <row r="212" spans="1:7" x14ac:dyDescent="0.2">
      <c r="A212" s="13">
        <v>3</v>
      </c>
      <c r="B212" s="13">
        <v>500</v>
      </c>
    </row>
    <row r="213" spans="1:7" x14ac:dyDescent="0.2">
      <c r="A213" s="2" t="s">
        <v>56</v>
      </c>
      <c r="B213" s="2">
        <v>0.1</v>
      </c>
    </row>
    <row r="214" spans="1:7" x14ac:dyDescent="0.2">
      <c r="A214" s="4" t="s">
        <v>122</v>
      </c>
      <c r="B214" s="5">
        <f>((B209*(1+B213)^-A209 * A209)+(B210*(1+B213)^-A210 * A210) + (B211*(1+B213)^-A211 * A211)+(B212*(1+B213)^-A212 * A212))/((B209*(1+B213)^-A209)+(B210*(1+B213)^-A210) + (B211*(1+B213)^-A211)+(B212*(1+B213)^-A212))</f>
        <v>0.44510759919300596</v>
      </c>
    </row>
    <row r="216" spans="1:7" x14ac:dyDescent="0.2">
      <c r="A216" s="32" t="s">
        <v>198</v>
      </c>
      <c r="B216" s="33"/>
      <c r="C216" s="33"/>
      <c r="D216" s="33"/>
      <c r="E216" s="33"/>
      <c r="F216" s="33"/>
      <c r="G216" s="33"/>
    </row>
    <row r="217" spans="1:7" x14ac:dyDescent="0.2">
      <c r="A217" s="33"/>
      <c r="B217" s="33"/>
      <c r="C217" s="33"/>
      <c r="D217" s="33"/>
      <c r="E217" s="33"/>
      <c r="F217" s="33"/>
      <c r="G217" s="33"/>
    </row>
    <row r="218" spans="1:7" x14ac:dyDescent="0.2">
      <c r="A218" s="33"/>
      <c r="B218" s="33"/>
      <c r="C218" s="33"/>
      <c r="D218" s="33"/>
      <c r="E218" s="33"/>
      <c r="F218" s="33"/>
      <c r="G218" s="33"/>
    </row>
    <row r="219" spans="1:7" x14ac:dyDescent="0.2">
      <c r="A219" s="33"/>
      <c r="B219" s="33"/>
      <c r="C219" s="33"/>
      <c r="D219" s="33"/>
      <c r="E219" s="33"/>
      <c r="F219" s="33"/>
      <c r="G219" s="33"/>
    </row>
    <row r="220" spans="1:7" x14ac:dyDescent="0.2">
      <c r="A220" s="33"/>
      <c r="B220" s="33"/>
      <c r="C220" s="33"/>
      <c r="D220" s="33"/>
      <c r="E220" s="33"/>
      <c r="F220" s="33"/>
      <c r="G220" s="33"/>
    </row>
    <row r="221" spans="1:7" x14ac:dyDescent="0.2">
      <c r="A221" s="2">
        <v>0</v>
      </c>
      <c r="B221" s="2">
        <v>600</v>
      </c>
    </row>
    <row r="222" spans="1:7" x14ac:dyDescent="0.2">
      <c r="A222" s="2">
        <v>1</v>
      </c>
      <c r="B222" s="2">
        <v>250</v>
      </c>
    </row>
    <row r="223" spans="1:7" x14ac:dyDescent="0.2">
      <c r="A223" s="2">
        <v>2</v>
      </c>
      <c r="B223" s="2">
        <v>350</v>
      </c>
    </row>
    <row r="224" spans="1:7" x14ac:dyDescent="0.2">
      <c r="A224" s="2">
        <v>3</v>
      </c>
      <c r="B224" s="2">
        <v>600</v>
      </c>
    </row>
    <row r="225" spans="1:2" x14ac:dyDescent="0.2">
      <c r="A225" s="1" t="s">
        <v>7</v>
      </c>
      <c r="B225" s="13">
        <v>0.09</v>
      </c>
    </row>
    <row r="226" spans="1:2" x14ac:dyDescent="0.2">
      <c r="A226" s="4" t="s">
        <v>186</v>
      </c>
      <c r="B226" s="5">
        <f>(B221*(1+B225)^3)+(B222*(1+B225)^2)+(B223*(1+B225)^1)+(B224*(1+B225)^0)</f>
        <v>2055.5424000000003</v>
      </c>
    </row>
  </sheetData>
  <mergeCells count="20">
    <mergeCell ref="A1:G5"/>
    <mergeCell ref="A115:G119"/>
    <mergeCell ref="A12:G16"/>
    <mergeCell ref="A126:G130"/>
    <mergeCell ref="A24:G28"/>
    <mergeCell ref="A35:G39"/>
    <mergeCell ref="A46:G50"/>
    <mergeCell ref="A160:G164"/>
    <mergeCell ref="A57:G61"/>
    <mergeCell ref="A138:G142"/>
    <mergeCell ref="A101:G105"/>
    <mergeCell ref="A216:G220"/>
    <mergeCell ref="A68:G72"/>
    <mergeCell ref="A182:G186"/>
    <mergeCell ref="A79:G83"/>
    <mergeCell ref="A193:G197"/>
    <mergeCell ref="A90:G94"/>
    <mergeCell ref="A204:G208"/>
    <mergeCell ref="A171:G175"/>
    <mergeCell ref="A149:G1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0CEB-E65B-EB4F-B114-255611456023}">
  <dimension ref="A1:K225"/>
  <sheetViews>
    <sheetView topLeftCell="A44" workbookViewId="0">
      <selection activeCell="D63" sqref="D63"/>
    </sheetView>
  </sheetViews>
  <sheetFormatPr baseColWidth="10" defaultColWidth="8.83203125" defaultRowHeight="16" x14ac:dyDescent="0.2"/>
  <cols>
    <col min="1" max="1" width="8.83203125" style="1"/>
    <col min="2" max="2" width="12.5" style="1" customWidth="1"/>
    <col min="3" max="5" width="11.83203125" style="1" bestFit="1" customWidth="1"/>
    <col min="6" max="16" width="8.83203125" style="1"/>
    <col min="17" max="17" width="10.5" style="1" bestFit="1" customWidth="1"/>
    <col min="18" max="16384" width="8.83203125" style="1"/>
  </cols>
  <sheetData>
    <row r="1" spans="1:11" ht="15" customHeight="1" x14ac:dyDescent="0.2">
      <c r="A1" s="31" t="s">
        <v>199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x14ac:dyDescent="0.2">
      <c r="A6" s="2" t="s">
        <v>201</v>
      </c>
      <c r="B6" s="2">
        <v>18000</v>
      </c>
      <c r="C6" s="1" t="s">
        <v>113</v>
      </c>
      <c r="D6" s="1">
        <v>6</v>
      </c>
    </row>
    <row r="7" spans="1:11" x14ac:dyDescent="0.2">
      <c r="A7" s="2" t="s">
        <v>202</v>
      </c>
      <c r="B7" s="2">
        <v>20000</v>
      </c>
      <c r="C7" s="1" t="s">
        <v>116</v>
      </c>
      <c r="D7" s="1">
        <v>4</v>
      </c>
    </row>
    <row r="8" spans="1:11" x14ac:dyDescent="0.2">
      <c r="A8" s="2" t="s">
        <v>203</v>
      </c>
      <c r="B8" s="2">
        <v>22000</v>
      </c>
      <c r="C8" s="1" t="s">
        <v>204</v>
      </c>
      <c r="D8" s="1">
        <v>8</v>
      </c>
    </row>
    <row r="9" spans="1:11" x14ac:dyDescent="0.2">
      <c r="A9" s="2" t="s">
        <v>56</v>
      </c>
      <c r="B9" s="2">
        <v>0.05</v>
      </c>
    </row>
    <row r="11" spans="1:11" x14ac:dyDescent="0.2">
      <c r="A11" s="4" t="s">
        <v>1</v>
      </c>
      <c r="B11" s="5">
        <f>((B6*(((1+B9)^D6)-1)/B9)*(1+B9)^12)+((B7*(((1+B9)^D7)-1)/B9)*(1+B9)^8)+((B8*(((1+B9)^D8)-1)/B9))</f>
        <v>557315.39492123784</v>
      </c>
    </row>
    <row r="12" spans="1:11" ht="15" customHeight="1" x14ac:dyDescent="0.2">
      <c r="A12" s="32" t="s">
        <v>205</v>
      </c>
      <c r="B12" s="32"/>
      <c r="C12" s="32"/>
      <c r="D12" s="32"/>
      <c r="E12" s="32"/>
      <c r="F12" s="32"/>
      <c r="G12" s="32"/>
      <c r="H12" s="32"/>
    </row>
    <row r="13" spans="1:11" x14ac:dyDescent="0.2">
      <c r="A13" s="32"/>
      <c r="B13" s="32"/>
      <c r="C13" s="32"/>
      <c r="D13" s="32"/>
      <c r="E13" s="32"/>
      <c r="F13" s="32"/>
      <c r="G13" s="32"/>
      <c r="H13" s="32"/>
    </row>
    <row r="14" spans="1:11" x14ac:dyDescent="0.2">
      <c r="A14" s="32"/>
      <c r="B14" s="32"/>
      <c r="C14" s="32"/>
      <c r="D14" s="32"/>
      <c r="E14" s="32"/>
      <c r="F14" s="32"/>
      <c r="G14" s="32"/>
      <c r="H14" s="32"/>
    </row>
    <row r="15" spans="1:11" x14ac:dyDescent="0.2">
      <c r="A15" s="32"/>
      <c r="B15" s="32"/>
      <c r="C15" s="32"/>
      <c r="D15" s="32"/>
      <c r="E15" s="32"/>
      <c r="F15" s="32"/>
      <c r="G15" s="32"/>
      <c r="H15" s="32"/>
    </row>
    <row r="16" spans="1:11" x14ac:dyDescent="0.2">
      <c r="A16" s="32"/>
      <c r="B16" s="32"/>
      <c r="C16" s="32"/>
      <c r="D16" s="32"/>
      <c r="E16" s="32"/>
      <c r="F16" s="32"/>
      <c r="G16" s="32"/>
      <c r="H16" s="32"/>
    </row>
    <row r="17" spans="1:7" x14ac:dyDescent="0.2">
      <c r="A17" s="2" t="s">
        <v>2</v>
      </c>
      <c r="B17" s="2">
        <v>60000</v>
      </c>
    </row>
    <row r="18" spans="1:7" x14ac:dyDescent="0.2">
      <c r="A18" s="2" t="s">
        <v>7</v>
      </c>
      <c r="B18" s="2">
        <v>0.1</v>
      </c>
    </row>
    <row r="19" spans="1:7" x14ac:dyDescent="0.2">
      <c r="A19" s="2" t="s">
        <v>1</v>
      </c>
      <c r="B19" s="2">
        <v>900000</v>
      </c>
    </row>
    <row r="20" spans="1:7" x14ac:dyDescent="0.2">
      <c r="A20" s="2" t="s">
        <v>208</v>
      </c>
      <c r="B20" s="2"/>
      <c r="D20" s="1" t="s">
        <v>209</v>
      </c>
      <c r="F20" s="1" t="s">
        <v>210</v>
      </c>
    </row>
    <row r="22" spans="1:7" x14ac:dyDescent="0.2">
      <c r="A22" s="4" t="s">
        <v>5</v>
      </c>
      <c r="B22" s="19">
        <f>LN(2.5)/LN(1.1)</f>
        <v>9.61377613341336</v>
      </c>
    </row>
    <row r="24" spans="1:7" x14ac:dyDescent="0.2">
      <c r="A24" s="32" t="s">
        <v>211</v>
      </c>
      <c r="B24" s="33"/>
      <c r="C24" s="33"/>
      <c r="D24" s="33"/>
      <c r="E24" s="33"/>
      <c r="F24" s="33"/>
      <c r="G24" s="33"/>
    </row>
    <row r="25" spans="1:7" x14ac:dyDescent="0.2">
      <c r="A25" s="33"/>
      <c r="B25" s="33"/>
      <c r="C25" s="33"/>
      <c r="D25" s="33"/>
      <c r="E25" s="33"/>
      <c r="F25" s="33"/>
      <c r="G25" s="33"/>
    </row>
    <row r="26" spans="1:7" x14ac:dyDescent="0.2">
      <c r="A26" s="33"/>
      <c r="B26" s="33"/>
      <c r="C26" s="33"/>
      <c r="D26" s="33"/>
      <c r="E26" s="33"/>
      <c r="F26" s="33"/>
      <c r="G26" s="33"/>
    </row>
    <row r="27" spans="1:7" x14ac:dyDescent="0.2">
      <c r="A27" s="33"/>
      <c r="B27" s="33"/>
      <c r="C27" s="33"/>
      <c r="D27" s="33"/>
      <c r="E27" s="33"/>
      <c r="F27" s="33"/>
      <c r="G27" s="33"/>
    </row>
    <row r="28" spans="1:7" x14ac:dyDescent="0.2">
      <c r="A28" s="33"/>
      <c r="B28" s="33"/>
      <c r="C28" s="33"/>
      <c r="D28" s="33"/>
      <c r="E28" s="33"/>
      <c r="F28" s="33"/>
      <c r="G28" s="33"/>
    </row>
    <row r="29" spans="1:7" x14ac:dyDescent="0.2">
      <c r="A29" s="2" t="s">
        <v>1</v>
      </c>
      <c r="B29" s="2">
        <v>20000</v>
      </c>
    </row>
    <row r="30" spans="1:7" x14ac:dyDescent="0.2">
      <c r="A30" s="2" t="s">
        <v>7</v>
      </c>
      <c r="B30" s="2">
        <v>0.12</v>
      </c>
    </row>
    <row r="31" spans="1:7" x14ac:dyDescent="0.2">
      <c r="A31" s="2" t="s">
        <v>214</v>
      </c>
      <c r="B31" s="2">
        <v>1000</v>
      </c>
    </row>
    <row r="32" spans="1:7" x14ac:dyDescent="0.2">
      <c r="A32" s="2" t="s">
        <v>1</v>
      </c>
      <c r="B32" s="2" t="s">
        <v>215</v>
      </c>
    </row>
    <row r="34" spans="1:7" x14ac:dyDescent="0.2">
      <c r="A34" s="4" t="s">
        <v>5</v>
      </c>
      <c r="B34" s="5">
        <f>LN(B29/B31*B30+1)/LN(1+B30)</f>
        <v>10.798461380778862</v>
      </c>
    </row>
    <row r="35" spans="1:7" x14ac:dyDescent="0.2">
      <c r="A35" s="32" t="s">
        <v>217</v>
      </c>
      <c r="B35" s="33"/>
      <c r="C35" s="33"/>
      <c r="D35" s="33"/>
      <c r="E35" s="33"/>
      <c r="F35" s="33"/>
      <c r="G35" s="33"/>
    </row>
    <row r="36" spans="1:7" x14ac:dyDescent="0.2">
      <c r="A36" s="33"/>
      <c r="B36" s="33"/>
      <c r="C36" s="33"/>
      <c r="D36" s="33"/>
      <c r="E36" s="33"/>
      <c r="F36" s="33"/>
      <c r="G36" s="33"/>
    </row>
    <row r="37" spans="1:7" x14ac:dyDescent="0.2">
      <c r="A37" s="33"/>
      <c r="B37" s="33"/>
      <c r="C37" s="33"/>
      <c r="D37" s="33"/>
      <c r="E37" s="33"/>
      <c r="F37" s="33"/>
      <c r="G37" s="33"/>
    </row>
    <row r="38" spans="1:7" x14ac:dyDescent="0.2">
      <c r="A38" s="33"/>
      <c r="B38" s="33"/>
      <c r="C38" s="33"/>
      <c r="D38" s="33"/>
      <c r="E38" s="33"/>
      <c r="F38" s="33"/>
      <c r="G38" s="33"/>
    </row>
    <row r="39" spans="1:7" x14ac:dyDescent="0.2">
      <c r="A39" s="33"/>
      <c r="B39" s="33"/>
      <c r="C39" s="33"/>
      <c r="D39" s="33"/>
      <c r="E39" s="33"/>
      <c r="F39" s="33"/>
      <c r="G39" s="33"/>
    </row>
    <row r="40" spans="1:7" x14ac:dyDescent="0.2">
      <c r="A40" s="2" t="s">
        <v>179</v>
      </c>
      <c r="B40" s="2">
        <v>50000</v>
      </c>
    </row>
    <row r="41" spans="1:7" x14ac:dyDescent="0.2">
      <c r="A41" s="2" t="s">
        <v>7</v>
      </c>
      <c r="B41" s="2">
        <v>0.09</v>
      </c>
    </row>
    <row r="42" spans="1:7" x14ac:dyDescent="0.2">
      <c r="A42" s="2" t="s">
        <v>5</v>
      </c>
      <c r="B42" s="2">
        <v>10</v>
      </c>
    </row>
    <row r="44" spans="1:7" x14ac:dyDescent="0.2">
      <c r="A44" s="4" t="s">
        <v>214</v>
      </c>
      <c r="B44" s="6">
        <f>(B40*B41)/(1-(1+B41)^-B42)</f>
        <v>7791.0044954516861</v>
      </c>
    </row>
    <row r="46" spans="1:7" x14ac:dyDescent="0.2">
      <c r="A46" s="32" t="s">
        <v>219</v>
      </c>
      <c r="B46" s="33"/>
      <c r="C46" s="33"/>
      <c r="D46" s="33"/>
      <c r="E46" s="33"/>
      <c r="F46" s="33"/>
      <c r="G46" s="33"/>
    </row>
    <row r="47" spans="1:7" x14ac:dyDescent="0.2">
      <c r="A47" s="33"/>
      <c r="B47" s="33"/>
      <c r="C47" s="33"/>
      <c r="D47" s="33"/>
      <c r="E47" s="33"/>
      <c r="F47" s="33"/>
      <c r="G47" s="33"/>
    </row>
    <row r="48" spans="1:7" x14ac:dyDescent="0.2">
      <c r="A48" s="33"/>
      <c r="B48" s="33"/>
      <c r="C48" s="33"/>
      <c r="D48" s="33"/>
      <c r="E48" s="33"/>
      <c r="F48" s="33"/>
      <c r="G48" s="33"/>
    </row>
    <row r="49" spans="1:7" x14ac:dyDescent="0.2">
      <c r="A49" s="33"/>
      <c r="B49" s="33"/>
      <c r="C49" s="33"/>
      <c r="D49" s="33"/>
      <c r="E49" s="33"/>
      <c r="F49" s="33"/>
      <c r="G49" s="33"/>
    </row>
    <row r="50" spans="1:7" x14ac:dyDescent="0.2">
      <c r="A50" s="33"/>
      <c r="B50" s="33"/>
      <c r="C50" s="33"/>
      <c r="D50" s="33"/>
      <c r="E50" s="33"/>
      <c r="F50" s="33"/>
      <c r="G50" s="33"/>
    </row>
    <row r="51" spans="1:7" x14ac:dyDescent="0.2">
      <c r="A51" s="2" t="s">
        <v>214</v>
      </c>
      <c r="B51" s="2">
        <v>10000</v>
      </c>
    </row>
    <row r="52" spans="1:7" x14ac:dyDescent="0.2">
      <c r="A52" s="2" t="s">
        <v>7</v>
      </c>
      <c r="B52" s="2">
        <v>0.12</v>
      </c>
    </row>
    <row r="53" spans="1:7" x14ac:dyDescent="0.2">
      <c r="A53" s="2" t="s">
        <v>3</v>
      </c>
      <c r="B53" s="2">
        <v>10</v>
      </c>
    </row>
    <row r="54" spans="1:7" x14ac:dyDescent="0.2">
      <c r="A54" s="2"/>
      <c r="B54" s="2"/>
    </row>
    <row r="56" spans="1:7" x14ac:dyDescent="0.2">
      <c r="A56" s="4" t="s">
        <v>1</v>
      </c>
      <c r="B56" s="5">
        <f>B51*(((1+B52)^B53 -1)/B52)</f>
        <v>175487.35069535093</v>
      </c>
    </row>
    <row r="57" spans="1:7" x14ac:dyDescent="0.2">
      <c r="A57" s="32" t="s">
        <v>221</v>
      </c>
      <c r="B57" s="33"/>
      <c r="C57" s="33"/>
      <c r="D57" s="33"/>
      <c r="E57" s="33"/>
      <c r="F57" s="33"/>
      <c r="G57" s="33"/>
    </row>
    <row r="58" spans="1:7" x14ac:dyDescent="0.2">
      <c r="A58" s="33"/>
      <c r="B58" s="33"/>
      <c r="C58" s="33"/>
      <c r="D58" s="33"/>
      <c r="E58" s="33"/>
      <c r="F58" s="33"/>
      <c r="G58" s="33"/>
    </row>
    <row r="59" spans="1:7" x14ac:dyDescent="0.2">
      <c r="A59" s="33"/>
      <c r="B59" s="33"/>
      <c r="C59" s="33"/>
      <c r="D59" s="33"/>
      <c r="E59" s="33"/>
      <c r="F59" s="33"/>
      <c r="G59" s="33"/>
    </row>
    <row r="60" spans="1:7" x14ac:dyDescent="0.2">
      <c r="A60" s="33"/>
      <c r="B60" s="33"/>
      <c r="C60" s="33"/>
      <c r="D60" s="33"/>
      <c r="E60" s="33"/>
      <c r="F60" s="33"/>
      <c r="G60" s="33"/>
    </row>
    <row r="61" spans="1:7" x14ac:dyDescent="0.2">
      <c r="A61" s="33"/>
      <c r="B61" s="33"/>
      <c r="C61" s="33"/>
      <c r="D61" s="33"/>
      <c r="E61" s="33"/>
      <c r="F61" s="33"/>
      <c r="G61" s="33"/>
    </row>
    <row r="62" spans="1:7" x14ac:dyDescent="0.2">
      <c r="A62" s="2" t="s">
        <v>214</v>
      </c>
      <c r="B62" s="2">
        <v>22000</v>
      </c>
    </row>
    <row r="63" spans="1:7" x14ac:dyDescent="0.2">
      <c r="A63" s="2" t="s">
        <v>7</v>
      </c>
      <c r="B63" s="2">
        <v>0.11</v>
      </c>
    </row>
    <row r="64" spans="1:7" x14ac:dyDescent="0.2">
      <c r="A64" s="2"/>
      <c r="B64" s="2"/>
    </row>
    <row r="65" spans="1:7" x14ac:dyDescent="0.2">
      <c r="A65" s="2"/>
      <c r="B65" s="2"/>
    </row>
    <row r="67" spans="1:7" x14ac:dyDescent="0.2">
      <c r="A67" s="4" t="s">
        <v>179</v>
      </c>
      <c r="B67" s="4">
        <f>B62/B63</f>
        <v>200000</v>
      </c>
    </row>
    <row r="68" spans="1:7" x14ac:dyDescent="0.2">
      <c r="A68" s="32" t="s">
        <v>223</v>
      </c>
      <c r="B68" s="33"/>
      <c r="C68" s="33"/>
      <c r="D68" s="33"/>
      <c r="E68" s="33"/>
      <c r="F68" s="33"/>
      <c r="G68" s="33"/>
    </row>
    <row r="69" spans="1:7" x14ac:dyDescent="0.2">
      <c r="A69" s="33"/>
      <c r="B69" s="33"/>
      <c r="C69" s="33"/>
      <c r="D69" s="33"/>
      <c r="E69" s="33"/>
      <c r="F69" s="33"/>
      <c r="G69" s="33"/>
    </row>
    <row r="70" spans="1:7" x14ac:dyDescent="0.2">
      <c r="A70" s="33"/>
      <c r="B70" s="33"/>
      <c r="C70" s="33"/>
      <c r="D70" s="33"/>
      <c r="E70" s="33"/>
      <c r="F70" s="33"/>
      <c r="G70" s="33"/>
    </row>
    <row r="71" spans="1:7" x14ac:dyDescent="0.2">
      <c r="A71" s="33"/>
      <c r="B71" s="33"/>
      <c r="C71" s="33"/>
      <c r="D71" s="33"/>
      <c r="E71" s="33"/>
      <c r="F71" s="33"/>
      <c r="G71" s="33"/>
    </row>
    <row r="72" spans="1:7" x14ac:dyDescent="0.2">
      <c r="A72" s="33"/>
      <c r="B72" s="33"/>
      <c r="C72" s="33"/>
      <c r="D72" s="33"/>
      <c r="E72" s="33"/>
      <c r="F72" s="33"/>
      <c r="G72" s="33"/>
    </row>
    <row r="73" spans="1:7" x14ac:dyDescent="0.2">
      <c r="A73" s="2" t="s">
        <v>214</v>
      </c>
      <c r="B73" s="2">
        <v>20000</v>
      </c>
    </row>
    <row r="74" spans="1:7" x14ac:dyDescent="0.2">
      <c r="A74" s="2" t="s">
        <v>7</v>
      </c>
      <c r="B74" s="2">
        <v>0.1</v>
      </c>
    </row>
    <row r="75" spans="1:7" x14ac:dyDescent="0.2">
      <c r="A75" s="2" t="s">
        <v>5</v>
      </c>
      <c r="B75" s="2">
        <v>19</v>
      </c>
    </row>
    <row r="76" spans="1:7" x14ac:dyDescent="0.2">
      <c r="A76" s="2"/>
      <c r="B76" s="2"/>
    </row>
    <row r="78" spans="1:7" x14ac:dyDescent="0.2">
      <c r="A78" s="4" t="s">
        <v>179</v>
      </c>
      <c r="B78" s="4">
        <f>B73*((1-(1+B74)^-B75)/B74)</f>
        <v>167298.40183468844</v>
      </c>
    </row>
    <row r="79" spans="1:7" x14ac:dyDescent="0.2">
      <c r="A79" s="34" t="s">
        <v>226</v>
      </c>
      <c r="B79" s="35"/>
      <c r="C79" s="35"/>
      <c r="D79" s="35"/>
      <c r="E79" s="35"/>
      <c r="F79" s="35"/>
      <c r="G79" s="35"/>
    </row>
    <row r="80" spans="1:7" x14ac:dyDescent="0.2">
      <c r="A80" s="35"/>
      <c r="B80" s="35"/>
      <c r="C80" s="35"/>
      <c r="D80" s="35"/>
      <c r="E80" s="35"/>
      <c r="F80" s="35"/>
      <c r="G80" s="35"/>
    </row>
    <row r="81" spans="1:9" x14ac:dyDescent="0.2">
      <c r="A81" s="35"/>
      <c r="B81" s="35"/>
      <c r="C81" s="35"/>
      <c r="D81" s="35"/>
      <c r="E81" s="35"/>
      <c r="F81" s="35"/>
      <c r="G81" s="35"/>
    </row>
    <row r="82" spans="1:9" x14ac:dyDescent="0.2">
      <c r="A82" s="35"/>
      <c r="B82" s="35"/>
      <c r="C82" s="35"/>
      <c r="D82" s="35"/>
      <c r="E82" s="35"/>
      <c r="F82" s="35"/>
      <c r="G82" s="35"/>
    </row>
    <row r="83" spans="1:9" x14ac:dyDescent="0.2">
      <c r="A83" s="35"/>
      <c r="B83" s="35"/>
      <c r="C83" s="35"/>
      <c r="D83" s="35"/>
      <c r="E83" s="35"/>
      <c r="F83" s="35"/>
      <c r="G83" s="35"/>
    </row>
    <row r="84" spans="1:9" x14ac:dyDescent="0.2">
      <c r="A84" s="2" t="s">
        <v>56</v>
      </c>
      <c r="B84" s="2">
        <v>0.04</v>
      </c>
    </row>
    <row r="85" spans="1:9" x14ac:dyDescent="0.2">
      <c r="A85" s="2"/>
      <c r="B85" s="2"/>
    </row>
    <row r="86" spans="1:9" x14ac:dyDescent="0.2">
      <c r="A86" s="2"/>
      <c r="B86" s="2"/>
    </row>
    <row r="87" spans="1:9" x14ac:dyDescent="0.2">
      <c r="A87" s="2"/>
      <c r="B87" s="2"/>
    </row>
    <row r="89" spans="1:9" x14ac:dyDescent="0.2">
      <c r="A89" s="4" t="s">
        <v>90</v>
      </c>
      <c r="B89" s="20">
        <f>1/(1-B84)</f>
        <v>1.0416666666666667</v>
      </c>
    </row>
    <row r="90" spans="1:9" ht="15" customHeight="1" x14ac:dyDescent="0.2">
      <c r="A90" s="32" t="s">
        <v>229</v>
      </c>
      <c r="B90" s="32"/>
      <c r="C90" s="32"/>
      <c r="D90" s="32"/>
      <c r="E90" s="32"/>
      <c r="F90" s="32"/>
      <c r="G90" s="32"/>
      <c r="H90" s="32"/>
      <c r="I90" s="32"/>
    </row>
    <row r="91" spans="1:9" x14ac:dyDescent="0.2">
      <c r="A91" s="32"/>
      <c r="B91" s="32"/>
      <c r="C91" s="32"/>
      <c r="D91" s="32"/>
      <c r="E91" s="32"/>
      <c r="F91" s="32"/>
      <c r="G91" s="32"/>
      <c r="H91" s="32"/>
      <c r="I91" s="32"/>
    </row>
    <row r="92" spans="1:9" x14ac:dyDescent="0.2">
      <c r="A92" s="32"/>
      <c r="B92" s="32"/>
      <c r="C92" s="32"/>
      <c r="D92" s="32"/>
      <c r="E92" s="32"/>
      <c r="F92" s="32"/>
      <c r="G92" s="32"/>
      <c r="H92" s="32"/>
      <c r="I92" s="32"/>
    </row>
    <row r="93" spans="1:9" x14ac:dyDescent="0.2">
      <c r="A93" s="32"/>
      <c r="B93" s="32"/>
      <c r="C93" s="32"/>
      <c r="D93" s="32"/>
      <c r="E93" s="32"/>
      <c r="F93" s="32"/>
      <c r="G93" s="32"/>
      <c r="H93" s="32"/>
      <c r="I93" s="32"/>
    </row>
    <row r="94" spans="1:9" x14ac:dyDescent="0.2">
      <c r="A94" s="32"/>
      <c r="B94" s="32"/>
      <c r="C94" s="32"/>
      <c r="D94" s="32"/>
      <c r="E94" s="32"/>
      <c r="F94" s="32"/>
      <c r="G94" s="32"/>
      <c r="H94" s="32"/>
      <c r="I94" s="32"/>
    </row>
    <row r="95" spans="1:9" x14ac:dyDescent="0.2">
      <c r="A95" s="2" t="s">
        <v>214</v>
      </c>
      <c r="B95" s="2">
        <v>100000</v>
      </c>
    </row>
    <row r="96" spans="1:9" x14ac:dyDescent="0.2">
      <c r="A96" s="2" t="s">
        <v>7</v>
      </c>
      <c r="B96" s="2">
        <v>0.04</v>
      </c>
      <c r="C96" s="1">
        <v>4.4999999999999998E-2</v>
      </c>
    </row>
    <row r="97" spans="1:7" x14ac:dyDescent="0.2">
      <c r="A97" s="2" t="s">
        <v>179</v>
      </c>
      <c r="B97" s="2">
        <v>250000</v>
      </c>
    </row>
    <row r="98" spans="1:7" x14ac:dyDescent="0.2">
      <c r="A98" s="2" t="s">
        <v>5</v>
      </c>
      <c r="B98" s="2">
        <f>LN(B97/B95*B96+1)/LN(1+B96)</f>
        <v>2.4300980818945406</v>
      </c>
    </row>
    <row r="99" spans="1:7" x14ac:dyDescent="0.2">
      <c r="A99" s="13" t="s">
        <v>201</v>
      </c>
      <c r="B99" s="1">
        <f>B95*(((1+B96)^3-1)/B96)</f>
        <v>312160.00000000023</v>
      </c>
    </row>
    <row r="100" spans="1:7" x14ac:dyDescent="0.2">
      <c r="A100" s="4" t="s">
        <v>1</v>
      </c>
      <c r="B100" s="5">
        <f>B99*(1+C96)^9 + B95 *(((1+C96) ^9 -1)/C96)</f>
        <v>1544110.882174501</v>
      </c>
    </row>
    <row r="101" spans="1:7" x14ac:dyDescent="0.2">
      <c r="A101" s="32" t="s">
        <v>231</v>
      </c>
      <c r="B101" s="33"/>
      <c r="C101" s="33"/>
      <c r="D101" s="33"/>
      <c r="E101" s="33"/>
      <c r="F101" s="33"/>
      <c r="G101" s="33"/>
    </row>
    <row r="102" spans="1:7" x14ac:dyDescent="0.2">
      <c r="A102" s="33"/>
      <c r="B102" s="33"/>
      <c r="C102" s="33"/>
      <c r="D102" s="33"/>
      <c r="E102" s="33"/>
      <c r="F102" s="33"/>
      <c r="G102" s="33"/>
    </row>
    <row r="103" spans="1:7" x14ac:dyDescent="0.2">
      <c r="A103" s="33"/>
      <c r="B103" s="33"/>
      <c r="C103" s="33"/>
      <c r="D103" s="33"/>
      <c r="E103" s="33"/>
      <c r="F103" s="33"/>
      <c r="G103" s="33"/>
    </row>
    <row r="104" spans="1:7" x14ac:dyDescent="0.2">
      <c r="A104" s="33"/>
      <c r="B104" s="33"/>
      <c r="C104" s="33"/>
      <c r="D104" s="33"/>
      <c r="E104" s="33"/>
      <c r="F104" s="33"/>
      <c r="G104" s="33"/>
    </row>
    <row r="105" spans="1:7" x14ac:dyDescent="0.2">
      <c r="A105" s="33"/>
      <c r="B105" s="33"/>
      <c r="C105" s="33"/>
      <c r="D105" s="33"/>
      <c r="E105" s="33"/>
      <c r="F105" s="33"/>
      <c r="G105" s="33"/>
    </row>
    <row r="106" spans="1:7" x14ac:dyDescent="0.2">
      <c r="A106" s="2" t="s">
        <v>1</v>
      </c>
      <c r="B106" s="2">
        <v>900000</v>
      </c>
    </row>
    <row r="107" spans="1:7" x14ac:dyDescent="0.2">
      <c r="A107" s="2" t="s">
        <v>7</v>
      </c>
      <c r="B107" s="2">
        <v>0.06</v>
      </c>
    </row>
    <row r="108" spans="1:7" x14ac:dyDescent="0.2">
      <c r="A108" s="2" t="s">
        <v>5</v>
      </c>
      <c r="B108" s="2">
        <v>10</v>
      </c>
    </row>
    <row r="109" spans="1:7" x14ac:dyDescent="0.2">
      <c r="A109" s="2"/>
      <c r="B109" s="2"/>
    </row>
    <row r="111" spans="1:7" x14ac:dyDescent="0.2">
      <c r="A111" s="4" t="s">
        <v>214</v>
      </c>
      <c r="B111" s="5">
        <f>(B106*((1+B107)-1))/((1+B107)^B108 -1)</f>
        <v>68281.162398345419</v>
      </c>
    </row>
    <row r="114" spans="1:7" x14ac:dyDescent="0.2">
      <c r="A114" s="32" t="s">
        <v>200</v>
      </c>
      <c r="B114" s="33"/>
      <c r="C114" s="33"/>
      <c r="D114" s="33"/>
      <c r="E114" s="33"/>
      <c r="F114" s="33"/>
      <c r="G114" s="33"/>
    </row>
    <row r="115" spans="1:7" x14ac:dyDescent="0.2">
      <c r="A115" s="33"/>
      <c r="B115" s="33"/>
      <c r="C115" s="33"/>
      <c r="D115" s="33"/>
      <c r="E115" s="33"/>
      <c r="F115" s="33"/>
      <c r="G115" s="33"/>
    </row>
    <row r="116" spans="1:7" x14ac:dyDescent="0.2">
      <c r="A116" s="33"/>
      <c r="B116" s="33"/>
      <c r="C116" s="33"/>
      <c r="D116" s="33"/>
      <c r="E116" s="33"/>
      <c r="F116" s="33"/>
      <c r="G116" s="33"/>
    </row>
    <row r="117" spans="1:7" x14ac:dyDescent="0.2">
      <c r="A117" s="33"/>
      <c r="B117" s="33"/>
      <c r="C117" s="33"/>
      <c r="D117" s="33"/>
      <c r="E117" s="33"/>
      <c r="F117" s="33"/>
      <c r="G117" s="33"/>
    </row>
    <row r="118" spans="1:7" x14ac:dyDescent="0.2">
      <c r="A118" s="33"/>
      <c r="B118" s="33"/>
      <c r="C118" s="33"/>
      <c r="D118" s="33"/>
      <c r="E118" s="33"/>
      <c r="F118" s="33"/>
      <c r="G118" s="33"/>
    </row>
    <row r="119" spans="1:7" x14ac:dyDescent="0.2">
      <c r="A119" s="2" t="s">
        <v>2</v>
      </c>
      <c r="B119" s="2">
        <v>160000</v>
      </c>
    </row>
    <row r="120" spans="1:7" x14ac:dyDescent="0.2">
      <c r="A120" s="2" t="s">
        <v>7</v>
      </c>
      <c r="B120" s="2">
        <v>0.1</v>
      </c>
      <c r="C120" s="1">
        <v>0.08</v>
      </c>
    </row>
    <row r="121" spans="1:7" x14ac:dyDescent="0.2">
      <c r="A121" s="2"/>
      <c r="B121" s="2"/>
    </row>
    <row r="122" spans="1:7" x14ac:dyDescent="0.2">
      <c r="A122" s="2"/>
      <c r="B122" s="2"/>
    </row>
    <row r="124" spans="1:7" x14ac:dyDescent="0.2">
      <c r="A124" s="4" t="s">
        <v>131</v>
      </c>
      <c r="B124" s="5">
        <f>B119*(1+B120/2)^(2*5+7/12)*(1+C120/2)^(2*7+3/12)</f>
        <v>468919.70470129343</v>
      </c>
    </row>
    <row r="125" spans="1:7" x14ac:dyDescent="0.2">
      <c r="A125" s="32" t="s">
        <v>206</v>
      </c>
      <c r="B125" s="33"/>
      <c r="C125" s="33"/>
      <c r="D125" s="33"/>
      <c r="E125" s="33"/>
      <c r="F125" s="33"/>
      <c r="G125" s="33"/>
    </row>
    <row r="126" spans="1:7" x14ac:dyDescent="0.2">
      <c r="A126" s="33"/>
      <c r="B126" s="33"/>
      <c r="C126" s="33"/>
      <c r="D126" s="33"/>
      <c r="E126" s="33"/>
      <c r="F126" s="33"/>
      <c r="G126" s="33"/>
    </row>
    <row r="127" spans="1:7" x14ac:dyDescent="0.2">
      <c r="A127" s="33"/>
      <c r="B127" s="33"/>
      <c r="C127" s="33"/>
      <c r="D127" s="33"/>
      <c r="E127" s="33"/>
      <c r="F127" s="33"/>
      <c r="G127" s="33"/>
    </row>
    <row r="128" spans="1:7" x14ac:dyDescent="0.2">
      <c r="A128" s="33"/>
      <c r="B128" s="33"/>
      <c r="C128" s="33"/>
      <c r="D128" s="33"/>
      <c r="E128" s="33"/>
      <c r="F128" s="33"/>
      <c r="G128" s="33"/>
    </row>
    <row r="129" spans="1:7" x14ac:dyDescent="0.2">
      <c r="A129" s="33"/>
      <c r="B129" s="33"/>
      <c r="C129" s="33"/>
      <c r="D129" s="33"/>
      <c r="E129" s="33"/>
      <c r="F129" s="33"/>
      <c r="G129" s="33"/>
    </row>
    <row r="130" spans="1:7" x14ac:dyDescent="0.2">
      <c r="A130" s="2" t="s">
        <v>2</v>
      </c>
      <c r="B130" s="2">
        <v>350000</v>
      </c>
    </row>
    <row r="131" spans="1:7" x14ac:dyDescent="0.2">
      <c r="A131" s="2" t="s">
        <v>7</v>
      </c>
      <c r="B131" s="2">
        <v>0.11</v>
      </c>
    </row>
    <row r="132" spans="1:7" x14ac:dyDescent="0.2">
      <c r="A132" s="2" t="s">
        <v>207</v>
      </c>
      <c r="B132" s="2">
        <v>200000</v>
      </c>
    </row>
    <row r="133" spans="1:7" x14ac:dyDescent="0.2">
      <c r="A133" s="2" t="s">
        <v>78</v>
      </c>
      <c r="B133" s="2">
        <v>2</v>
      </c>
    </row>
    <row r="135" spans="1:7" x14ac:dyDescent="0.2">
      <c r="A135" s="4" t="s">
        <v>1</v>
      </c>
      <c r="B135" s="5">
        <f>(B130*(1+B131/B133)^(B133*5) -B132 ) * (1+B131/B133)^(B133*7)</f>
        <v>841888.17399974668</v>
      </c>
    </row>
    <row r="137" spans="1:7" x14ac:dyDescent="0.2">
      <c r="A137" s="32" t="s">
        <v>212</v>
      </c>
      <c r="B137" s="33"/>
      <c r="C137" s="33"/>
      <c r="D137" s="33"/>
      <c r="E137" s="33"/>
      <c r="F137" s="33"/>
      <c r="G137" s="33"/>
    </row>
    <row r="138" spans="1:7" x14ac:dyDescent="0.2">
      <c r="A138" s="33"/>
      <c r="B138" s="33"/>
      <c r="C138" s="33"/>
      <c r="D138" s="33"/>
      <c r="E138" s="33"/>
      <c r="F138" s="33"/>
      <c r="G138" s="33"/>
    </row>
    <row r="139" spans="1:7" x14ac:dyDescent="0.2">
      <c r="A139" s="33"/>
      <c r="B139" s="33"/>
      <c r="C139" s="33"/>
      <c r="D139" s="33"/>
      <c r="E139" s="33"/>
      <c r="F139" s="33"/>
      <c r="G139" s="33"/>
    </row>
    <row r="140" spans="1:7" x14ac:dyDescent="0.2">
      <c r="A140" s="33"/>
      <c r="B140" s="33"/>
      <c r="C140" s="33"/>
      <c r="D140" s="33"/>
      <c r="E140" s="33"/>
      <c r="F140" s="33"/>
      <c r="G140" s="33"/>
    </row>
    <row r="141" spans="1:7" x14ac:dyDescent="0.2">
      <c r="A141" s="33"/>
      <c r="B141" s="33"/>
      <c r="C141" s="33"/>
      <c r="D141" s="33"/>
      <c r="E141" s="33"/>
      <c r="F141" s="33"/>
      <c r="G141" s="33"/>
    </row>
    <row r="142" spans="1:7" x14ac:dyDescent="0.2">
      <c r="A142" s="2" t="s">
        <v>56</v>
      </c>
      <c r="B142" s="2">
        <v>0.1</v>
      </c>
    </row>
    <row r="143" spans="1:7" x14ac:dyDescent="0.2">
      <c r="A143" s="2" t="s">
        <v>213</v>
      </c>
      <c r="B143" s="2">
        <v>0.01</v>
      </c>
    </row>
    <row r="144" spans="1:7" x14ac:dyDescent="0.2">
      <c r="A144" s="2" t="s">
        <v>5</v>
      </c>
      <c r="B144" s="2">
        <v>2.5</v>
      </c>
    </row>
    <row r="145" spans="1:7" x14ac:dyDescent="0.2">
      <c r="A145" s="2"/>
      <c r="B145" s="2"/>
    </row>
    <row r="147" spans="1:7" x14ac:dyDescent="0.2">
      <c r="A147" s="4" t="s">
        <v>216</v>
      </c>
      <c r="B147" s="20">
        <f>(1+B142+B143)^0.5 * (1+B142+B143*2)^0.5 * (1+B142+B143*3)^0.5 * (1+B142+B143*4)^0.5 * (1+B142+B143*5)^0.5</f>
        <v>1.3570975558153515</v>
      </c>
    </row>
    <row r="148" spans="1:7" x14ac:dyDescent="0.2">
      <c r="A148" s="32" t="s">
        <v>218</v>
      </c>
      <c r="B148" s="33"/>
      <c r="C148" s="33"/>
      <c r="D148" s="33"/>
      <c r="E148" s="33"/>
      <c r="F148" s="33"/>
      <c r="G148" s="33"/>
    </row>
    <row r="149" spans="1:7" x14ac:dyDescent="0.2">
      <c r="A149" s="33"/>
      <c r="B149" s="33"/>
      <c r="C149" s="33"/>
      <c r="D149" s="33"/>
      <c r="E149" s="33"/>
      <c r="F149" s="33"/>
      <c r="G149" s="33"/>
    </row>
    <row r="150" spans="1:7" x14ac:dyDescent="0.2">
      <c r="A150" s="33"/>
      <c r="B150" s="33"/>
      <c r="C150" s="33"/>
      <c r="D150" s="33"/>
      <c r="E150" s="33"/>
      <c r="F150" s="33"/>
      <c r="G150" s="33"/>
    </row>
    <row r="151" spans="1:7" x14ac:dyDescent="0.2">
      <c r="A151" s="33"/>
      <c r="B151" s="33"/>
      <c r="C151" s="33"/>
      <c r="D151" s="33"/>
      <c r="E151" s="33"/>
      <c r="F151" s="33"/>
      <c r="G151" s="33"/>
    </row>
    <row r="152" spans="1:7" x14ac:dyDescent="0.2">
      <c r="A152" s="33"/>
      <c r="B152" s="33"/>
      <c r="C152" s="33"/>
      <c r="D152" s="33"/>
      <c r="E152" s="33"/>
      <c r="F152" s="33"/>
      <c r="G152" s="33"/>
    </row>
    <row r="153" spans="1:7" x14ac:dyDescent="0.2">
      <c r="A153" s="2" t="s">
        <v>2</v>
      </c>
      <c r="B153" s="2">
        <v>300000</v>
      </c>
    </row>
    <row r="154" spans="1:7" x14ac:dyDescent="0.2">
      <c r="A154" s="2" t="s">
        <v>7</v>
      </c>
      <c r="B154" s="2">
        <v>0.3</v>
      </c>
      <c r="C154" s="1">
        <v>0.35</v>
      </c>
      <c r="D154" s="1">
        <v>0.37</v>
      </c>
      <c r="E154" s="1">
        <v>0.4</v>
      </c>
    </row>
    <row r="155" spans="1:7" x14ac:dyDescent="0.2">
      <c r="A155" s="2"/>
      <c r="B155" s="2"/>
    </row>
    <row r="156" spans="1:7" x14ac:dyDescent="0.2">
      <c r="A156" s="2"/>
      <c r="B156" s="2"/>
    </row>
    <row r="158" spans="1:7" x14ac:dyDescent="0.2">
      <c r="A158" s="4" t="s">
        <v>1</v>
      </c>
      <c r="B158" s="5">
        <f>B153*(1+B154)*(1+C154)*(1+D154)*(1+E154)</f>
        <v>1009826.9999999999</v>
      </c>
    </row>
    <row r="159" spans="1:7" x14ac:dyDescent="0.2">
      <c r="A159" s="32" t="s">
        <v>220</v>
      </c>
      <c r="B159" s="33"/>
      <c r="C159" s="33"/>
      <c r="D159" s="33"/>
      <c r="E159" s="33"/>
      <c r="F159" s="33"/>
      <c r="G159" s="33"/>
    </row>
    <row r="160" spans="1:7" x14ac:dyDescent="0.2">
      <c r="A160" s="33"/>
      <c r="B160" s="33"/>
      <c r="C160" s="33"/>
      <c r="D160" s="33"/>
      <c r="E160" s="33"/>
      <c r="F160" s="33"/>
      <c r="G160" s="33"/>
    </row>
    <row r="161" spans="1:7" x14ac:dyDescent="0.2">
      <c r="A161" s="33"/>
      <c r="B161" s="33"/>
      <c r="C161" s="33"/>
      <c r="D161" s="33"/>
      <c r="E161" s="33"/>
      <c r="F161" s="33"/>
      <c r="G161" s="33"/>
    </row>
    <row r="162" spans="1:7" x14ac:dyDescent="0.2">
      <c r="A162" s="33"/>
      <c r="B162" s="33"/>
      <c r="C162" s="33"/>
      <c r="D162" s="33"/>
      <c r="E162" s="33"/>
      <c r="F162" s="33"/>
      <c r="G162" s="33"/>
    </row>
    <row r="163" spans="1:7" x14ac:dyDescent="0.2">
      <c r="A163" s="33"/>
      <c r="B163" s="33"/>
      <c r="C163" s="33"/>
      <c r="D163" s="33"/>
      <c r="E163" s="33"/>
      <c r="F163" s="33"/>
      <c r="G163" s="33"/>
    </row>
    <row r="164" spans="1:7" x14ac:dyDescent="0.2">
      <c r="A164" s="2" t="s">
        <v>56</v>
      </c>
      <c r="B164" s="2">
        <v>0.12</v>
      </c>
    </row>
    <row r="165" spans="1:7" x14ac:dyDescent="0.2">
      <c r="A165" s="2" t="s">
        <v>78</v>
      </c>
      <c r="B165" s="2">
        <v>12</v>
      </c>
    </row>
    <row r="166" spans="1:7" x14ac:dyDescent="0.2">
      <c r="A166" s="2"/>
      <c r="B166" s="2"/>
    </row>
    <row r="167" spans="1:7" x14ac:dyDescent="0.2">
      <c r="A167" s="2"/>
      <c r="B167" s="2"/>
    </row>
    <row r="169" spans="1:7" x14ac:dyDescent="0.2">
      <c r="A169" s="4" t="s">
        <v>128</v>
      </c>
      <c r="B169" s="5">
        <f>1-(1-B164/B165)^B165</f>
        <v>0.11361512828387088</v>
      </c>
    </row>
    <row r="170" spans="1:7" x14ac:dyDescent="0.2">
      <c r="A170" s="32" t="s">
        <v>222</v>
      </c>
      <c r="B170" s="33"/>
      <c r="C170" s="33"/>
      <c r="D170" s="33"/>
      <c r="E170" s="33"/>
      <c r="F170" s="33"/>
      <c r="G170" s="33"/>
    </row>
    <row r="171" spans="1:7" x14ac:dyDescent="0.2">
      <c r="A171" s="33"/>
      <c r="B171" s="33"/>
      <c r="C171" s="33"/>
      <c r="D171" s="33"/>
      <c r="E171" s="33"/>
      <c r="F171" s="33"/>
      <c r="G171" s="33"/>
    </row>
    <row r="172" spans="1:7" x14ac:dyDescent="0.2">
      <c r="A172" s="33"/>
      <c r="B172" s="33"/>
      <c r="C172" s="33"/>
      <c r="D172" s="33"/>
      <c r="E172" s="33"/>
      <c r="F172" s="33"/>
      <c r="G172" s="33"/>
    </row>
    <row r="173" spans="1:7" x14ac:dyDescent="0.2">
      <c r="A173" s="33"/>
      <c r="B173" s="33"/>
      <c r="C173" s="33"/>
      <c r="D173" s="33"/>
      <c r="E173" s="33"/>
      <c r="F173" s="33"/>
      <c r="G173" s="33"/>
    </row>
    <row r="174" spans="1:7" x14ac:dyDescent="0.2">
      <c r="A174" s="33"/>
      <c r="B174" s="33"/>
      <c r="C174" s="33"/>
      <c r="D174" s="33"/>
      <c r="E174" s="33"/>
      <c r="F174" s="33"/>
      <c r="G174" s="33"/>
    </row>
    <row r="175" spans="1:7" x14ac:dyDescent="0.2">
      <c r="A175" s="2" t="s">
        <v>2</v>
      </c>
      <c r="B175" s="2">
        <v>120000</v>
      </c>
    </row>
    <row r="176" spans="1:7" x14ac:dyDescent="0.2">
      <c r="A176" s="2" t="s">
        <v>56</v>
      </c>
      <c r="B176" s="2">
        <v>0.11</v>
      </c>
      <c r="C176" s="1">
        <v>0.6</v>
      </c>
    </row>
    <row r="177" spans="1:7" x14ac:dyDescent="0.2">
      <c r="A177" s="2" t="s">
        <v>5</v>
      </c>
      <c r="B177" s="2">
        <v>4</v>
      </c>
      <c r="C177" s="1">
        <v>2</v>
      </c>
    </row>
    <row r="178" spans="1:7" x14ac:dyDescent="0.2">
      <c r="A178" s="2"/>
      <c r="B178" s="2"/>
    </row>
    <row r="180" spans="1:7" x14ac:dyDescent="0.2">
      <c r="A180" s="4" t="s">
        <v>1</v>
      </c>
      <c r="B180" s="21">
        <f>B175*(1+B176*B177)*(1+C176*C177)</f>
        <v>380160.00000000006</v>
      </c>
    </row>
    <row r="181" spans="1:7" x14ac:dyDescent="0.2">
      <c r="A181" s="32" t="s">
        <v>224</v>
      </c>
      <c r="B181" s="33"/>
      <c r="C181" s="33"/>
      <c r="D181" s="33"/>
      <c r="E181" s="33"/>
      <c r="F181" s="33"/>
      <c r="G181" s="33"/>
    </row>
    <row r="182" spans="1:7" x14ac:dyDescent="0.2">
      <c r="A182" s="33"/>
      <c r="B182" s="33"/>
      <c r="C182" s="33"/>
      <c r="D182" s="33"/>
      <c r="E182" s="33"/>
      <c r="F182" s="33"/>
      <c r="G182" s="33"/>
    </row>
    <row r="183" spans="1:7" x14ac:dyDescent="0.2">
      <c r="A183" s="33"/>
      <c r="B183" s="33"/>
      <c r="C183" s="33"/>
      <c r="D183" s="33"/>
      <c r="E183" s="33"/>
      <c r="F183" s="33"/>
      <c r="G183" s="33"/>
    </row>
    <row r="184" spans="1:7" x14ac:dyDescent="0.2">
      <c r="A184" s="33"/>
      <c r="B184" s="33"/>
      <c r="C184" s="33"/>
      <c r="D184" s="33"/>
      <c r="E184" s="33"/>
      <c r="F184" s="33"/>
      <c r="G184" s="33"/>
    </row>
    <row r="185" spans="1:7" x14ac:dyDescent="0.2">
      <c r="A185" s="33"/>
      <c r="B185" s="33"/>
      <c r="C185" s="33"/>
      <c r="D185" s="33"/>
      <c r="E185" s="33"/>
      <c r="F185" s="33"/>
      <c r="G185" s="33"/>
    </row>
    <row r="186" spans="1:7" x14ac:dyDescent="0.2">
      <c r="A186" s="2" t="s">
        <v>214</v>
      </c>
      <c r="B186" s="2">
        <v>3000</v>
      </c>
      <c r="C186" s="1">
        <v>2000</v>
      </c>
    </row>
    <row r="187" spans="1:7" x14ac:dyDescent="0.2">
      <c r="A187" s="2" t="s">
        <v>7</v>
      </c>
      <c r="B187" s="2">
        <v>0.1</v>
      </c>
      <c r="C187" s="1">
        <v>0.1</v>
      </c>
    </row>
    <row r="188" spans="1:7" x14ac:dyDescent="0.2">
      <c r="A188" s="2" t="s">
        <v>5</v>
      </c>
      <c r="B188" s="2">
        <v>5</v>
      </c>
    </row>
    <row r="189" spans="1:7" x14ac:dyDescent="0.2">
      <c r="A189" s="13" t="s">
        <v>1</v>
      </c>
      <c r="B189" s="1">
        <f>B186*(((1+B187)^B188 -1)/B187)</f>
        <v>18315.300000000017</v>
      </c>
    </row>
    <row r="191" spans="1:7" x14ac:dyDescent="0.2">
      <c r="A191" s="4" t="s">
        <v>225</v>
      </c>
      <c r="B191" s="5">
        <f>LN(B189/C186*B187+1)/LN(1+B187)</f>
        <v>6.8210659344478755</v>
      </c>
    </row>
    <row r="192" spans="1:7" x14ac:dyDescent="0.2">
      <c r="A192" s="32" t="s">
        <v>227</v>
      </c>
      <c r="B192" s="33"/>
      <c r="C192" s="33"/>
      <c r="D192" s="33"/>
      <c r="E192" s="33"/>
      <c r="F192" s="33"/>
      <c r="G192" s="33"/>
    </row>
    <row r="193" spans="1:7" x14ac:dyDescent="0.2">
      <c r="A193" s="33"/>
      <c r="B193" s="33"/>
      <c r="C193" s="33"/>
      <c r="D193" s="33"/>
      <c r="E193" s="33"/>
      <c r="F193" s="33"/>
      <c r="G193" s="33"/>
    </row>
    <row r="194" spans="1:7" x14ac:dyDescent="0.2">
      <c r="A194" s="33"/>
      <c r="B194" s="33"/>
      <c r="C194" s="33"/>
      <c r="D194" s="33"/>
      <c r="E194" s="33"/>
      <c r="F194" s="33"/>
      <c r="G194" s="33"/>
    </row>
    <row r="195" spans="1:7" x14ac:dyDescent="0.2">
      <c r="A195" s="33"/>
      <c r="B195" s="33"/>
      <c r="C195" s="33"/>
      <c r="D195" s="33"/>
      <c r="E195" s="33"/>
      <c r="F195" s="33"/>
      <c r="G195" s="33"/>
    </row>
    <row r="196" spans="1:7" x14ac:dyDescent="0.2">
      <c r="A196" s="33"/>
      <c r="B196" s="33"/>
      <c r="C196" s="33"/>
      <c r="D196" s="33"/>
      <c r="E196" s="33"/>
      <c r="F196" s="33"/>
      <c r="G196" s="33"/>
    </row>
    <row r="197" spans="1:7" x14ac:dyDescent="0.2">
      <c r="A197" s="2" t="s">
        <v>214</v>
      </c>
      <c r="B197" s="2">
        <v>20000</v>
      </c>
    </row>
    <row r="198" spans="1:7" x14ac:dyDescent="0.2">
      <c r="A198" s="2" t="s">
        <v>7</v>
      </c>
      <c r="B198" s="2">
        <v>0.1</v>
      </c>
      <c r="C198" s="1">
        <v>0.1</v>
      </c>
    </row>
    <row r="199" spans="1:7" x14ac:dyDescent="0.2">
      <c r="A199" s="2" t="s">
        <v>5</v>
      </c>
      <c r="B199" s="2">
        <v>2</v>
      </c>
      <c r="C199" s="1">
        <v>4</v>
      </c>
    </row>
    <row r="200" spans="1:7" x14ac:dyDescent="0.2">
      <c r="A200" s="13" t="s">
        <v>1</v>
      </c>
      <c r="B200" s="1">
        <f>B197*(((1+B198)^B199 -1)/B198)</f>
        <v>42000.000000000036</v>
      </c>
    </row>
    <row r="202" spans="1:7" x14ac:dyDescent="0.2">
      <c r="A202" s="4" t="s">
        <v>228</v>
      </c>
      <c r="B202" s="5">
        <f>(B200*((1+C198)-1))/((1+C198)^C199 -1)</f>
        <v>9049.7737556561169</v>
      </c>
    </row>
    <row r="203" spans="1:7" x14ac:dyDescent="0.2">
      <c r="A203" s="32" t="s">
        <v>230</v>
      </c>
      <c r="B203" s="33"/>
      <c r="C203" s="33"/>
      <c r="D203" s="33"/>
      <c r="E203" s="33"/>
      <c r="F203" s="33"/>
      <c r="G203" s="33"/>
    </row>
    <row r="204" spans="1:7" x14ac:dyDescent="0.2">
      <c r="A204" s="33"/>
      <c r="B204" s="33"/>
      <c r="C204" s="33"/>
      <c r="D204" s="33"/>
      <c r="E204" s="33"/>
      <c r="F204" s="33"/>
      <c r="G204" s="33"/>
    </row>
    <row r="205" spans="1:7" x14ac:dyDescent="0.2">
      <c r="A205" s="33"/>
      <c r="B205" s="33"/>
      <c r="C205" s="33"/>
      <c r="D205" s="33"/>
      <c r="E205" s="33"/>
      <c r="F205" s="33"/>
      <c r="G205" s="33"/>
    </row>
    <row r="206" spans="1:7" x14ac:dyDescent="0.2">
      <c r="A206" s="33"/>
      <c r="B206" s="33"/>
      <c r="C206" s="33"/>
      <c r="D206" s="33"/>
      <c r="E206" s="33"/>
      <c r="F206" s="33"/>
      <c r="G206" s="33"/>
    </row>
    <row r="207" spans="1:7" x14ac:dyDescent="0.2">
      <c r="A207" s="33"/>
      <c r="B207" s="33"/>
      <c r="C207" s="33"/>
      <c r="D207" s="33"/>
      <c r="E207" s="33"/>
      <c r="F207" s="33"/>
      <c r="G207" s="33"/>
    </row>
    <row r="208" spans="1:7" x14ac:dyDescent="0.2">
      <c r="A208" s="2" t="s">
        <v>214</v>
      </c>
      <c r="B208" s="2">
        <v>20000</v>
      </c>
      <c r="C208" s="1">
        <v>25000</v>
      </c>
    </row>
    <row r="209" spans="1:7" x14ac:dyDescent="0.2">
      <c r="A209" s="2" t="s">
        <v>7</v>
      </c>
      <c r="B209" s="2">
        <v>0.1</v>
      </c>
      <c r="C209" s="1">
        <v>0.12</v>
      </c>
      <c r="D209" s="1">
        <v>0.15</v>
      </c>
    </row>
    <row r="210" spans="1:7" x14ac:dyDescent="0.2">
      <c r="A210" s="2" t="s">
        <v>5</v>
      </c>
      <c r="B210" s="2">
        <v>4</v>
      </c>
      <c r="C210" s="1">
        <v>6</v>
      </c>
      <c r="D210" s="1">
        <v>7</v>
      </c>
    </row>
    <row r="211" spans="1:7" x14ac:dyDescent="0.2">
      <c r="A211" s="13" t="s">
        <v>1</v>
      </c>
      <c r="B211" s="1">
        <f>B208*(((1+B209)^B210 -1)/B209)</f>
        <v>92820.000000000073</v>
      </c>
      <c r="C211" s="1">
        <f>C208*(((1+C209)^C210 -1)/C209)</f>
        <v>202879.7260800002</v>
      </c>
      <c r="D211" s="1">
        <f>B211+C211</f>
        <v>295699.72608000028</v>
      </c>
    </row>
    <row r="213" spans="1:7" x14ac:dyDescent="0.2">
      <c r="A213" s="4" t="s">
        <v>214</v>
      </c>
      <c r="B213" s="5">
        <f>(D211*((1+D209)-1))/((1+D209)^D210 -1)</f>
        <v>26719.534768147041</v>
      </c>
    </row>
    <row r="215" spans="1:7" x14ac:dyDescent="0.2">
      <c r="A215" s="32" t="s">
        <v>232</v>
      </c>
      <c r="B215" s="33"/>
      <c r="C215" s="33"/>
      <c r="D215" s="33"/>
      <c r="E215" s="33"/>
      <c r="F215" s="33"/>
      <c r="G215" s="33"/>
    </row>
    <row r="216" spans="1:7" x14ac:dyDescent="0.2">
      <c r="A216" s="33"/>
      <c r="B216" s="33"/>
      <c r="C216" s="33"/>
      <c r="D216" s="33"/>
      <c r="E216" s="33"/>
      <c r="F216" s="33"/>
      <c r="G216" s="33"/>
    </row>
    <row r="217" spans="1:7" x14ac:dyDescent="0.2">
      <c r="A217" s="33"/>
      <c r="B217" s="33"/>
      <c r="C217" s="33"/>
      <c r="D217" s="33"/>
      <c r="E217" s="33"/>
      <c r="F217" s="33"/>
      <c r="G217" s="33"/>
    </row>
    <row r="218" spans="1:7" x14ac:dyDescent="0.2">
      <c r="A218" s="33"/>
      <c r="B218" s="33"/>
      <c r="C218" s="33"/>
      <c r="D218" s="33"/>
      <c r="E218" s="33"/>
      <c r="F218" s="33"/>
      <c r="G218" s="33"/>
    </row>
    <row r="219" spans="1:7" x14ac:dyDescent="0.2">
      <c r="A219" s="33"/>
      <c r="B219" s="33"/>
      <c r="C219" s="33"/>
      <c r="D219" s="33"/>
      <c r="E219" s="33"/>
      <c r="F219" s="33"/>
      <c r="G219" s="33"/>
    </row>
    <row r="220" spans="1:7" x14ac:dyDescent="0.2">
      <c r="A220" s="2" t="s">
        <v>214</v>
      </c>
      <c r="B220" s="2">
        <v>10000</v>
      </c>
      <c r="C220" s="1">
        <v>15000</v>
      </c>
      <c r="D220" s="1">
        <v>20000</v>
      </c>
    </row>
    <row r="221" spans="1:7" x14ac:dyDescent="0.2">
      <c r="A221" s="2" t="s">
        <v>7</v>
      </c>
      <c r="B221" s="2">
        <v>0.1</v>
      </c>
      <c r="C221" s="1">
        <v>0.1</v>
      </c>
      <c r="D221" s="1">
        <v>0.1</v>
      </c>
      <c r="E221" s="1">
        <v>0.15</v>
      </c>
    </row>
    <row r="222" spans="1:7" x14ac:dyDescent="0.2">
      <c r="A222" s="2" t="s">
        <v>5</v>
      </c>
      <c r="B222" s="2">
        <v>3</v>
      </c>
      <c r="C222" s="1">
        <v>5</v>
      </c>
      <c r="D222" s="1">
        <v>7</v>
      </c>
      <c r="E222" s="1">
        <v>4</v>
      </c>
    </row>
    <row r="223" spans="1:7" x14ac:dyDescent="0.2">
      <c r="A223" s="13" t="s">
        <v>1</v>
      </c>
      <c r="B223" s="1">
        <f>B220*(((1+B221)^B222 -1)/B221)</f>
        <v>33100.000000000044</v>
      </c>
      <c r="C223" s="1">
        <f>C220*(((1+C221)^C222 -1)/C221)</f>
        <v>91576.500000000087</v>
      </c>
      <c r="D223" s="1">
        <f>D220*(((1+D221)^D222 -1)/D221)</f>
        <v>189743.42000000022</v>
      </c>
      <c r="E223" s="1">
        <f>B223+C223+D223</f>
        <v>314419.92000000033</v>
      </c>
    </row>
    <row r="225" spans="1:2" x14ac:dyDescent="0.2">
      <c r="A225" s="4" t="s">
        <v>214</v>
      </c>
      <c r="B225" s="5">
        <f>(E223*((1+E221)-1))/((1+E221)^E222 -1)</f>
        <v>62967.415825969481</v>
      </c>
    </row>
  </sheetData>
  <mergeCells count="20">
    <mergeCell ref="A170:G174"/>
    <mergeCell ref="A181:G185"/>
    <mergeCell ref="A192:G196"/>
    <mergeCell ref="A203:G207"/>
    <mergeCell ref="A215:G219"/>
    <mergeCell ref="A114:G118"/>
    <mergeCell ref="A125:G129"/>
    <mergeCell ref="A137:G141"/>
    <mergeCell ref="A148:G152"/>
    <mergeCell ref="A159:G163"/>
    <mergeCell ref="A1:K5"/>
    <mergeCell ref="A12:H16"/>
    <mergeCell ref="A24:G28"/>
    <mergeCell ref="A35:G39"/>
    <mergeCell ref="A46:G50"/>
    <mergeCell ref="A57:G61"/>
    <mergeCell ref="A101:G105"/>
    <mergeCell ref="A68:G72"/>
    <mergeCell ref="A79:G83"/>
    <mergeCell ref="A90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5BC-AC3B-4040-8218-84B0D10AA824}">
  <dimension ref="A1:I228"/>
  <sheetViews>
    <sheetView workbookViewId="0">
      <selection activeCell="J22" sqref="J22"/>
    </sheetView>
  </sheetViews>
  <sheetFormatPr baseColWidth="10" defaultColWidth="8.83203125" defaultRowHeight="16" x14ac:dyDescent="0.2"/>
  <cols>
    <col min="1" max="1" width="8.83203125" style="1"/>
    <col min="2" max="2" width="9.5" style="1" bestFit="1" customWidth="1"/>
    <col min="3" max="9" width="8.83203125" style="1"/>
    <col min="10" max="10" width="9.5" style="1" bestFit="1" customWidth="1"/>
    <col min="11" max="16384" width="8.83203125" style="1"/>
  </cols>
  <sheetData>
    <row r="1" spans="1:8" ht="15" customHeight="1" x14ac:dyDescent="0.2">
      <c r="A1" s="31" t="s">
        <v>233</v>
      </c>
      <c r="B1" s="31"/>
      <c r="C1" s="31"/>
      <c r="D1" s="31"/>
      <c r="E1" s="31"/>
      <c r="F1" s="31"/>
      <c r="G1" s="31"/>
      <c r="H1" s="31"/>
    </row>
    <row r="2" spans="1:8" x14ac:dyDescent="0.2">
      <c r="A2" s="31"/>
      <c r="B2" s="31"/>
      <c r="C2" s="31"/>
      <c r="D2" s="31"/>
      <c r="E2" s="31"/>
      <c r="F2" s="31"/>
      <c r="G2" s="31"/>
      <c r="H2" s="31"/>
    </row>
    <row r="3" spans="1:8" x14ac:dyDescent="0.2">
      <c r="A3" s="31"/>
      <c r="B3" s="31"/>
      <c r="C3" s="31"/>
      <c r="D3" s="31"/>
      <c r="E3" s="31"/>
      <c r="F3" s="31"/>
      <c r="G3" s="31"/>
      <c r="H3" s="31"/>
    </row>
    <row r="4" spans="1:8" x14ac:dyDescent="0.2">
      <c r="A4" s="31"/>
      <c r="B4" s="31"/>
      <c r="C4" s="31"/>
      <c r="D4" s="31"/>
      <c r="E4" s="31"/>
      <c r="F4" s="31"/>
      <c r="G4" s="31"/>
      <c r="H4" s="31"/>
    </row>
    <row r="5" spans="1:8" x14ac:dyDescent="0.2">
      <c r="A5" s="31"/>
      <c r="B5" s="31"/>
      <c r="C5" s="31"/>
      <c r="D5" s="31"/>
      <c r="E5" s="31"/>
      <c r="F5" s="31"/>
      <c r="G5" s="31"/>
      <c r="H5" s="31"/>
    </row>
    <row r="6" spans="1:8" x14ac:dyDescent="0.2">
      <c r="A6" s="2" t="s">
        <v>5</v>
      </c>
      <c r="B6" s="2">
        <v>5</v>
      </c>
    </row>
    <row r="7" spans="1:8" x14ac:dyDescent="0.2">
      <c r="A7" s="2" t="s">
        <v>179</v>
      </c>
      <c r="B7" s="2">
        <v>2500000</v>
      </c>
    </row>
    <row r="8" spans="1:8" x14ac:dyDescent="0.2">
      <c r="A8" s="2" t="s">
        <v>56</v>
      </c>
      <c r="B8" s="2">
        <v>0.1</v>
      </c>
    </row>
    <row r="9" spans="1:8" x14ac:dyDescent="0.2">
      <c r="A9" s="2" t="s">
        <v>29</v>
      </c>
      <c r="B9" s="2">
        <v>12</v>
      </c>
    </row>
    <row r="10" spans="1:8" x14ac:dyDescent="0.2">
      <c r="A10" s="13" t="s">
        <v>214</v>
      </c>
      <c r="B10" s="1">
        <f>(B7*B8)/((1+B8/B9)^(B6*B9)-1)</f>
        <v>387411.34133805038</v>
      </c>
    </row>
    <row r="11" spans="1:8" x14ac:dyDescent="0.2">
      <c r="A11" s="2" t="s">
        <v>236</v>
      </c>
      <c r="B11" s="2">
        <f>B10/12</f>
        <v>32284.278444837531</v>
      </c>
    </row>
    <row r="12" spans="1:8" ht="15" customHeight="1" x14ac:dyDescent="0.2">
      <c r="A12" s="32" t="s">
        <v>237</v>
      </c>
      <c r="B12" s="32"/>
      <c r="C12" s="32"/>
      <c r="D12" s="32"/>
      <c r="E12" s="32"/>
      <c r="F12" s="32"/>
      <c r="G12" s="32"/>
      <c r="H12" s="32"/>
    </row>
    <row r="13" spans="1:8" x14ac:dyDescent="0.2">
      <c r="A13" s="32"/>
      <c r="B13" s="32"/>
      <c r="C13" s="32"/>
      <c r="D13" s="32"/>
      <c r="E13" s="32"/>
      <c r="F13" s="32"/>
      <c r="G13" s="32"/>
      <c r="H13" s="32"/>
    </row>
    <row r="14" spans="1:8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32"/>
      <c r="B15" s="32"/>
      <c r="C15" s="32"/>
      <c r="D15" s="32"/>
      <c r="E15" s="32"/>
      <c r="F15" s="32"/>
      <c r="G15" s="32"/>
      <c r="H15" s="32"/>
    </row>
    <row r="16" spans="1:8" x14ac:dyDescent="0.2">
      <c r="A16" s="32"/>
      <c r="B16" s="32"/>
      <c r="C16" s="32"/>
      <c r="D16" s="32"/>
      <c r="E16" s="32"/>
      <c r="F16" s="32"/>
      <c r="G16" s="32"/>
      <c r="H16" s="32"/>
    </row>
    <row r="17" spans="1:8" x14ac:dyDescent="0.2">
      <c r="A17" s="2" t="s">
        <v>5</v>
      </c>
      <c r="B17" s="2">
        <f>60-40</f>
        <v>20</v>
      </c>
    </row>
    <row r="18" spans="1:8" x14ac:dyDescent="0.2">
      <c r="A18" s="2" t="s">
        <v>1</v>
      </c>
      <c r="B18" s="2">
        <v>10000</v>
      </c>
    </row>
    <row r="19" spans="1:8" x14ac:dyDescent="0.2">
      <c r="A19" s="2" t="s">
        <v>56</v>
      </c>
      <c r="B19" s="2">
        <v>0.08</v>
      </c>
    </row>
    <row r="20" spans="1:8" x14ac:dyDescent="0.2">
      <c r="A20" s="2" t="s">
        <v>29</v>
      </c>
      <c r="B20" s="2">
        <v>1</v>
      </c>
    </row>
    <row r="22" spans="1:8" x14ac:dyDescent="0.2">
      <c r="A22" s="2" t="s">
        <v>179</v>
      </c>
      <c r="B22" s="9">
        <f>(B18/(1+B19/B20)^(B17*B20))*(((1+B19/B20)^(15*B20)-1)/((1+B19/B20)^(B20/12)-1))*(1+B19/B20)^(B20/12)</f>
        <v>728988.61952176818</v>
      </c>
    </row>
    <row r="24" spans="1:8" ht="15" customHeight="1" x14ac:dyDescent="0.2">
      <c r="A24" s="32" t="s">
        <v>239</v>
      </c>
      <c r="B24" s="32"/>
      <c r="C24" s="32"/>
      <c r="D24" s="32"/>
      <c r="E24" s="32"/>
      <c r="F24" s="32"/>
      <c r="G24" s="32"/>
      <c r="H24" s="32"/>
    </row>
    <row r="25" spans="1:8" x14ac:dyDescent="0.2">
      <c r="A25" s="32"/>
      <c r="B25" s="32"/>
      <c r="C25" s="32"/>
      <c r="D25" s="32"/>
      <c r="E25" s="32"/>
      <c r="F25" s="32"/>
      <c r="G25" s="32"/>
      <c r="H25" s="32"/>
    </row>
    <row r="26" spans="1:8" x14ac:dyDescent="0.2">
      <c r="A26" s="32"/>
      <c r="B26" s="32"/>
      <c r="C26" s="32"/>
      <c r="D26" s="32"/>
      <c r="E26" s="32"/>
      <c r="F26" s="32"/>
      <c r="G26" s="32"/>
      <c r="H26" s="32"/>
    </row>
    <row r="27" spans="1:8" x14ac:dyDescent="0.2">
      <c r="A27" s="32"/>
      <c r="B27" s="32"/>
      <c r="C27" s="32"/>
      <c r="D27" s="32"/>
      <c r="E27" s="32"/>
      <c r="F27" s="32"/>
      <c r="G27" s="32"/>
      <c r="H27" s="32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2" t="s">
        <v>5</v>
      </c>
      <c r="B29" s="2">
        <f>60-45</f>
        <v>15</v>
      </c>
    </row>
    <row r="30" spans="1:8" x14ac:dyDescent="0.2">
      <c r="A30" s="2" t="s">
        <v>1</v>
      </c>
      <c r="B30" s="2">
        <v>10000</v>
      </c>
    </row>
    <row r="31" spans="1:8" x14ac:dyDescent="0.2">
      <c r="A31" s="2" t="s">
        <v>56</v>
      </c>
      <c r="B31" s="2">
        <v>0.12</v>
      </c>
    </row>
    <row r="32" spans="1:8" x14ac:dyDescent="0.2">
      <c r="A32" s="2" t="s">
        <v>29</v>
      </c>
      <c r="B32" s="2">
        <v>2</v>
      </c>
    </row>
    <row r="34" spans="1:8" x14ac:dyDescent="0.2">
      <c r="A34" s="2" t="s">
        <v>179</v>
      </c>
      <c r="B34" s="9">
        <f>(B30/(1+B31/B32)^(B29*B32))*(((1+B31/B32)^(15*B32)-1)/((1+B31/B32)^(B32/12)-1))*(1+B31/B32)^(B32/12)</f>
        <v>854562.09345477587</v>
      </c>
    </row>
    <row r="35" spans="1:8" ht="15" customHeight="1" x14ac:dyDescent="0.2">
      <c r="A35" s="32" t="s">
        <v>241</v>
      </c>
      <c r="B35" s="32"/>
      <c r="C35" s="32"/>
      <c r="D35" s="32"/>
      <c r="E35" s="32"/>
      <c r="F35" s="32"/>
      <c r="G35" s="32"/>
      <c r="H35" s="32"/>
    </row>
    <row r="36" spans="1:8" x14ac:dyDescent="0.2">
      <c r="A36" s="32"/>
      <c r="B36" s="32"/>
      <c r="C36" s="32"/>
      <c r="D36" s="32"/>
      <c r="E36" s="32"/>
      <c r="F36" s="32"/>
      <c r="G36" s="32"/>
      <c r="H36" s="32"/>
    </row>
    <row r="37" spans="1:8" x14ac:dyDescent="0.2">
      <c r="A37" s="32"/>
      <c r="B37" s="32"/>
      <c r="C37" s="32"/>
      <c r="D37" s="32"/>
      <c r="E37" s="32"/>
      <c r="F37" s="32"/>
      <c r="G37" s="32"/>
      <c r="H37" s="32"/>
    </row>
    <row r="38" spans="1:8" x14ac:dyDescent="0.2">
      <c r="A38" s="32"/>
      <c r="B38" s="32"/>
      <c r="C38" s="32"/>
      <c r="D38" s="32"/>
      <c r="E38" s="32"/>
      <c r="F38" s="32"/>
      <c r="G38" s="32"/>
      <c r="H38" s="32"/>
    </row>
    <row r="39" spans="1:8" x14ac:dyDescent="0.2">
      <c r="A39" s="32"/>
      <c r="B39" s="32"/>
      <c r="C39" s="32"/>
      <c r="D39" s="32"/>
      <c r="E39" s="32"/>
      <c r="F39" s="32"/>
      <c r="G39" s="32"/>
      <c r="H39" s="32"/>
    </row>
    <row r="40" spans="1:8" x14ac:dyDescent="0.2">
      <c r="A40" s="2" t="s">
        <v>5</v>
      </c>
      <c r="B40" s="2">
        <f>60-40</f>
        <v>20</v>
      </c>
    </row>
    <row r="41" spans="1:8" x14ac:dyDescent="0.2">
      <c r="A41" s="2" t="s">
        <v>1</v>
      </c>
      <c r="B41" s="2">
        <v>10000</v>
      </c>
    </row>
    <row r="42" spans="1:8" x14ac:dyDescent="0.2">
      <c r="A42" s="2" t="s">
        <v>56</v>
      </c>
      <c r="B42" s="2">
        <v>0.12</v>
      </c>
    </row>
    <row r="43" spans="1:8" x14ac:dyDescent="0.2">
      <c r="A43" s="2" t="s">
        <v>29</v>
      </c>
      <c r="B43" s="2">
        <v>4</v>
      </c>
    </row>
    <row r="45" spans="1:8" x14ac:dyDescent="0.2">
      <c r="A45" s="2" t="s">
        <v>179</v>
      </c>
      <c r="B45" s="9">
        <f>(B41/(1+B42/B43)^(B40*B43))*(((1+B42/B43)^(15*B43)-1)/((1+B42/B43)^(B43/12)-1))*(1+B42/B43)^(B43/12)</f>
        <v>468862.43533043802</v>
      </c>
    </row>
    <row r="46" spans="1:8" ht="15" customHeight="1" x14ac:dyDescent="0.2">
      <c r="A46" s="32" t="s">
        <v>243</v>
      </c>
      <c r="B46" s="32"/>
      <c r="C46" s="32"/>
      <c r="D46" s="32"/>
      <c r="E46" s="32"/>
      <c r="F46" s="32"/>
      <c r="G46" s="32"/>
      <c r="H46" s="32"/>
    </row>
    <row r="47" spans="1:8" x14ac:dyDescent="0.2">
      <c r="A47" s="32"/>
      <c r="B47" s="32"/>
      <c r="C47" s="32"/>
      <c r="D47" s="32"/>
      <c r="E47" s="32"/>
      <c r="F47" s="32"/>
      <c r="G47" s="32"/>
      <c r="H47" s="32"/>
    </row>
    <row r="48" spans="1:8" x14ac:dyDescent="0.2">
      <c r="A48" s="32"/>
      <c r="B48" s="32"/>
      <c r="C48" s="32"/>
      <c r="D48" s="32"/>
      <c r="E48" s="32"/>
      <c r="F48" s="32"/>
      <c r="G48" s="32"/>
      <c r="H48" s="32"/>
    </row>
    <row r="49" spans="1:8" x14ac:dyDescent="0.2">
      <c r="A49" s="32"/>
      <c r="B49" s="32"/>
      <c r="C49" s="32"/>
      <c r="D49" s="32"/>
      <c r="E49" s="32"/>
      <c r="F49" s="32"/>
      <c r="G49" s="32"/>
      <c r="H49" s="32"/>
    </row>
    <row r="50" spans="1:8" x14ac:dyDescent="0.2">
      <c r="A50" s="32"/>
      <c r="B50" s="32"/>
      <c r="C50" s="32"/>
      <c r="D50" s="32"/>
      <c r="E50" s="32"/>
      <c r="F50" s="32"/>
      <c r="G50" s="32"/>
      <c r="H50" s="32"/>
    </row>
    <row r="51" spans="1:8" x14ac:dyDescent="0.2">
      <c r="A51" s="2" t="s">
        <v>5</v>
      </c>
      <c r="B51" s="2">
        <f>60-45</f>
        <v>15</v>
      </c>
    </row>
    <row r="52" spans="1:8" x14ac:dyDescent="0.2">
      <c r="A52" s="2" t="s">
        <v>1</v>
      </c>
      <c r="B52" s="2">
        <v>10000</v>
      </c>
    </row>
    <row r="53" spans="1:8" x14ac:dyDescent="0.2">
      <c r="A53" s="2" t="s">
        <v>56</v>
      </c>
      <c r="B53" s="2">
        <v>0.12</v>
      </c>
    </row>
    <row r="54" spans="1:8" x14ac:dyDescent="0.2">
      <c r="A54" s="2" t="s">
        <v>29</v>
      </c>
      <c r="B54" s="2">
        <v>12</v>
      </c>
    </row>
    <row r="56" spans="1:8" x14ac:dyDescent="0.2">
      <c r="A56" s="2" t="s">
        <v>179</v>
      </c>
      <c r="B56" s="9">
        <f>(B52/(1+B53/B54)^(B51*B54))*(((1+B53/B54)^(15*B54)-1)/((1+B53/B54)^(B54/12)-1))*(1+B53/B54)^(B54/12)</f>
        <v>841548.80628958647</v>
      </c>
    </row>
    <row r="57" spans="1:8" ht="15" customHeight="1" x14ac:dyDescent="0.2">
      <c r="A57" s="32" t="s">
        <v>245</v>
      </c>
      <c r="B57" s="33"/>
      <c r="C57" s="33"/>
      <c r="D57" s="33"/>
      <c r="E57" s="33"/>
      <c r="F57" s="33"/>
      <c r="G57" s="33"/>
    </row>
    <row r="58" spans="1:8" x14ac:dyDescent="0.2">
      <c r="A58" s="33"/>
      <c r="B58" s="33"/>
      <c r="C58" s="33"/>
      <c r="D58" s="33"/>
      <c r="E58" s="33"/>
      <c r="F58" s="33"/>
      <c r="G58" s="33"/>
    </row>
    <row r="59" spans="1:8" x14ac:dyDescent="0.2">
      <c r="A59" s="33"/>
      <c r="B59" s="33"/>
      <c r="C59" s="33"/>
      <c r="D59" s="33"/>
      <c r="E59" s="33"/>
      <c r="F59" s="33"/>
      <c r="G59" s="33"/>
    </row>
    <row r="60" spans="1:8" x14ac:dyDescent="0.2">
      <c r="A60" s="33"/>
      <c r="B60" s="33"/>
      <c r="C60" s="33"/>
      <c r="D60" s="33"/>
      <c r="E60" s="33"/>
      <c r="F60" s="33"/>
      <c r="G60" s="33"/>
    </row>
    <row r="61" spans="1:8" x14ac:dyDescent="0.2">
      <c r="A61" s="33"/>
      <c r="B61" s="33"/>
      <c r="C61" s="33"/>
      <c r="D61" s="33"/>
      <c r="E61" s="33"/>
      <c r="F61" s="33"/>
      <c r="G61" s="33"/>
    </row>
    <row r="62" spans="1:8" x14ac:dyDescent="0.2">
      <c r="A62" s="2" t="s">
        <v>214</v>
      </c>
      <c r="B62" s="2">
        <v>20000</v>
      </c>
    </row>
    <row r="63" spans="1:8" x14ac:dyDescent="0.2">
      <c r="A63" s="2" t="s">
        <v>5</v>
      </c>
      <c r="B63" s="2">
        <v>7</v>
      </c>
    </row>
    <row r="64" spans="1:8" x14ac:dyDescent="0.2">
      <c r="A64" s="2" t="s">
        <v>56</v>
      </c>
      <c r="B64" s="2">
        <v>0.12</v>
      </c>
    </row>
    <row r="65" spans="1:8" x14ac:dyDescent="0.2">
      <c r="A65" s="2" t="s">
        <v>29</v>
      </c>
      <c r="B65" s="2">
        <v>2</v>
      </c>
    </row>
    <row r="67" spans="1:8" x14ac:dyDescent="0.2">
      <c r="A67" s="2" t="s">
        <v>1</v>
      </c>
      <c r="B67" s="2">
        <f>B62*(((1+B64/B65)^(B63*B65)-1)/B64)</f>
        <v>210150.65929240437</v>
      </c>
    </row>
    <row r="68" spans="1:8" ht="15" customHeight="1" x14ac:dyDescent="0.2">
      <c r="A68" s="32" t="s">
        <v>247</v>
      </c>
      <c r="B68" s="32"/>
      <c r="C68" s="32"/>
      <c r="D68" s="32"/>
      <c r="E68" s="32"/>
      <c r="F68" s="32"/>
      <c r="G68" s="32"/>
      <c r="H68" s="32"/>
    </row>
    <row r="69" spans="1:8" x14ac:dyDescent="0.2">
      <c r="A69" s="32"/>
      <c r="B69" s="32"/>
      <c r="C69" s="32"/>
      <c r="D69" s="32"/>
      <c r="E69" s="32"/>
      <c r="F69" s="32"/>
      <c r="G69" s="32"/>
      <c r="H69" s="32"/>
    </row>
    <row r="70" spans="1:8" x14ac:dyDescent="0.2">
      <c r="A70" s="32"/>
      <c r="B70" s="32"/>
      <c r="C70" s="32"/>
      <c r="D70" s="32"/>
      <c r="E70" s="32"/>
      <c r="F70" s="32"/>
      <c r="G70" s="32"/>
      <c r="H70" s="32"/>
    </row>
    <row r="71" spans="1:8" x14ac:dyDescent="0.2">
      <c r="A71" s="32"/>
      <c r="B71" s="32"/>
      <c r="C71" s="32"/>
      <c r="D71" s="32"/>
      <c r="E71" s="32"/>
      <c r="F71" s="32"/>
      <c r="G71" s="32"/>
      <c r="H71" s="32"/>
    </row>
    <row r="72" spans="1:8" x14ac:dyDescent="0.2">
      <c r="A72" s="32"/>
      <c r="B72" s="32"/>
      <c r="C72" s="32"/>
      <c r="D72" s="32"/>
      <c r="E72" s="32"/>
      <c r="F72" s="32"/>
      <c r="G72" s="32"/>
      <c r="H72" s="32"/>
    </row>
    <row r="73" spans="1:8" x14ac:dyDescent="0.2">
      <c r="A73" s="2" t="s">
        <v>214</v>
      </c>
      <c r="B73" s="2">
        <v>150000</v>
      </c>
    </row>
    <row r="74" spans="1:8" x14ac:dyDescent="0.2">
      <c r="A74" s="2" t="s">
        <v>5</v>
      </c>
      <c r="B74" s="2">
        <v>7</v>
      </c>
    </row>
    <row r="75" spans="1:8" x14ac:dyDescent="0.2">
      <c r="A75" s="2" t="s">
        <v>56</v>
      </c>
      <c r="B75" s="2">
        <v>0.12</v>
      </c>
    </row>
    <row r="76" spans="1:8" x14ac:dyDescent="0.2">
      <c r="A76" s="2" t="s">
        <v>29</v>
      </c>
      <c r="B76" s="2">
        <v>2</v>
      </c>
    </row>
    <row r="78" spans="1:8" x14ac:dyDescent="0.2">
      <c r="A78" s="2" t="s">
        <v>1</v>
      </c>
      <c r="B78" s="2">
        <f>B73/B76*((EXP(B74*B75)-1)/(EXP(B75/B76)-1))</f>
        <v>1596588.5673476474</v>
      </c>
    </row>
    <row r="79" spans="1:8" ht="15" customHeight="1" x14ac:dyDescent="0.2">
      <c r="A79" s="34" t="s">
        <v>249</v>
      </c>
      <c r="B79" s="34"/>
      <c r="C79" s="34"/>
      <c r="D79" s="34"/>
      <c r="E79" s="34"/>
      <c r="F79" s="34"/>
      <c r="G79" s="34"/>
      <c r="H79" s="34"/>
    </row>
    <row r="80" spans="1:8" x14ac:dyDescent="0.2">
      <c r="A80" s="34"/>
      <c r="B80" s="34"/>
      <c r="C80" s="34"/>
      <c r="D80" s="34"/>
      <c r="E80" s="34"/>
      <c r="F80" s="34"/>
      <c r="G80" s="34"/>
      <c r="H80" s="34"/>
    </row>
    <row r="81" spans="1:8" x14ac:dyDescent="0.2">
      <c r="A81" s="34"/>
      <c r="B81" s="34"/>
      <c r="C81" s="34"/>
      <c r="D81" s="34"/>
      <c r="E81" s="34"/>
      <c r="F81" s="34"/>
      <c r="G81" s="34"/>
      <c r="H81" s="34"/>
    </row>
    <row r="82" spans="1:8" x14ac:dyDescent="0.2">
      <c r="A82" s="34"/>
      <c r="B82" s="34"/>
      <c r="C82" s="34"/>
      <c r="D82" s="34"/>
      <c r="E82" s="34"/>
      <c r="F82" s="34"/>
      <c r="G82" s="34"/>
      <c r="H82" s="34"/>
    </row>
    <row r="83" spans="1:8" x14ac:dyDescent="0.2">
      <c r="A83" s="34"/>
      <c r="B83" s="34"/>
      <c r="C83" s="34"/>
      <c r="D83" s="34"/>
      <c r="E83" s="34"/>
      <c r="F83" s="34"/>
      <c r="G83" s="34"/>
      <c r="H83" s="34"/>
    </row>
    <row r="84" spans="1:8" x14ac:dyDescent="0.2">
      <c r="A84" s="2" t="s">
        <v>5</v>
      </c>
      <c r="B84" s="2">
        <v>8</v>
      </c>
    </row>
    <row r="85" spans="1:8" x14ac:dyDescent="0.2">
      <c r="A85" s="2" t="s">
        <v>56</v>
      </c>
      <c r="B85" s="2">
        <v>0.1</v>
      </c>
    </row>
    <row r="86" spans="1:8" x14ac:dyDescent="0.2">
      <c r="A86" s="2"/>
      <c r="B86" s="2"/>
    </row>
    <row r="87" spans="1:8" x14ac:dyDescent="0.2">
      <c r="A87" s="2" t="s">
        <v>1</v>
      </c>
      <c r="B87" s="2">
        <f>((1+B85)^B84-1)/B85</f>
        <v>11.43588810000001</v>
      </c>
    </row>
    <row r="88" spans="1:8" x14ac:dyDescent="0.2">
      <c r="A88" s="13" t="s">
        <v>201</v>
      </c>
      <c r="B88" s="1">
        <f>((1+B85/4)^(B84*4)-1)/((1+B85/4)^4-1)</f>
        <v>11.595447641671971</v>
      </c>
    </row>
    <row r="89" spans="1:8" x14ac:dyDescent="0.2">
      <c r="A89" s="2" t="s">
        <v>56</v>
      </c>
      <c r="B89" s="7">
        <f>B88/B87 -1</f>
        <v>1.3952527366192014E-2</v>
      </c>
      <c r="C89" s="22">
        <f>B89*100</f>
        <v>1.3952527366192014</v>
      </c>
      <c r="D89" s="1" t="s">
        <v>251</v>
      </c>
    </row>
    <row r="90" spans="1:8" ht="15" customHeight="1" x14ac:dyDescent="0.2">
      <c r="A90" s="32" t="s">
        <v>252</v>
      </c>
      <c r="B90" s="32"/>
      <c r="C90" s="32"/>
      <c r="D90" s="32"/>
      <c r="E90" s="32"/>
      <c r="F90" s="32"/>
      <c r="G90" s="32"/>
      <c r="H90" s="32"/>
    </row>
    <row r="91" spans="1:8" x14ac:dyDescent="0.2">
      <c r="A91" s="32"/>
      <c r="B91" s="32"/>
      <c r="C91" s="32"/>
      <c r="D91" s="32"/>
      <c r="E91" s="32"/>
      <c r="F91" s="32"/>
      <c r="G91" s="32"/>
      <c r="H91" s="32"/>
    </row>
    <row r="92" spans="1:8" x14ac:dyDescent="0.2">
      <c r="A92" s="32"/>
      <c r="B92" s="32"/>
      <c r="C92" s="32"/>
      <c r="D92" s="32"/>
      <c r="E92" s="32"/>
      <c r="F92" s="32"/>
      <c r="G92" s="32"/>
      <c r="H92" s="32"/>
    </row>
    <row r="93" spans="1:8" x14ac:dyDescent="0.2">
      <c r="A93" s="32"/>
      <c r="B93" s="32"/>
      <c r="C93" s="32"/>
      <c r="D93" s="32"/>
      <c r="E93" s="32"/>
      <c r="F93" s="32"/>
      <c r="G93" s="32"/>
      <c r="H93" s="32"/>
    </row>
    <row r="94" spans="1:8" x14ac:dyDescent="0.2">
      <c r="A94" s="32"/>
      <c r="B94" s="32"/>
      <c r="C94" s="32"/>
      <c r="D94" s="32"/>
      <c r="E94" s="32"/>
      <c r="F94" s="32"/>
      <c r="G94" s="32"/>
      <c r="H94" s="32"/>
    </row>
    <row r="95" spans="1:8" x14ac:dyDescent="0.2">
      <c r="A95" s="2" t="s">
        <v>5</v>
      </c>
      <c r="B95" s="2">
        <v>9</v>
      </c>
    </row>
    <row r="96" spans="1:8" x14ac:dyDescent="0.2">
      <c r="A96" s="2" t="s">
        <v>56</v>
      </c>
      <c r="B96" s="2">
        <v>0.12</v>
      </c>
    </row>
    <row r="97" spans="1:8" x14ac:dyDescent="0.2">
      <c r="A97" s="2"/>
      <c r="B97" s="2"/>
    </row>
    <row r="98" spans="1:8" x14ac:dyDescent="0.2">
      <c r="A98" s="2" t="s">
        <v>1</v>
      </c>
      <c r="B98" s="2">
        <f>((1+B96)^B95-1)/B96</f>
        <v>14.775656312084903</v>
      </c>
    </row>
    <row r="99" spans="1:8" x14ac:dyDescent="0.2">
      <c r="A99" s="13" t="s">
        <v>201</v>
      </c>
      <c r="B99" s="1">
        <f>((1+B96/12)^(B95*12)-1)/((1+B96/12)^12-1)</f>
        <v>15.209346220201919</v>
      </c>
    </row>
    <row r="100" spans="1:8" x14ac:dyDescent="0.2">
      <c r="A100" s="2" t="s">
        <v>56</v>
      </c>
      <c r="B100" s="7">
        <f>B99/B98 -1</f>
        <v>2.9351651050674832E-2</v>
      </c>
      <c r="C100" s="22">
        <f>B100*100</f>
        <v>2.9351651050674832</v>
      </c>
      <c r="D100" s="1" t="s">
        <v>251</v>
      </c>
    </row>
    <row r="101" spans="1:8" ht="15" customHeight="1" x14ac:dyDescent="0.2">
      <c r="A101" s="32" t="s">
        <v>254</v>
      </c>
      <c r="B101" s="32"/>
      <c r="C101" s="32"/>
      <c r="D101" s="32"/>
      <c r="E101" s="32"/>
      <c r="F101" s="32"/>
      <c r="G101" s="32"/>
      <c r="H101" s="32"/>
    </row>
    <row r="102" spans="1:8" x14ac:dyDescent="0.2">
      <c r="A102" s="32"/>
      <c r="B102" s="32"/>
      <c r="C102" s="32"/>
      <c r="D102" s="32"/>
      <c r="E102" s="32"/>
      <c r="F102" s="32"/>
      <c r="G102" s="32"/>
      <c r="H102" s="32"/>
    </row>
    <row r="103" spans="1:8" x14ac:dyDescent="0.2">
      <c r="A103" s="32"/>
      <c r="B103" s="32"/>
      <c r="C103" s="32"/>
      <c r="D103" s="32"/>
      <c r="E103" s="32"/>
      <c r="F103" s="32"/>
      <c r="G103" s="32"/>
      <c r="H103" s="32"/>
    </row>
    <row r="104" spans="1:8" x14ac:dyDescent="0.2">
      <c r="A104" s="32"/>
      <c r="B104" s="32"/>
      <c r="C104" s="32"/>
      <c r="D104" s="32"/>
      <c r="E104" s="32"/>
      <c r="F104" s="32"/>
      <c r="G104" s="32"/>
      <c r="H104" s="32"/>
    </row>
    <row r="105" spans="1:8" x14ac:dyDescent="0.2">
      <c r="A105" s="32"/>
      <c r="B105" s="32"/>
      <c r="C105" s="32"/>
      <c r="D105" s="32"/>
      <c r="E105" s="32"/>
      <c r="F105" s="32"/>
      <c r="G105" s="32"/>
      <c r="H105" s="32"/>
    </row>
    <row r="106" spans="1:8" x14ac:dyDescent="0.2">
      <c r="A106" s="2" t="s">
        <v>214</v>
      </c>
      <c r="B106" s="2">
        <v>35000</v>
      </c>
      <c r="C106" s="1">
        <v>10000</v>
      </c>
    </row>
    <row r="107" spans="1:8" x14ac:dyDescent="0.2">
      <c r="A107" s="2" t="s">
        <v>7</v>
      </c>
      <c r="B107" s="2">
        <v>0.03</v>
      </c>
      <c r="C107" s="1">
        <v>0.04</v>
      </c>
    </row>
    <row r="108" spans="1:8" x14ac:dyDescent="0.2">
      <c r="A108" s="2"/>
      <c r="B108" s="2"/>
    </row>
    <row r="109" spans="1:8" x14ac:dyDescent="0.2">
      <c r="A109" s="2" t="s">
        <v>5</v>
      </c>
      <c r="B109" s="2">
        <v>18</v>
      </c>
    </row>
    <row r="110" spans="1:8" x14ac:dyDescent="0.2">
      <c r="A110" s="13" t="s">
        <v>256</v>
      </c>
      <c r="B110" s="24">
        <f>-LN(1-B106*B107/C106)/LN(1+B107)</f>
        <v>3.7529112242365867</v>
      </c>
    </row>
    <row r="111" spans="1:8" x14ac:dyDescent="0.2">
      <c r="A111" s="2" t="s">
        <v>1</v>
      </c>
      <c r="B111" s="2">
        <f>C106*((1-(1+C107)^-(B109-B110))/C107)+C106*((1-(1+B107)^-B110)/B107)*(1+C107)^-(B109-B110)</f>
        <v>127040.25246689707</v>
      </c>
    </row>
    <row r="116" spans="1:7" x14ac:dyDescent="0.2">
      <c r="A116" s="32" t="s">
        <v>234</v>
      </c>
      <c r="B116" s="33"/>
      <c r="C116" s="33"/>
      <c r="D116" s="33"/>
      <c r="E116" s="33"/>
      <c r="F116" s="33"/>
      <c r="G116" s="33"/>
    </row>
    <row r="117" spans="1:7" x14ac:dyDescent="0.2">
      <c r="A117" s="33"/>
      <c r="B117" s="33"/>
      <c r="C117" s="33"/>
      <c r="D117" s="33"/>
      <c r="E117" s="33"/>
      <c r="F117" s="33"/>
      <c r="G117" s="33"/>
    </row>
    <row r="118" spans="1:7" x14ac:dyDescent="0.2">
      <c r="A118" s="33"/>
      <c r="B118" s="33"/>
      <c r="C118" s="33"/>
      <c r="D118" s="33"/>
      <c r="E118" s="33"/>
      <c r="F118" s="33"/>
      <c r="G118" s="33"/>
    </row>
    <row r="119" spans="1:7" x14ac:dyDescent="0.2">
      <c r="A119" s="33"/>
      <c r="B119" s="33"/>
      <c r="C119" s="33"/>
      <c r="D119" s="33"/>
      <c r="E119" s="33"/>
      <c r="F119" s="33"/>
      <c r="G119" s="33"/>
    </row>
    <row r="120" spans="1:7" x14ac:dyDescent="0.2">
      <c r="A120" s="33"/>
      <c r="B120" s="33"/>
      <c r="C120" s="33"/>
      <c r="D120" s="33"/>
      <c r="E120" s="33"/>
      <c r="F120" s="33"/>
      <c r="G120" s="33"/>
    </row>
    <row r="121" spans="1:7" x14ac:dyDescent="0.2">
      <c r="A121" s="2" t="s">
        <v>5</v>
      </c>
      <c r="B121" s="2">
        <v>5</v>
      </c>
    </row>
    <row r="122" spans="1:7" x14ac:dyDescent="0.2">
      <c r="A122" s="2" t="s">
        <v>214</v>
      </c>
      <c r="B122" s="2">
        <v>75000</v>
      </c>
    </row>
    <row r="123" spans="1:7" x14ac:dyDescent="0.2">
      <c r="A123" s="2" t="s">
        <v>56</v>
      </c>
      <c r="B123" s="2">
        <v>0.12</v>
      </c>
    </row>
    <row r="124" spans="1:7" x14ac:dyDescent="0.2">
      <c r="A124" s="2" t="s">
        <v>235</v>
      </c>
      <c r="B124" s="2">
        <v>12</v>
      </c>
    </row>
    <row r="126" spans="1:7" x14ac:dyDescent="0.2">
      <c r="A126" s="2" t="s">
        <v>1</v>
      </c>
      <c r="B126" s="9">
        <f>(B122/B124)*(((1+B123)^B121-1)/((1+B123)^(1/B124)-1))</f>
        <v>502132.94281454035</v>
      </c>
    </row>
    <row r="127" spans="1:7" x14ac:dyDescent="0.2">
      <c r="A127" s="32" t="s">
        <v>238</v>
      </c>
      <c r="B127" s="33"/>
      <c r="C127" s="33"/>
      <c r="D127" s="33"/>
      <c r="E127" s="33"/>
      <c r="F127" s="33"/>
      <c r="G127" s="33"/>
    </row>
    <row r="128" spans="1:7" x14ac:dyDescent="0.2">
      <c r="A128" s="33"/>
      <c r="B128" s="33"/>
      <c r="C128" s="33"/>
      <c r="D128" s="33"/>
      <c r="E128" s="33"/>
      <c r="F128" s="33"/>
      <c r="G128" s="33"/>
    </row>
    <row r="129" spans="1:9" x14ac:dyDescent="0.2">
      <c r="A129" s="33"/>
      <c r="B129" s="33"/>
      <c r="C129" s="33"/>
      <c r="D129" s="33"/>
      <c r="E129" s="33"/>
      <c r="F129" s="33"/>
      <c r="G129" s="33"/>
    </row>
    <row r="130" spans="1:9" x14ac:dyDescent="0.2">
      <c r="A130" s="33"/>
      <c r="B130" s="33"/>
      <c r="C130" s="33"/>
      <c r="D130" s="33"/>
      <c r="E130" s="33"/>
      <c r="F130" s="33"/>
      <c r="G130" s="33"/>
    </row>
    <row r="131" spans="1:9" x14ac:dyDescent="0.2">
      <c r="A131" s="33"/>
      <c r="B131" s="33"/>
      <c r="C131" s="33"/>
      <c r="D131" s="33"/>
      <c r="E131" s="33"/>
      <c r="F131" s="33"/>
      <c r="G131" s="33"/>
    </row>
    <row r="132" spans="1:9" x14ac:dyDescent="0.2">
      <c r="A132" s="2" t="s">
        <v>5</v>
      </c>
      <c r="B132" s="2">
        <v>5</v>
      </c>
    </row>
    <row r="133" spans="1:9" x14ac:dyDescent="0.2">
      <c r="A133" s="2" t="s">
        <v>214</v>
      </c>
      <c r="B133" s="2">
        <v>75000</v>
      </c>
    </row>
    <row r="134" spans="1:9" x14ac:dyDescent="0.2">
      <c r="A134" s="2" t="s">
        <v>56</v>
      </c>
      <c r="B134" s="2">
        <v>0.12</v>
      </c>
    </row>
    <row r="135" spans="1:9" x14ac:dyDescent="0.2">
      <c r="A135" s="2" t="s">
        <v>235</v>
      </c>
      <c r="B135" s="2">
        <v>365</v>
      </c>
    </row>
    <row r="137" spans="1:9" x14ac:dyDescent="0.2">
      <c r="A137" s="2" t="s">
        <v>1</v>
      </c>
      <c r="B137" s="9">
        <f>B133*(((1+B134/B135)^(B132*B135)-1)/((1+B134/B135)^B135 - 1))</f>
        <v>483589.88690759795</v>
      </c>
    </row>
    <row r="139" spans="1:9" x14ac:dyDescent="0.2">
      <c r="A139" s="32" t="s">
        <v>240</v>
      </c>
      <c r="B139" s="32"/>
      <c r="C139" s="32"/>
      <c r="D139" s="32"/>
      <c r="E139" s="32"/>
      <c r="F139" s="32"/>
      <c r="G139" s="32"/>
      <c r="H139" s="32"/>
      <c r="I139" s="32"/>
    </row>
    <row r="140" spans="1:9" x14ac:dyDescent="0.2">
      <c r="A140" s="32"/>
      <c r="B140" s="32"/>
      <c r="C140" s="32"/>
      <c r="D140" s="32"/>
      <c r="E140" s="32"/>
      <c r="F140" s="32"/>
      <c r="G140" s="32"/>
      <c r="H140" s="32"/>
      <c r="I140" s="32"/>
    </row>
    <row r="141" spans="1:9" x14ac:dyDescent="0.2">
      <c r="A141" s="32"/>
      <c r="B141" s="32"/>
      <c r="C141" s="32"/>
      <c r="D141" s="32"/>
      <c r="E141" s="32"/>
      <c r="F141" s="32"/>
      <c r="G141" s="32"/>
      <c r="H141" s="32"/>
      <c r="I141" s="32"/>
    </row>
    <row r="142" spans="1:9" x14ac:dyDescent="0.2">
      <c r="A142" s="32"/>
      <c r="B142" s="32"/>
      <c r="C142" s="32"/>
      <c r="D142" s="32"/>
      <c r="E142" s="32"/>
      <c r="F142" s="32"/>
      <c r="G142" s="32"/>
      <c r="H142" s="32"/>
      <c r="I142" s="32"/>
    </row>
    <row r="143" spans="1:9" x14ac:dyDescent="0.2">
      <c r="A143" s="32"/>
      <c r="B143" s="32"/>
      <c r="C143" s="32"/>
      <c r="D143" s="32"/>
      <c r="E143" s="32"/>
      <c r="F143" s="32"/>
      <c r="G143" s="32"/>
      <c r="H143" s="32"/>
      <c r="I143" s="32"/>
    </row>
    <row r="144" spans="1:9" x14ac:dyDescent="0.2">
      <c r="A144" s="2" t="s">
        <v>214</v>
      </c>
      <c r="B144" s="2">
        <v>45000</v>
      </c>
    </row>
    <row r="145" spans="1:9" x14ac:dyDescent="0.2">
      <c r="A145" s="2" t="s">
        <v>56</v>
      </c>
      <c r="B145" s="2">
        <v>0.12</v>
      </c>
    </row>
    <row r="146" spans="1:9" x14ac:dyDescent="0.2">
      <c r="A146" s="2" t="s">
        <v>235</v>
      </c>
      <c r="B146" s="2">
        <v>1</v>
      </c>
    </row>
    <row r="147" spans="1:9" x14ac:dyDescent="0.2">
      <c r="A147" s="2" t="s">
        <v>5</v>
      </c>
      <c r="B147" s="2">
        <v>6</v>
      </c>
    </row>
    <row r="148" spans="1:9" x14ac:dyDescent="0.2">
      <c r="A148" s="13" t="s">
        <v>29</v>
      </c>
      <c r="B148" s="13">
        <v>4</v>
      </c>
    </row>
    <row r="149" spans="1:9" x14ac:dyDescent="0.2">
      <c r="A149" s="2" t="s">
        <v>1</v>
      </c>
      <c r="B149" s="9">
        <f>B144/B146 * (((1+B145/B148)^(B147*B148)-1)/((1+B145/B148)^B148 -1))</f>
        <v>370298.58534008975</v>
      </c>
    </row>
    <row r="150" spans="1:9" x14ac:dyDescent="0.2">
      <c r="A150" s="32" t="s">
        <v>242</v>
      </c>
      <c r="B150" s="32"/>
      <c r="C150" s="32"/>
      <c r="D150" s="32"/>
      <c r="E150" s="32"/>
      <c r="F150" s="32"/>
      <c r="G150" s="32"/>
      <c r="H150" s="32"/>
      <c r="I150" s="32"/>
    </row>
    <row r="151" spans="1:9" x14ac:dyDescent="0.2">
      <c r="A151" s="32"/>
      <c r="B151" s="32"/>
      <c r="C151" s="32"/>
      <c r="D151" s="32"/>
      <c r="E151" s="32"/>
      <c r="F151" s="32"/>
      <c r="G151" s="32"/>
      <c r="H151" s="32"/>
      <c r="I151" s="32"/>
    </row>
    <row r="152" spans="1:9" x14ac:dyDescent="0.2">
      <c r="A152" s="32"/>
      <c r="B152" s="32"/>
      <c r="C152" s="32"/>
      <c r="D152" s="32"/>
      <c r="E152" s="32"/>
      <c r="F152" s="32"/>
      <c r="G152" s="32"/>
      <c r="H152" s="32"/>
      <c r="I152" s="32"/>
    </row>
    <row r="153" spans="1:9" x14ac:dyDescent="0.2">
      <c r="A153" s="32"/>
      <c r="B153" s="32"/>
      <c r="C153" s="32"/>
      <c r="D153" s="32"/>
      <c r="E153" s="32"/>
      <c r="F153" s="32"/>
      <c r="G153" s="32"/>
      <c r="H153" s="32"/>
      <c r="I153" s="32"/>
    </row>
    <row r="154" spans="1:9" x14ac:dyDescent="0.2">
      <c r="A154" s="32"/>
      <c r="B154" s="32"/>
      <c r="C154" s="32"/>
      <c r="D154" s="32"/>
      <c r="E154" s="32"/>
      <c r="F154" s="32"/>
      <c r="G154" s="32"/>
      <c r="H154" s="32"/>
      <c r="I154" s="32"/>
    </row>
    <row r="155" spans="1:9" x14ac:dyDescent="0.2">
      <c r="A155" s="2" t="s">
        <v>214</v>
      </c>
      <c r="B155" s="2">
        <v>55000</v>
      </c>
    </row>
    <row r="156" spans="1:9" x14ac:dyDescent="0.2">
      <c r="A156" s="2" t="s">
        <v>56</v>
      </c>
      <c r="B156" s="2">
        <v>0.12</v>
      </c>
    </row>
    <row r="157" spans="1:9" x14ac:dyDescent="0.2">
      <c r="A157" s="2" t="s">
        <v>235</v>
      </c>
      <c r="B157" s="2">
        <v>12</v>
      </c>
    </row>
    <row r="158" spans="1:9" x14ac:dyDescent="0.2">
      <c r="A158" s="2" t="s">
        <v>5</v>
      </c>
      <c r="B158" s="2">
        <v>7</v>
      </c>
    </row>
    <row r="159" spans="1:9" x14ac:dyDescent="0.2">
      <c r="A159" s="13" t="s">
        <v>29</v>
      </c>
      <c r="B159" s="13">
        <v>4</v>
      </c>
    </row>
    <row r="160" spans="1:9" x14ac:dyDescent="0.2">
      <c r="A160" s="2" t="s">
        <v>1</v>
      </c>
      <c r="B160" s="9">
        <f>B155/B157 * (((1+B156/B159)^(B158*B159)-1)/((1+B156/B159)^B159 -1))</f>
        <v>47032.569642952658</v>
      </c>
    </row>
    <row r="161" spans="1:9" x14ac:dyDescent="0.2">
      <c r="A161" s="32" t="s">
        <v>244</v>
      </c>
      <c r="B161" s="32"/>
      <c r="C161" s="32"/>
      <c r="D161" s="32"/>
      <c r="E161" s="32"/>
      <c r="F161" s="32"/>
      <c r="G161" s="32"/>
      <c r="H161" s="32"/>
      <c r="I161" s="32"/>
    </row>
    <row r="162" spans="1:9" x14ac:dyDescent="0.2">
      <c r="A162" s="32"/>
      <c r="B162" s="32"/>
      <c r="C162" s="32"/>
      <c r="D162" s="32"/>
      <c r="E162" s="32"/>
      <c r="F162" s="32"/>
      <c r="G162" s="32"/>
      <c r="H162" s="32"/>
      <c r="I162" s="32"/>
    </row>
    <row r="163" spans="1:9" x14ac:dyDescent="0.2">
      <c r="A163" s="32"/>
      <c r="B163" s="32"/>
      <c r="C163" s="32"/>
      <c r="D163" s="32"/>
      <c r="E163" s="32"/>
      <c r="F163" s="32"/>
      <c r="G163" s="32"/>
      <c r="H163" s="32"/>
      <c r="I163" s="32"/>
    </row>
    <row r="164" spans="1:9" x14ac:dyDescent="0.2">
      <c r="A164" s="32"/>
      <c r="B164" s="32"/>
      <c r="C164" s="32"/>
      <c r="D164" s="32"/>
      <c r="E164" s="32"/>
      <c r="F164" s="32"/>
      <c r="G164" s="32"/>
      <c r="H164" s="32"/>
      <c r="I164" s="32"/>
    </row>
    <row r="165" spans="1:9" x14ac:dyDescent="0.2">
      <c r="A165" s="32"/>
      <c r="B165" s="32"/>
      <c r="C165" s="32"/>
      <c r="D165" s="32"/>
      <c r="E165" s="32"/>
      <c r="F165" s="32"/>
      <c r="G165" s="32"/>
      <c r="H165" s="32"/>
      <c r="I165" s="32"/>
    </row>
    <row r="166" spans="1:9" x14ac:dyDescent="0.2">
      <c r="A166" s="2" t="s">
        <v>214</v>
      </c>
      <c r="B166" s="2">
        <v>75000</v>
      </c>
    </row>
    <row r="167" spans="1:9" x14ac:dyDescent="0.2">
      <c r="A167" s="2" t="s">
        <v>56</v>
      </c>
      <c r="B167" s="2">
        <v>0.12</v>
      </c>
    </row>
    <row r="168" spans="1:9" x14ac:dyDescent="0.2">
      <c r="A168" s="2" t="s">
        <v>235</v>
      </c>
      <c r="B168" s="2">
        <v>4</v>
      </c>
    </row>
    <row r="169" spans="1:9" x14ac:dyDescent="0.2">
      <c r="A169" s="2" t="s">
        <v>5</v>
      </c>
      <c r="B169" s="2">
        <v>7</v>
      </c>
    </row>
    <row r="170" spans="1:9" x14ac:dyDescent="0.2">
      <c r="A170" s="13" t="s">
        <v>29</v>
      </c>
      <c r="B170" s="13">
        <v>6</v>
      </c>
    </row>
    <row r="171" spans="1:9" x14ac:dyDescent="0.2">
      <c r="A171" s="2" t="s">
        <v>1</v>
      </c>
      <c r="B171" s="9">
        <f>B166/B168 * (((1+B167/B170)^(B169*B170)-1)/((1+B167/B170)^B170 -1))</f>
        <v>192793.81197557045</v>
      </c>
    </row>
    <row r="172" spans="1:9" x14ac:dyDescent="0.2">
      <c r="A172" s="32" t="s">
        <v>246</v>
      </c>
      <c r="B172" s="32"/>
      <c r="C172" s="32"/>
      <c r="D172" s="32"/>
      <c r="E172" s="32"/>
      <c r="F172" s="32"/>
      <c r="G172" s="32"/>
      <c r="H172" s="32"/>
      <c r="I172" s="32"/>
    </row>
    <row r="173" spans="1:9" x14ac:dyDescent="0.2">
      <c r="A173" s="32"/>
      <c r="B173" s="32"/>
      <c r="C173" s="32"/>
      <c r="D173" s="32"/>
      <c r="E173" s="32"/>
      <c r="F173" s="32"/>
      <c r="G173" s="32"/>
      <c r="H173" s="32"/>
      <c r="I173" s="32"/>
    </row>
    <row r="174" spans="1:9" x14ac:dyDescent="0.2">
      <c r="A174" s="32"/>
      <c r="B174" s="32"/>
      <c r="C174" s="32"/>
      <c r="D174" s="32"/>
      <c r="E174" s="32"/>
      <c r="F174" s="32"/>
      <c r="G174" s="32"/>
      <c r="H174" s="32"/>
      <c r="I174" s="32"/>
    </row>
    <row r="175" spans="1:9" x14ac:dyDescent="0.2">
      <c r="A175" s="32"/>
      <c r="B175" s="32"/>
      <c r="C175" s="32"/>
      <c r="D175" s="32"/>
      <c r="E175" s="32"/>
      <c r="F175" s="32"/>
      <c r="G175" s="32"/>
      <c r="H175" s="32"/>
      <c r="I175" s="32"/>
    </row>
    <row r="176" spans="1:9" x14ac:dyDescent="0.2">
      <c r="A176" s="32"/>
      <c r="B176" s="32"/>
      <c r="C176" s="32"/>
      <c r="D176" s="32"/>
      <c r="E176" s="32"/>
      <c r="F176" s="32"/>
      <c r="G176" s="32"/>
      <c r="H176" s="32"/>
      <c r="I176" s="32"/>
    </row>
    <row r="177" spans="1:7" x14ac:dyDescent="0.2">
      <c r="A177" s="2" t="s">
        <v>5</v>
      </c>
      <c r="B177" s="2">
        <v>5</v>
      </c>
    </row>
    <row r="178" spans="1:7" x14ac:dyDescent="0.2">
      <c r="A178" s="2" t="s">
        <v>179</v>
      </c>
      <c r="B178" s="2">
        <v>50000</v>
      </c>
    </row>
    <row r="179" spans="1:7" x14ac:dyDescent="0.2">
      <c r="A179" s="2" t="s">
        <v>56</v>
      </c>
      <c r="B179" s="2">
        <v>0.12</v>
      </c>
    </row>
    <row r="180" spans="1:7" x14ac:dyDescent="0.2">
      <c r="A180" s="2" t="s">
        <v>29</v>
      </c>
      <c r="B180" s="2">
        <v>12</v>
      </c>
    </row>
    <row r="181" spans="1:7" x14ac:dyDescent="0.2">
      <c r="A181" s="13" t="s">
        <v>214</v>
      </c>
      <c r="B181" s="1">
        <f>(B178*B179)/((1+B179/B180)^(B177*B180)-1)</f>
        <v>7346.6686109410566</v>
      </c>
    </row>
    <row r="182" spans="1:7" x14ac:dyDescent="0.2">
      <c r="A182" s="2" t="s">
        <v>236</v>
      </c>
      <c r="B182" s="2">
        <f>B181/12</f>
        <v>612.22238424508805</v>
      </c>
    </row>
    <row r="183" spans="1:7" x14ac:dyDescent="0.2">
      <c r="A183" s="32" t="s">
        <v>248</v>
      </c>
      <c r="B183" s="33"/>
      <c r="C183" s="33"/>
      <c r="D183" s="33"/>
      <c r="E183" s="33"/>
      <c r="F183" s="33"/>
      <c r="G183" s="33"/>
    </row>
    <row r="184" spans="1:7" x14ac:dyDescent="0.2">
      <c r="A184" s="33"/>
      <c r="B184" s="33"/>
      <c r="C184" s="33"/>
      <c r="D184" s="33"/>
      <c r="E184" s="33"/>
      <c r="F184" s="33"/>
      <c r="G184" s="33"/>
    </row>
    <row r="185" spans="1:7" x14ac:dyDescent="0.2">
      <c r="A185" s="33"/>
      <c r="B185" s="33"/>
      <c r="C185" s="33"/>
      <c r="D185" s="33"/>
      <c r="E185" s="33"/>
      <c r="F185" s="33"/>
      <c r="G185" s="33"/>
    </row>
    <row r="186" spans="1:7" x14ac:dyDescent="0.2">
      <c r="A186" s="33"/>
      <c r="B186" s="33"/>
      <c r="C186" s="33"/>
      <c r="D186" s="33"/>
      <c r="E186" s="33"/>
      <c r="F186" s="33"/>
      <c r="G186" s="33"/>
    </row>
    <row r="187" spans="1:7" x14ac:dyDescent="0.2">
      <c r="A187" s="33"/>
      <c r="B187" s="33"/>
      <c r="C187" s="33"/>
      <c r="D187" s="33"/>
      <c r="E187" s="33"/>
      <c r="F187" s="33"/>
      <c r="G187" s="33"/>
    </row>
    <row r="188" spans="1:7" x14ac:dyDescent="0.2">
      <c r="A188" s="2" t="s">
        <v>1</v>
      </c>
      <c r="B188" s="2">
        <v>90000</v>
      </c>
    </row>
    <row r="189" spans="1:7" x14ac:dyDescent="0.2">
      <c r="A189" s="2" t="s">
        <v>5</v>
      </c>
      <c r="B189" s="2">
        <v>10</v>
      </c>
    </row>
    <row r="190" spans="1:7" x14ac:dyDescent="0.2">
      <c r="A190" s="2" t="s">
        <v>7</v>
      </c>
      <c r="B190" s="2">
        <v>6.5000000000000002E-2</v>
      </c>
    </row>
    <row r="191" spans="1:7" x14ac:dyDescent="0.2">
      <c r="A191" s="2" t="s">
        <v>235</v>
      </c>
      <c r="B191" s="2">
        <v>1</v>
      </c>
    </row>
    <row r="192" spans="1:7" x14ac:dyDescent="0.2">
      <c r="A192" s="13" t="s">
        <v>29</v>
      </c>
      <c r="B192" s="13">
        <v>4</v>
      </c>
    </row>
    <row r="193" spans="1:7" x14ac:dyDescent="0.2">
      <c r="A193" s="2" t="s">
        <v>214</v>
      </c>
      <c r="B193" s="9">
        <f>(B192*B188*((1+B190)^(B191/B192)-1))/((1+B190)^B189-1)</f>
        <v>6512.7562645472208</v>
      </c>
    </row>
    <row r="194" spans="1:7" x14ac:dyDescent="0.2">
      <c r="A194" s="32" t="s">
        <v>250</v>
      </c>
      <c r="B194" s="33"/>
      <c r="C194" s="33"/>
      <c r="D194" s="33"/>
      <c r="E194" s="33"/>
      <c r="F194" s="33"/>
      <c r="G194" s="33"/>
    </row>
    <row r="195" spans="1:7" x14ac:dyDescent="0.2">
      <c r="A195" s="33"/>
      <c r="B195" s="33"/>
      <c r="C195" s="33"/>
      <c r="D195" s="33"/>
      <c r="E195" s="33"/>
      <c r="F195" s="33"/>
      <c r="G195" s="33"/>
    </row>
    <row r="196" spans="1:7" x14ac:dyDescent="0.2">
      <c r="A196" s="33"/>
      <c r="B196" s="33"/>
      <c r="C196" s="33"/>
      <c r="D196" s="33"/>
      <c r="E196" s="33"/>
      <c r="F196" s="33"/>
      <c r="G196" s="33"/>
    </row>
    <row r="197" spans="1:7" x14ac:dyDescent="0.2">
      <c r="A197" s="33"/>
      <c r="B197" s="33"/>
      <c r="C197" s="33"/>
      <c r="D197" s="33"/>
      <c r="E197" s="33"/>
      <c r="F197" s="33"/>
      <c r="G197" s="33"/>
    </row>
    <row r="198" spans="1:7" x14ac:dyDescent="0.2">
      <c r="A198" s="33"/>
      <c r="B198" s="33"/>
      <c r="C198" s="33"/>
      <c r="D198" s="33"/>
      <c r="E198" s="33"/>
      <c r="F198" s="33"/>
      <c r="G198" s="33"/>
    </row>
    <row r="199" spans="1:7" x14ac:dyDescent="0.2">
      <c r="A199" s="2" t="s">
        <v>1</v>
      </c>
      <c r="B199" s="2">
        <v>100000</v>
      </c>
    </row>
    <row r="200" spans="1:7" x14ac:dyDescent="0.2">
      <c r="A200" s="2" t="s">
        <v>5</v>
      </c>
      <c r="B200" s="2">
        <v>10</v>
      </c>
    </row>
    <row r="201" spans="1:7" x14ac:dyDescent="0.2">
      <c r="A201" s="2" t="s">
        <v>7</v>
      </c>
      <c r="B201" s="2">
        <v>7.4999999999999997E-2</v>
      </c>
    </row>
    <row r="202" spans="1:7" x14ac:dyDescent="0.2">
      <c r="A202" s="2" t="s">
        <v>235</v>
      </c>
      <c r="B202" s="2">
        <v>1</v>
      </c>
    </row>
    <row r="203" spans="1:7" x14ac:dyDescent="0.2">
      <c r="A203" s="13" t="s">
        <v>29</v>
      </c>
      <c r="B203" s="13">
        <v>12</v>
      </c>
    </row>
    <row r="204" spans="1:7" x14ac:dyDescent="0.2">
      <c r="A204" s="2" t="s">
        <v>214</v>
      </c>
      <c r="B204" s="9">
        <f>(B203*B199*((1+B201)^(B202/B203)-1))/((1+B201)^B200-1)</f>
        <v>6836.6513191659315</v>
      </c>
    </row>
    <row r="205" spans="1:7" x14ac:dyDescent="0.2">
      <c r="A205" s="32" t="s">
        <v>253</v>
      </c>
      <c r="B205" s="33"/>
      <c r="C205" s="33"/>
      <c r="D205" s="33"/>
      <c r="E205" s="33"/>
      <c r="F205" s="33"/>
      <c r="G205" s="33"/>
    </row>
    <row r="206" spans="1:7" x14ac:dyDescent="0.2">
      <c r="A206" s="33"/>
      <c r="B206" s="33"/>
      <c r="C206" s="33"/>
      <c r="D206" s="33"/>
      <c r="E206" s="33"/>
      <c r="F206" s="33"/>
      <c r="G206" s="33"/>
    </row>
    <row r="207" spans="1:7" x14ac:dyDescent="0.2">
      <c r="A207" s="33"/>
      <c r="B207" s="33"/>
      <c r="C207" s="33"/>
      <c r="D207" s="33"/>
      <c r="E207" s="33"/>
      <c r="F207" s="33"/>
      <c r="G207" s="33"/>
    </row>
    <row r="208" spans="1:7" x14ac:dyDescent="0.2">
      <c r="A208" s="33"/>
      <c r="B208" s="33"/>
      <c r="C208" s="33"/>
      <c r="D208" s="33"/>
      <c r="E208" s="33"/>
      <c r="F208" s="33"/>
      <c r="G208" s="33"/>
    </row>
    <row r="209" spans="1:7" x14ac:dyDescent="0.2">
      <c r="A209" s="33"/>
      <c r="B209" s="33"/>
      <c r="C209" s="33"/>
      <c r="D209" s="33"/>
      <c r="E209" s="33"/>
      <c r="F209" s="33"/>
      <c r="G209" s="33"/>
    </row>
    <row r="210" spans="1:7" x14ac:dyDescent="0.2">
      <c r="A210" s="2" t="s">
        <v>214</v>
      </c>
      <c r="B210" s="2">
        <v>10000</v>
      </c>
    </row>
    <row r="211" spans="1:7" x14ac:dyDescent="0.2">
      <c r="A211" s="13" t="s">
        <v>235</v>
      </c>
      <c r="B211" s="13">
        <v>4</v>
      </c>
    </row>
    <row r="212" spans="1:7" x14ac:dyDescent="0.2">
      <c r="A212" s="13" t="s">
        <v>29</v>
      </c>
      <c r="B212" s="13">
        <v>2</v>
      </c>
    </row>
    <row r="213" spans="1:7" x14ac:dyDescent="0.2">
      <c r="A213" s="13" t="s">
        <v>7</v>
      </c>
      <c r="B213" s="13">
        <v>0.08</v>
      </c>
    </row>
    <row r="214" spans="1:7" x14ac:dyDescent="0.2">
      <c r="A214" s="13" t="s">
        <v>1</v>
      </c>
      <c r="B214" s="13">
        <v>150000</v>
      </c>
    </row>
    <row r="215" spans="1:7" x14ac:dyDescent="0.2">
      <c r="A215" s="2" t="s">
        <v>5</v>
      </c>
      <c r="B215" s="9">
        <f>LN(B214/B210*(SQRT(1+B213/B212)-1)+1)/(B212*LN(1+B213/B212))</f>
        <v>3.3158377159804755</v>
      </c>
    </row>
    <row r="217" spans="1:7" x14ac:dyDescent="0.2">
      <c r="A217" s="32" t="s">
        <v>255</v>
      </c>
      <c r="B217" s="33"/>
      <c r="C217" s="33"/>
      <c r="D217" s="33"/>
      <c r="E217" s="33"/>
      <c r="F217" s="33"/>
      <c r="G217" s="33"/>
    </row>
    <row r="218" spans="1:7" x14ac:dyDescent="0.2">
      <c r="A218" s="33"/>
      <c r="B218" s="33"/>
      <c r="C218" s="33"/>
      <c r="D218" s="33"/>
      <c r="E218" s="33"/>
      <c r="F218" s="33"/>
      <c r="G218" s="33"/>
    </row>
    <row r="219" spans="1:7" x14ac:dyDescent="0.2">
      <c r="A219" s="33"/>
      <c r="B219" s="33"/>
      <c r="C219" s="33"/>
      <c r="D219" s="33"/>
      <c r="E219" s="33"/>
      <c r="F219" s="33"/>
      <c r="G219" s="33"/>
    </row>
    <row r="220" spans="1:7" x14ac:dyDescent="0.2">
      <c r="A220" s="33"/>
      <c r="B220" s="33"/>
      <c r="C220" s="33"/>
      <c r="D220" s="33"/>
      <c r="E220" s="33"/>
      <c r="F220" s="33"/>
      <c r="G220" s="33"/>
    </row>
    <row r="221" spans="1:7" x14ac:dyDescent="0.2">
      <c r="A221" s="33"/>
      <c r="B221" s="33"/>
      <c r="C221" s="33"/>
      <c r="D221" s="33"/>
      <c r="E221" s="33"/>
      <c r="F221" s="33"/>
      <c r="G221" s="33"/>
    </row>
    <row r="222" spans="1:7" x14ac:dyDescent="0.2">
      <c r="A222" s="2" t="s">
        <v>1</v>
      </c>
      <c r="B222" s="2">
        <v>150000</v>
      </c>
    </row>
    <row r="223" spans="1:7" x14ac:dyDescent="0.2">
      <c r="A223" s="2" t="s">
        <v>5</v>
      </c>
      <c r="B223" s="2">
        <v>5</v>
      </c>
    </row>
    <row r="224" spans="1:7" x14ac:dyDescent="0.2">
      <c r="A224" s="2" t="s">
        <v>7</v>
      </c>
      <c r="B224" s="2">
        <v>7.0000000000000007E-2</v>
      </c>
    </row>
    <row r="225" spans="1:2" x14ac:dyDescent="0.2">
      <c r="A225" s="2" t="s">
        <v>235</v>
      </c>
      <c r="B225" s="2">
        <v>4</v>
      </c>
    </row>
    <row r="226" spans="1:2" x14ac:dyDescent="0.2">
      <c r="A226" s="13" t="s">
        <v>29</v>
      </c>
      <c r="B226" s="13">
        <v>2</v>
      </c>
    </row>
    <row r="227" spans="1:2" x14ac:dyDescent="0.2">
      <c r="A227" s="2" t="s">
        <v>214</v>
      </c>
      <c r="B227" s="9">
        <f>(B226*B222*((1+B224)^(B225/B226)-1))/((1+B224)^B223-1)</f>
        <v>107986.12124809327</v>
      </c>
    </row>
    <row r="228" spans="1:2" x14ac:dyDescent="0.2">
      <c r="A228" s="2"/>
      <c r="B228" s="9"/>
    </row>
  </sheetData>
  <mergeCells count="20">
    <mergeCell ref="A161:I165"/>
    <mergeCell ref="A57:G61"/>
    <mergeCell ref="A139:I143"/>
    <mergeCell ref="A101:H105"/>
    <mergeCell ref="A217:G221"/>
    <mergeCell ref="A68:H72"/>
    <mergeCell ref="A183:G187"/>
    <mergeCell ref="A79:H83"/>
    <mergeCell ref="A194:G198"/>
    <mergeCell ref="A90:H94"/>
    <mergeCell ref="A205:G209"/>
    <mergeCell ref="A172:I176"/>
    <mergeCell ref="A150:I154"/>
    <mergeCell ref="A1:H5"/>
    <mergeCell ref="A116:G120"/>
    <mergeCell ref="A12:H16"/>
    <mergeCell ref="A127:G131"/>
    <mergeCell ref="A24:H28"/>
    <mergeCell ref="A35:H39"/>
    <mergeCell ref="A46:H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Простые проценты</vt:lpstr>
      <vt:lpstr>Сложные проценты</vt:lpstr>
      <vt:lpstr>Краткие и Непрерывные проценты</vt:lpstr>
      <vt:lpstr>Эквивалентность проц. ставок</vt:lpstr>
      <vt:lpstr>Дисконтирование</vt:lpstr>
      <vt:lpstr>Инф. и акт.</vt:lpstr>
      <vt:lpstr>Потоки платежей</vt:lpstr>
      <vt:lpstr>Ренты</vt:lpstr>
      <vt:lpstr>Срочные и непрерывные ренты</vt:lpstr>
      <vt:lpstr>Облигации</vt:lpstr>
      <vt:lpstr>Опционы</vt:lpstr>
      <vt:lpstr>Портфельный 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Зайцев Никита Валерьевич</cp:lastModifiedBy>
  <dcterms:created xsi:type="dcterms:W3CDTF">2015-06-05T18:19:34Z</dcterms:created>
  <dcterms:modified xsi:type="dcterms:W3CDTF">2024-06-25T16:58:06Z</dcterms:modified>
</cp:coreProperties>
</file>