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7849BECF-2838-BE40-A814-E83110DD7BC8}" xr6:coauthVersionLast="40" xr6:coauthVersionMax="40" xr10:uidLastSave="{00000000-0000-0000-0000-000000000000}"/>
  <bookViews>
    <workbookView xWindow="0" yWindow="0" windowWidth="28800" windowHeight="18000" xr2:uid="{A5ECCC22-C034-5347-AFB2-5FC8A987A7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G43" i="1"/>
  <c r="F43" i="1"/>
  <c r="N43" i="1"/>
  <c r="M17" i="1" l="1"/>
  <c r="O16" i="1"/>
  <c r="I17" i="1" s="1"/>
  <c r="B31" i="1"/>
  <c r="B29" i="1"/>
  <c r="B30" i="1"/>
  <c r="A21" i="1"/>
  <c r="A18" i="1" s="1"/>
  <c r="B36" i="1" s="1"/>
  <c r="A22" i="1"/>
  <c r="A23" i="1"/>
  <c r="A24" i="1"/>
  <c r="A25" i="1"/>
  <c r="A26" i="1"/>
  <c r="A27" i="1"/>
  <c r="J17" i="1" l="1"/>
  <c r="D43" i="1"/>
  <c r="L17" i="1"/>
  <c r="K17" i="1"/>
  <c r="H17" i="1"/>
  <c r="N17" i="1"/>
  <c r="B18" i="1"/>
  <c r="B22" i="1"/>
  <c r="B21" i="1"/>
  <c r="B20" i="1"/>
  <c r="B35" i="1"/>
  <c r="B19" i="1"/>
  <c r="B23" i="1"/>
  <c r="B24" i="1"/>
  <c r="H13" i="1" l="1"/>
  <c r="B32" i="1"/>
  <c r="E43" i="1"/>
  <c r="O17" i="1"/>
  <c r="I14" i="1" l="1"/>
  <c r="J13" i="1" s="1"/>
  <c r="H14" i="1"/>
  <c r="I13" i="1" s="1"/>
  <c r="I15" i="1" s="1"/>
  <c r="I33" i="1" s="1"/>
  <c r="I34" i="1" s="1"/>
  <c r="I35" i="1" s="1"/>
  <c r="I36" i="1" s="1"/>
  <c r="K14" i="1"/>
  <c r="L13" i="1" s="1"/>
  <c r="H15" i="1" l="1"/>
  <c r="H33" i="1" s="1"/>
  <c r="J14" i="1"/>
  <c r="K13" i="1" s="1"/>
  <c r="K15" i="1" s="1"/>
  <c r="M14" i="1"/>
  <c r="N13" i="1" s="1"/>
  <c r="L14" i="1"/>
  <c r="M13" i="1" s="1"/>
  <c r="J15" i="1"/>
  <c r="K33" i="1" l="1"/>
  <c r="K34" i="1" s="1"/>
  <c r="K35" i="1" s="1"/>
  <c r="K36" i="1" s="1"/>
  <c r="J33" i="1"/>
  <c r="J34" i="1" s="1"/>
  <c r="J35" i="1" s="1"/>
  <c r="J36" i="1" s="1"/>
  <c r="K43" i="1"/>
  <c r="H34" i="1"/>
  <c r="M15" i="1"/>
  <c r="M33" i="1" s="1"/>
  <c r="M34" i="1" s="1"/>
  <c r="M35" i="1" s="1"/>
  <c r="M36" i="1" s="1"/>
  <c r="N14" i="1"/>
  <c r="N15" i="1" s="1"/>
  <c r="N33" i="1" s="1"/>
  <c r="N34" i="1" s="1"/>
  <c r="N35" i="1" s="1"/>
  <c r="N36" i="1" s="1"/>
  <c r="L15" i="1"/>
  <c r="L33" i="1" s="1"/>
  <c r="L34" i="1" s="1"/>
  <c r="L35" i="1" s="1"/>
  <c r="L36" i="1" s="1"/>
  <c r="H35" i="1" l="1"/>
  <c r="O34" i="1"/>
  <c r="O33" i="1"/>
  <c r="B34" i="1"/>
  <c r="M18" i="1" l="1"/>
  <c r="C43" i="1"/>
  <c r="O35" i="1"/>
  <c r="H36" i="1"/>
  <c r="O36" i="1" s="1"/>
  <c r="M20" i="1"/>
  <c r="M19" i="1"/>
  <c r="M21" i="1"/>
  <c r="H18" i="1"/>
  <c r="I18" i="1"/>
  <c r="K18" i="1"/>
  <c r="J18" i="1"/>
  <c r="L18" i="1"/>
  <c r="N18" i="1"/>
  <c r="J21" i="1" l="1"/>
  <c r="J19" i="1"/>
  <c r="J20" i="1"/>
  <c r="K20" i="1"/>
  <c r="K21" i="1"/>
  <c r="K19" i="1"/>
  <c r="N21" i="1"/>
  <c r="N19" i="1"/>
  <c r="N20" i="1"/>
  <c r="I20" i="1"/>
  <c r="I21" i="1"/>
  <c r="I19" i="1"/>
  <c r="L20" i="1"/>
  <c r="L19" i="1"/>
  <c r="L21" i="1"/>
  <c r="H20" i="1"/>
  <c r="H21" i="1"/>
  <c r="H19" i="1"/>
  <c r="O21" i="1" l="1"/>
  <c r="O19" i="1"/>
  <c r="H43" i="1" s="1"/>
  <c r="O20" i="1"/>
  <c r="L43" i="1" l="1"/>
  <c r="B33" i="1"/>
  <c r="M43" i="1"/>
  <c r="M22" i="1"/>
  <c r="K22" i="1"/>
  <c r="I22" i="1"/>
  <c r="L22" i="1"/>
  <c r="J22" i="1"/>
  <c r="N22" i="1"/>
  <c r="H22" i="1"/>
  <c r="J23" i="1" l="1"/>
  <c r="J24" i="1" s="1"/>
  <c r="J25" i="1" s="1"/>
  <c r="J26" i="1" s="1"/>
  <c r="J27" i="1" s="1"/>
  <c r="J28" i="1"/>
  <c r="J29" i="1" s="1"/>
  <c r="J30" i="1" s="1"/>
  <c r="J31" i="1" s="1"/>
  <c r="J32" i="1" s="1"/>
  <c r="M23" i="1"/>
  <c r="M24" i="1" s="1"/>
  <c r="M25" i="1" s="1"/>
  <c r="M26" i="1" s="1"/>
  <c r="M27" i="1" s="1"/>
  <c r="M28" i="1"/>
  <c r="M29" i="1" s="1"/>
  <c r="M30" i="1" s="1"/>
  <c r="M31" i="1" s="1"/>
  <c r="M32" i="1" s="1"/>
  <c r="L23" i="1"/>
  <c r="L24" i="1" s="1"/>
  <c r="L25" i="1" s="1"/>
  <c r="L26" i="1" s="1"/>
  <c r="L27" i="1" s="1"/>
  <c r="L28" i="1"/>
  <c r="L29" i="1" s="1"/>
  <c r="L30" i="1" s="1"/>
  <c r="L31" i="1" s="1"/>
  <c r="L32" i="1" s="1"/>
  <c r="H23" i="1"/>
  <c r="H28" i="1"/>
  <c r="I23" i="1"/>
  <c r="I24" i="1" s="1"/>
  <c r="I25" i="1" s="1"/>
  <c r="I26" i="1" s="1"/>
  <c r="I27" i="1" s="1"/>
  <c r="I28" i="1"/>
  <c r="I29" i="1" s="1"/>
  <c r="I30" i="1" s="1"/>
  <c r="I31" i="1" s="1"/>
  <c r="I32" i="1" s="1"/>
  <c r="N23" i="1"/>
  <c r="N24" i="1" s="1"/>
  <c r="N25" i="1" s="1"/>
  <c r="N26" i="1" s="1"/>
  <c r="N27" i="1" s="1"/>
  <c r="N28" i="1"/>
  <c r="N29" i="1" s="1"/>
  <c r="N30" i="1" s="1"/>
  <c r="N31" i="1" s="1"/>
  <c r="N32" i="1" s="1"/>
  <c r="K23" i="1"/>
  <c r="K24" i="1" s="1"/>
  <c r="K25" i="1" s="1"/>
  <c r="K26" i="1" s="1"/>
  <c r="K27" i="1" s="1"/>
  <c r="K28" i="1"/>
  <c r="K29" i="1" s="1"/>
  <c r="K30" i="1" s="1"/>
  <c r="K31" i="1" s="1"/>
  <c r="K32" i="1" s="1"/>
  <c r="H24" i="1" l="1"/>
  <c r="O23" i="1"/>
  <c r="H29" i="1"/>
  <c r="O28" i="1"/>
  <c r="O29" i="1" l="1"/>
  <c r="H30" i="1"/>
  <c r="O24" i="1"/>
  <c r="H25" i="1"/>
  <c r="H26" i="1" l="1"/>
  <c r="O25" i="1"/>
  <c r="O30" i="1"/>
  <c r="H31" i="1"/>
  <c r="H32" i="1" l="1"/>
  <c r="O32" i="1" s="1"/>
  <c r="O31" i="1"/>
  <c r="H27" i="1"/>
  <c r="O27" i="1" s="1"/>
  <c r="O26" i="1"/>
</calcChain>
</file>

<file path=xl/sharedStrings.xml><?xml version="1.0" encoding="utf-8"?>
<sst xmlns="http://schemas.openxmlformats.org/spreadsheetml/2006/main" count="71" uniqueCount="56">
  <si>
    <t>Обр Z</t>
  </si>
  <si>
    <t>Погр Z</t>
  </si>
  <si>
    <t>Ед Измер</t>
  </si>
  <si>
    <t>ф</t>
  </si>
  <si>
    <t>A</t>
  </si>
  <si>
    <t>Показание при поверке прибора</t>
  </si>
  <si>
    <t xml:space="preserve">Зайцев Н. 3ПКС-116 </t>
  </si>
  <si>
    <t>Вариант 10</t>
  </si>
  <si>
    <t>Cрзнач</t>
  </si>
  <si>
    <t>Показания * ф</t>
  </si>
  <si>
    <t>О</t>
  </si>
  <si>
    <t>Исправленный ряд</t>
  </si>
  <si>
    <t>R</t>
  </si>
  <si>
    <t>m(min)</t>
  </si>
  <si>
    <t>m(max)</t>
  </si>
  <si>
    <t>m</t>
  </si>
  <si>
    <t>d</t>
  </si>
  <si>
    <t>Номер класса m</t>
  </si>
  <si>
    <t>Границы класса</t>
  </si>
  <si>
    <t>Хj min</t>
  </si>
  <si>
    <t>Xj max</t>
  </si>
  <si>
    <t>Отн. Частота Nj</t>
  </si>
  <si>
    <t>Средняя точка класса Xj</t>
  </si>
  <si>
    <t>(Xj-X)</t>
  </si>
  <si>
    <t>Nj(Xj-X)^2</t>
  </si>
  <si>
    <t>Nj(Xj-X)^3</t>
  </si>
  <si>
    <t>Nj(Xj-X)^4</t>
  </si>
  <si>
    <t>tj</t>
  </si>
  <si>
    <t>Нормальное распределение</t>
  </si>
  <si>
    <t>Pj(tj)</t>
  </si>
  <si>
    <t>Pj</t>
  </si>
  <si>
    <t>Ej</t>
  </si>
  <si>
    <t>|Ej-nj|</t>
  </si>
  <si>
    <t>(Ej-nj)^2/nj</t>
  </si>
  <si>
    <t>Распределение Лапласса</t>
  </si>
  <si>
    <t>Распределение Симпсона</t>
  </si>
  <si>
    <t>Cумм</t>
  </si>
  <si>
    <t>-</t>
  </si>
  <si>
    <t>Частота nj</t>
  </si>
  <si>
    <t>Таблица №6</t>
  </si>
  <si>
    <t>Параметры распределения</t>
  </si>
  <si>
    <t>P,%</t>
  </si>
  <si>
    <t>n</t>
  </si>
  <si>
    <t>X</t>
  </si>
  <si>
    <t>S</t>
  </si>
  <si>
    <t>Sx</t>
  </si>
  <si>
    <t>Mo</t>
  </si>
  <si>
    <t>Me</t>
  </si>
  <si>
    <t>Y3</t>
  </si>
  <si>
    <t>Y4</t>
  </si>
  <si>
    <t>Kз</t>
  </si>
  <si>
    <t>Закон</t>
  </si>
  <si>
    <t>Полученные значения</t>
  </si>
  <si>
    <t>Эксцесс</t>
  </si>
  <si>
    <t>X(cр)</t>
  </si>
  <si>
    <t>Арксинусоидальный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</si>
</sst>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05AD-BD1E-4B42-9A77-97B2495F88DC}">
  <dimension ref="A1:P44"/>
  <sheetViews>
    <sheetView tabSelected="1" workbookViewId="0">
      <selection activeCell="M9" sqref="M9"/>
    </sheetView>
  </sheetViews>
  <sheetFormatPr baseColWidth="10" defaultRowHeight="16" x14ac:dyDescent="0.2"/>
  <cols>
    <col min="5" max="5" width="10.83203125" customWidth="1"/>
    <col min="6" max="6" width="14.5" customWidth="1"/>
  </cols>
  <sheetData>
    <row r="1" spans="1:15" x14ac:dyDescent="0.2">
      <c r="A1" s="5" t="s">
        <v>0</v>
      </c>
      <c r="B1" s="1">
        <v>20</v>
      </c>
      <c r="L1" s="12" t="s">
        <v>6</v>
      </c>
      <c r="M1" s="12"/>
    </row>
    <row r="2" spans="1:15" x14ac:dyDescent="0.2">
      <c r="A2" s="5" t="s">
        <v>1</v>
      </c>
      <c r="B2" s="1">
        <v>0.02</v>
      </c>
      <c r="L2" s="12"/>
      <c r="M2" s="12"/>
    </row>
    <row r="3" spans="1:15" x14ac:dyDescent="0.2">
      <c r="A3" s="5" t="s">
        <v>2</v>
      </c>
      <c r="B3" s="1" t="s">
        <v>4</v>
      </c>
      <c r="L3" s="13" t="s">
        <v>7</v>
      </c>
      <c r="M3" s="13"/>
    </row>
    <row r="4" spans="1:15" x14ac:dyDescent="0.2">
      <c r="A4" s="5" t="s">
        <v>3</v>
      </c>
      <c r="B4" s="1">
        <v>0.2</v>
      </c>
      <c r="L4" s="13"/>
      <c r="M4" s="13"/>
    </row>
    <row r="5" spans="1:15" x14ac:dyDescent="0.2">
      <c r="A5" s="11" t="s">
        <v>5</v>
      </c>
      <c r="B5" s="11"/>
    </row>
    <row r="6" spans="1:15" x14ac:dyDescent="0.2">
      <c r="A6" s="11"/>
      <c r="B6" s="11"/>
    </row>
    <row r="7" spans="1:15" x14ac:dyDescent="0.2">
      <c r="A7" s="1">
        <v>96</v>
      </c>
      <c r="B7" s="1">
        <v>5</v>
      </c>
    </row>
    <row r="8" spans="1:15" x14ac:dyDescent="0.2">
      <c r="A8" s="1">
        <v>97</v>
      </c>
      <c r="B8" s="1">
        <v>12</v>
      </c>
    </row>
    <row r="9" spans="1:15" x14ac:dyDescent="0.2">
      <c r="A9" s="1">
        <v>98</v>
      </c>
      <c r="B9" s="1">
        <v>21</v>
      </c>
    </row>
    <row r="10" spans="1:15" x14ac:dyDescent="0.2">
      <c r="A10" s="1">
        <v>99</v>
      </c>
      <c r="B10" s="1">
        <v>25</v>
      </c>
    </row>
    <row r="11" spans="1:15" x14ac:dyDescent="0.2">
      <c r="A11" s="1">
        <v>100</v>
      </c>
      <c r="B11" s="1">
        <v>23</v>
      </c>
    </row>
    <row r="12" spans="1:15" x14ac:dyDescent="0.2">
      <c r="A12" s="1">
        <v>101</v>
      </c>
      <c r="B12" s="1">
        <v>11</v>
      </c>
      <c r="F12" s="5" t="s">
        <v>17</v>
      </c>
      <c r="G12" s="5"/>
      <c r="H12" s="5">
        <v>1</v>
      </c>
      <c r="I12" s="5">
        <v>2</v>
      </c>
      <c r="J12" s="5">
        <v>3</v>
      </c>
      <c r="K12" s="5">
        <v>4</v>
      </c>
      <c r="L12" s="5">
        <v>5</v>
      </c>
      <c r="M12" s="5">
        <v>6</v>
      </c>
      <c r="N12" s="5">
        <v>7</v>
      </c>
      <c r="O12" s="5" t="s">
        <v>36</v>
      </c>
    </row>
    <row r="13" spans="1:15" x14ac:dyDescent="0.2">
      <c r="A13" s="1">
        <v>102</v>
      </c>
      <c r="B13" s="1">
        <v>3</v>
      </c>
      <c r="F13" s="14" t="s">
        <v>18</v>
      </c>
      <c r="G13" s="5" t="s">
        <v>19</v>
      </c>
      <c r="H13" s="1">
        <f>MIN(B18:B24)</f>
        <v>19.412000000000003</v>
      </c>
      <c r="I13" s="1">
        <f>H14</f>
        <v>19.652000000000001</v>
      </c>
      <c r="J13" s="1">
        <f>I14</f>
        <v>19.652000000000001</v>
      </c>
      <c r="K13" s="1">
        <f>J14</f>
        <v>19.891999999999999</v>
      </c>
      <c r="L13" s="1">
        <f>K14</f>
        <v>24.652000000000001</v>
      </c>
      <c r="M13" s="1">
        <f t="shared" ref="M13:N13" si="0">L14</f>
        <v>20.131999999999998</v>
      </c>
      <c r="N13" s="1">
        <f t="shared" si="0"/>
        <v>24.891999999999999</v>
      </c>
      <c r="O13" s="2" t="s">
        <v>37</v>
      </c>
    </row>
    <row r="14" spans="1:15" x14ac:dyDescent="0.2">
      <c r="F14" s="14"/>
      <c r="G14" s="5" t="s">
        <v>20</v>
      </c>
      <c r="H14" s="1">
        <f>H13+B32</f>
        <v>19.652000000000001</v>
      </c>
      <c r="I14" s="1">
        <f>H13+B32</f>
        <v>19.652000000000001</v>
      </c>
      <c r="J14" s="1">
        <f>I13+B32</f>
        <v>19.891999999999999</v>
      </c>
      <c r="K14" s="1">
        <f>B31+J13</f>
        <v>24.652000000000001</v>
      </c>
      <c r="L14" s="1">
        <f>K13+B32</f>
        <v>20.131999999999998</v>
      </c>
      <c r="M14" s="1">
        <f>L13+B32</f>
        <v>24.891999999999999</v>
      </c>
      <c r="N14" s="1">
        <f>M13+B32</f>
        <v>20.371999999999996</v>
      </c>
      <c r="O14" s="2" t="s">
        <v>37</v>
      </c>
    </row>
    <row r="15" spans="1:15" x14ac:dyDescent="0.2">
      <c r="A15" s="6"/>
      <c r="F15" s="9" t="s">
        <v>22</v>
      </c>
      <c r="G15" s="10"/>
      <c r="H15" s="1">
        <f>AVERAGE(H13:H14)</f>
        <v>19.532000000000004</v>
      </c>
      <c r="I15" s="1">
        <f t="shared" ref="I15:N15" si="1">AVERAGE(I13:I14)</f>
        <v>19.652000000000001</v>
      </c>
      <c r="J15" s="1">
        <f t="shared" si="1"/>
        <v>19.771999999999998</v>
      </c>
      <c r="K15" s="1">
        <f t="shared" si="1"/>
        <v>22.271999999999998</v>
      </c>
      <c r="L15" s="1">
        <f t="shared" si="1"/>
        <v>22.391999999999999</v>
      </c>
      <c r="M15" s="1">
        <f t="shared" si="1"/>
        <v>22.512</v>
      </c>
      <c r="N15" s="1">
        <f t="shared" si="1"/>
        <v>22.631999999999998</v>
      </c>
      <c r="O15" s="2" t="s">
        <v>37</v>
      </c>
    </row>
    <row r="16" spans="1:15" x14ac:dyDescent="0.2">
      <c r="F16" s="9" t="s">
        <v>38</v>
      </c>
      <c r="G16" s="10"/>
      <c r="H16" s="1">
        <v>5</v>
      </c>
      <c r="I16" s="1">
        <v>12</v>
      </c>
      <c r="J16" s="1">
        <v>21</v>
      </c>
      <c r="K16" s="1">
        <v>25</v>
      </c>
      <c r="L16" s="1">
        <v>23</v>
      </c>
      <c r="M16" s="1">
        <v>11</v>
      </c>
      <c r="N16" s="1">
        <v>3</v>
      </c>
      <c r="O16" s="1">
        <f>SUM(H16:N16)</f>
        <v>100</v>
      </c>
    </row>
    <row r="17" spans="1:15" x14ac:dyDescent="0.2">
      <c r="A17" s="5" t="s">
        <v>8</v>
      </c>
      <c r="B17" s="5" t="s">
        <v>11</v>
      </c>
      <c r="C17" s="1"/>
      <c r="F17" s="9" t="s">
        <v>21</v>
      </c>
      <c r="G17" s="10"/>
      <c r="H17" s="1">
        <f>H16/$O$16</f>
        <v>0.05</v>
      </c>
      <c r="I17" s="1">
        <f t="shared" ref="I17:N17" si="2">I16/$O$16</f>
        <v>0.12</v>
      </c>
      <c r="J17" s="1">
        <f t="shared" si="2"/>
        <v>0.21</v>
      </c>
      <c r="K17" s="1">
        <f t="shared" si="2"/>
        <v>0.25</v>
      </c>
      <c r="L17" s="1">
        <f t="shared" si="2"/>
        <v>0.23</v>
      </c>
      <c r="M17" s="1">
        <f t="shared" si="2"/>
        <v>0.11</v>
      </c>
      <c r="N17" s="1">
        <f t="shared" si="2"/>
        <v>0.03</v>
      </c>
      <c r="O17" s="1">
        <f>SUM(H17:N17)</f>
        <v>1</v>
      </c>
    </row>
    <row r="18" spans="1:15" x14ac:dyDescent="0.2">
      <c r="A18" s="1">
        <f>SUMPRODUCT(A21:A27,B7:B13)/SUM(B7:B13)</f>
        <v>19.788</v>
      </c>
      <c r="B18" s="1">
        <f>A21-$B$36</f>
        <v>19.412000000000003</v>
      </c>
      <c r="C18" s="1"/>
      <c r="F18" s="9" t="s">
        <v>23</v>
      </c>
      <c r="G18" s="10"/>
      <c r="H18" s="1">
        <f>H15-$B$34</f>
        <v>-1.8283999999999985</v>
      </c>
      <c r="I18" s="1">
        <f>I15-$B$34</f>
        <v>-1.708400000000001</v>
      </c>
      <c r="J18" s="1">
        <f>J15-$B$34</f>
        <v>-1.5884000000000036</v>
      </c>
      <c r="K18" s="1">
        <f>K15-$B$34</f>
        <v>0.91159999999999641</v>
      </c>
      <c r="L18" s="1">
        <f>L15-$B$34</f>
        <v>1.0315999999999974</v>
      </c>
      <c r="M18" s="1">
        <f>M15-$B$34</f>
        <v>1.1515999999999984</v>
      </c>
      <c r="N18" s="1">
        <f>N15-$B$34</f>
        <v>1.2715999999999958</v>
      </c>
      <c r="O18" s="2" t="s">
        <v>37</v>
      </c>
    </row>
    <row r="19" spans="1:15" x14ac:dyDescent="0.2">
      <c r="A19" s="14" t="s">
        <v>9</v>
      </c>
      <c r="B19" s="1">
        <f>A22-$B$36</f>
        <v>19.612000000000002</v>
      </c>
      <c r="C19" s="1"/>
      <c r="F19" s="9" t="s">
        <v>24</v>
      </c>
      <c r="G19" s="10"/>
      <c r="H19" s="1">
        <f>H17*POWER(H18,2)</f>
        <v>0.16715232799999974</v>
      </c>
      <c r="I19" s="1">
        <f t="shared" ref="I19:N19" si="3">I17*POWER(I18,2)</f>
        <v>0.35023566720000043</v>
      </c>
      <c r="J19" s="1">
        <f t="shared" si="3"/>
        <v>0.52983305760000243</v>
      </c>
      <c r="K19" s="1">
        <f t="shared" si="3"/>
        <v>0.20775363999999835</v>
      </c>
      <c r="L19" s="1">
        <f t="shared" si="3"/>
        <v>0.24476566879999875</v>
      </c>
      <c r="M19" s="1">
        <f t="shared" si="3"/>
        <v>0.1458800815999996</v>
      </c>
      <c r="N19" s="1">
        <f t="shared" si="3"/>
        <v>4.8508996799999683E-2</v>
      </c>
      <c r="O19" s="1">
        <f t="shared" ref="O19:O20" si="4">SUM(H19:N19)</f>
        <v>1.6941294399999991</v>
      </c>
    </row>
    <row r="20" spans="1:15" x14ac:dyDescent="0.2">
      <c r="A20" s="14"/>
      <c r="B20" s="1">
        <f>A23-$B$36</f>
        <v>19.812000000000001</v>
      </c>
      <c r="C20" s="1"/>
      <c r="F20" s="9" t="s">
        <v>25</v>
      </c>
      <c r="G20" s="10"/>
      <c r="H20" s="1">
        <f>H17*POWER(H18,3)</f>
        <v>-0.3056213165151993</v>
      </c>
      <c r="I20" s="1">
        <f t="shared" ref="I20:N20" si="5">I17*POWER(I18,3)</f>
        <v>-0.59834261384448106</v>
      </c>
      <c r="J20" s="1">
        <f t="shared" si="5"/>
        <v>-0.84158682869184576</v>
      </c>
      <c r="K20" s="1">
        <f t="shared" si="5"/>
        <v>0.18938821822399776</v>
      </c>
      <c r="L20" s="1">
        <f t="shared" si="5"/>
        <v>0.2525002639340781</v>
      </c>
      <c r="M20" s="1">
        <f t="shared" si="5"/>
        <v>0.16799550197055932</v>
      </c>
      <c r="N20" s="1">
        <f t="shared" si="5"/>
        <v>6.1684040330879396E-2</v>
      </c>
      <c r="O20" s="1">
        <f t="shared" si="4"/>
        <v>-1.0739827345920119</v>
      </c>
    </row>
    <row r="21" spans="1:15" x14ac:dyDescent="0.2">
      <c r="A21" s="1">
        <f t="shared" ref="A21:A27" si="6">A7*$B$4</f>
        <v>19.200000000000003</v>
      </c>
      <c r="B21" s="1">
        <f>A24-$B$36</f>
        <v>20.012</v>
      </c>
      <c r="C21" s="1"/>
      <c r="F21" s="9" t="s">
        <v>26</v>
      </c>
      <c r="G21" s="10"/>
      <c r="H21" s="1">
        <f>H17*POWER(H18,4)</f>
        <v>0.55879801511638982</v>
      </c>
      <c r="I21" s="1">
        <f t="shared" ref="I21:N21" si="7">I17*POWER(I18,4)</f>
        <v>1.0222085214919119</v>
      </c>
      <c r="J21" s="1">
        <f t="shared" si="7"/>
        <v>1.3367765186941309</v>
      </c>
      <c r="K21" s="1">
        <f t="shared" si="7"/>
        <v>0.17264629973299567</v>
      </c>
      <c r="L21" s="1">
        <f t="shared" si="7"/>
        <v>0.26047927227439427</v>
      </c>
      <c r="M21" s="1">
        <f t="shared" si="7"/>
        <v>0.19346362006929582</v>
      </c>
      <c r="N21" s="1">
        <f t="shared" si="7"/>
        <v>7.8437425684745973E-2</v>
      </c>
      <c r="O21" s="1">
        <f>SUM(H21:N21)</f>
        <v>3.6228096730638644</v>
      </c>
    </row>
    <row r="22" spans="1:15" x14ac:dyDescent="0.2">
      <c r="A22" s="1">
        <f t="shared" si="6"/>
        <v>19.400000000000002</v>
      </c>
      <c r="B22" s="1">
        <f>A25-$B$36</f>
        <v>20.212</v>
      </c>
      <c r="C22" s="1"/>
      <c r="F22" s="9" t="s">
        <v>27</v>
      </c>
      <c r="G22" s="10"/>
      <c r="H22" s="1">
        <f>H18/$O$19</f>
        <v>-1.0792563760653373</v>
      </c>
      <c r="I22" s="1">
        <f t="shared" ref="I22:M22" si="8">I18/$O$19</f>
        <v>-1.0084235358072768</v>
      </c>
      <c r="J22" s="1">
        <f t="shared" si="8"/>
        <v>-0.93759069554921637</v>
      </c>
      <c r="K22" s="1">
        <f t="shared" si="8"/>
        <v>0.5380934764937424</v>
      </c>
      <c r="L22" s="1">
        <f t="shared" si="8"/>
        <v>0.60892631675180497</v>
      </c>
      <c r="M22" s="1">
        <f t="shared" si="8"/>
        <v>0.67975915700986755</v>
      </c>
      <c r="N22" s="1">
        <f>N18/$O$19</f>
        <v>0.75059199726792802</v>
      </c>
      <c r="O22" s="2" t="s">
        <v>37</v>
      </c>
    </row>
    <row r="23" spans="1:15" x14ac:dyDescent="0.2">
      <c r="A23" s="1">
        <f t="shared" si="6"/>
        <v>19.600000000000001</v>
      </c>
      <c r="B23" s="1">
        <f>A26-$B$36</f>
        <v>20.412000000000003</v>
      </c>
      <c r="C23" s="1"/>
      <c r="F23" s="15" t="s">
        <v>28</v>
      </c>
      <c r="G23" s="5" t="s">
        <v>29</v>
      </c>
      <c r="H23" s="1">
        <f>(1/SQRT(2*PI()))*EXP(-1*((1/2)*H22^2))</f>
        <v>0.22283232507377257</v>
      </c>
      <c r="I23" s="1">
        <f t="shared" ref="I23:M23" si="9">(1/SQRT(2*PI()))*EXP(-1*((1/2)*I22^2))</f>
        <v>0.23993252356344721</v>
      </c>
      <c r="J23" s="1">
        <f t="shared" si="9"/>
        <v>0.25705204897575035</v>
      </c>
      <c r="K23" s="1">
        <f t="shared" si="9"/>
        <v>0.3451725548761817</v>
      </c>
      <c r="L23" s="1">
        <f t="shared" si="9"/>
        <v>0.33143148819709634</v>
      </c>
      <c r="M23" s="1">
        <f t="shared" si="9"/>
        <v>0.31664475221748833</v>
      </c>
      <c r="N23" s="1">
        <f>(1/SQRT(2*PI()))*EXP(-1*((1/2)*N22^2))</f>
        <v>0.30100370468482357</v>
      </c>
      <c r="O23" s="1">
        <f t="shared" ref="O22:O27" si="10">SUM(H23:N23)</f>
        <v>2.01406939758856</v>
      </c>
    </row>
    <row r="24" spans="1:15" x14ac:dyDescent="0.2">
      <c r="A24" s="1">
        <f t="shared" si="6"/>
        <v>19.8</v>
      </c>
      <c r="B24" s="1">
        <f>A27-$B$36</f>
        <v>20.612000000000002</v>
      </c>
      <c r="C24" s="1"/>
      <c r="F24" s="15"/>
      <c r="G24" s="5" t="s">
        <v>30</v>
      </c>
      <c r="H24" s="1">
        <f>H23*($B$32/SQRT($O$19))</f>
        <v>4.1088107541599625E-2</v>
      </c>
      <c r="I24" s="1">
        <f t="shared" ref="I24:N24" si="11">I23*($B$32/SQRT($O$19))</f>
        <v>4.4241217371126552E-2</v>
      </c>
      <c r="J24" s="1">
        <f t="shared" si="11"/>
        <v>4.7397890896697777E-2</v>
      </c>
      <c r="K24" s="1">
        <f t="shared" si="11"/>
        <v>6.36464527777372E-2</v>
      </c>
      <c r="L24" s="1">
        <f t="shared" si="11"/>
        <v>6.111273409370143E-2</v>
      </c>
      <c r="M24" s="1">
        <f>M23*($B$32/SQRT($O$19))</f>
        <v>5.8386204188678757E-2</v>
      </c>
      <c r="N24" s="1">
        <f>N23*($B$32/SQRT($O$19))</f>
        <v>5.5502147565059917E-2</v>
      </c>
      <c r="O24" s="1">
        <f t="shared" si="10"/>
        <v>0.37137475443460122</v>
      </c>
    </row>
    <row r="25" spans="1:15" x14ac:dyDescent="0.2">
      <c r="A25" s="1">
        <f t="shared" si="6"/>
        <v>20</v>
      </c>
      <c r="F25" s="15"/>
      <c r="G25" s="5" t="s">
        <v>31</v>
      </c>
      <c r="H25" s="1">
        <f>H24*$O$16</f>
        <v>4.1088107541599621</v>
      </c>
      <c r="I25" s="1">
        <f t="shared" ref="I25:N25" si="12">I24*$O$16</f>
        <v>4.4241217371126549</v>
      </c>
      <c r="J25" s="1">
        <f t="shared" si="12"/>
        <v>4.7397890896697774</v>
      </c>
      <c r="K25" s="1">
        <f t="shared" si="12"/>
        <v>6.3646452777737199</v>
      </c>
      <c r="L25" s="1">
        <f t="shared" si="12"/>
        <v>6.1112734093701429</v>
      </c>
      <c r="M25" s="1">
        <f t="shared" si="12"/>
        <v>5.8386204188678761</v>
      </c>
      <c r="N25" s="1">
        <f>N24*$O$16</f>
        <v>5.5502147565059916</v>
      </c>
      <c r="O25" s="1">
        <f t="shared" si="10"/>
        <v>37.137475443460126</v>
      </c>
    </row>
    <row r="26" spans="1:15" x14ac:dyDescent="0.2">
      <c r="A26" s="1">
        <f t="shared" si="6"/>
        <v>20.200000000000003</v>
      </c>
      <c r="F26" s="15"/>
      <c r="G26" s="5" t="s">
        <v>32</v>
      </c>
      <c r="H26" s="1">
        <f>ABS(H25-H16)</f>
        <v>0.89118924584003789</v>
      </c>
      <c r="I26" s="1">
        <f>ABS(I25-I16)</f>
        <v>7.5758782628873451</v>
      </c>
      <c r="J26" s="1">
        <f t="shared" ref="I26:N26" si="13">ABS(J25-J16)</f>
        <v>16.260210910330223</v>
      </c>
      <c r="K26" s="1">
        <f t="shared" si="13"/>
        <v>18.635354722226282</v>
      </c>
      <c r="L26" s="1">
        <f t="shared" si="13"/>
        <v>16.888726590629858</v>
      </c>
      <c r="M26" s="1">
        <f t="shared" si="13"/>
        <v>5.1613795811321239</v>
      </c>
      <c r="N26" s="1">
        <f t="shared" si="13"/>
        <v>2.5502147565059916</v>
      </c>
      <c r="O26" s="1">
        <f t="shared" si="10"/>
        <v>67.96295406955187</v>
      </c>
    </row>
    <row r="27" spans="1:15" x14ac:dyDescent="0.2">
      <c r="A27" s="1">
        <f t="shared" si="6"/>
        <v>20.400000000000002</v>
      </c>
      <c r="F27" s="15"/>
      <c r="G27" s="5" t="s">
        <v>33</v>
      </c>
      <c r="H27" s="1">
        <f>H26^2/H16</f>
        <v>0.1588436543801871</v>
      </c>
      <c r="I27" s="1">
        <f t="shared" ref="I27:N27" si="14">I26^2/I16</f>
        <v>4.7828276211740812</v>
      </c>
      <c r="J27" s="1">
        <f t="shared" si="14"/>
        <v>12.590212326115333</v>
      </c>
      <c r="K27" s="1">
        <f t="shared" si="14"/>
        <v>13.891057824928055</v>
      </c>
      <c r="L27" s="1">
        <f t="shared" si="14"/>
        <v>12.401264602306437</v>
      </c>
      <c r="M27" s="1">
        <f t="shared" si="14"/>
        <v>2.4218035618661471</v>
      </c>
      <c r="N27" s="1">
        <f t="shared" si="14"/>
        <v>2.1678651014336379</v>
      </c>
      <c r="O27" s="1">
        <f>SUM(H27:N27)</f>
        <v>48.413874692203883</v>
      </c>
    </row>
    <row r="28" spans="1:15" x14ac:dyDescent="0.2">
      <c r="F28" s="8" t="s">
        <v>34</v>
      </c>
      <c r="G28" s="5" t="s">
        <v>29</v>
      </c>
      <c r="H28" s="1">
        <f>(SQRT(2)/2)*EXP(-1*SQRT(2*H22*H22))</f>
        <v>0.15368156230846708</v>
      </c>
      <c r="I28" s="1">
        <f t="shared" ref="I28:N28" si="15">(SQRT(2)/2)*EXP(-1*SQRT(2*I22*I22))</f>
        <v>0.16987373872968861</v>
      </c>
      <c r="J28" s="1">
        <f>(SQRT(2)/2)*EXP(-1*SQRT(2*J22*J22))</f>
        <v>0.18777195309923414</v>
      </c>
      <c r="K28" s="1">
        <f t="shared" si="15"/>
        <v>0.33036648419717013</v>
      </c>
      <c r="L28" s="1">
        <f t="shared" si="15"/>
        <v>0.29887631723091779</v>
      </c>
      <c r="M28" s="1">
        <f t="shared" si="15"/>
        <v>0.27038775806387133</v>
      </c>
      <c r="N28" s="1">
        <f t="shared" si="15"/>
        <v>0.24461469676876718</v>
      </c>
      <c r="O28" s="1">
        <f t="shared" ref="O28:O36" si="16">SUM(H28:N28)</f>
        <v>1.6555725103981165</v>
      </c>
    </row>
    <row r="29" spans="1:15" x14ac:dyDescent="0.2">
      <c r="A29" s="5" t="s">
        <v>13</v>
      </c>
      <c r="B29" s="3">
        <f>0.55*SUM(B7:B13)^0.4</f>
        <v>3.4702653946410642</v>
      </c>
      <c r="C29" s="28"/>
      <c r="D29" s="27"/>
      <c r="F29" s="8"/>
      <c r="G29" s="5" t="s">
        <v>30</v>
      </c>
      <c r="H29" s="1">
        <f>(SQRT(2)/2)*EXP(-1*SQRT(2*H28*H28))</f>
        <v>0.56897877946817388</v>
      </c>
      <c r="I29" s="1">
        <f t="shared" ref="I29:M29" si="17">(SQRT(2)/2)*EXP(-1*SQRT(2*I28*I28))</f>
        <v>0.5560976695600035</v>
      </c>
      <c r="J29" s="1">
        <f t="shared" si="17"/>
        <v>0.54219843246485888</v>
      </c>
      <c r="K29" s="1">
        <f t="shared" si="17"/>
        <v>0.44317863418159531</v>
      </c>
      <c r="L29" s="1">
        <f t="shared" si="17"/>
        <v>0.46336113877568469</v>
      </c>
      <c r="M29" s="1">
        <f t="shared" si="17"/>
        <v>0.48241061713089112</v>
      </c>
      <c r="N29" s="1">
        <f>(SQRT(2)/2)*EXP(-1*SQRT(2*N28*N28))</f>
        <v>0.50031818547596596</v>
      </c>
      <c r="O29" s="1">
        <f t="shared" si="16"/>
        <v>3.556543457057173</v>
      </c>
    </row>
    <row r="30" spans="1:15" x14ac:dyDescent="0.2">
      <c r="A30" s="5" t="s">
        <v>14</v>
      </c>
      <c r="B30" s="3">
        <f>1.2*SUM(B7:B13)^0.4</f>
        <v>7.5714881337623208</v>
      </c>
      <c r="C30" s="26"/>
      <c r="D30" s="27"/>
      <c r="F30" s="8"/>
      <c r="G30" s="5" t="s">
        <v>31</v>
      </c>
      <c r="H30" s="1">
        <f>H29*$O$16</f>
        <v>56.897877946817388</v>
      </c>
      <c r="I30" s="1">
        <f t="shared" ref="I30:N30" si="18">I29*$O$16</f>
        <v>55.60976695600035</v>
      </c>
      <c r="J30" s="1">
        <f t="shared" si="18"/>
        <v>54.219843246485887</v>
      </c>
      <c r="K30" s="1">
        <f t="shared" si="18"/>
        <v>44.317863418159533</v>
      </c>
      <c r="L30" s="1">
        <f t="shared" si="18"/>
        <v>46.336113877568472</v>
      </c>
      <c r="M30" s="1">
        <f t="shared" si="18"/>
        <v>48.24106171308911</v>
      </c>
      <c r="N30" s="1">
        <f t="shared" si="18"/>
        <v>50.031818547596593</v>
      </c>
      <c r="O30" s="1">
        <f t="shared" si="16"/>
        <v>355.65434570571728</v>
      </c>
    </row>
    <row r="31" spans="1:15" x14ac:dyDescent="0.2">
      <c r="A31" s="5" t="s">
        <v>15</v>
      </c>
      <c r="B31" s="1">
        <f>5</f>
        <v>5</v>
      </c>
      <c r="F31" s="8"/>
      <c r="G31" s="5" t="s">
        <v>32</v>
      </c>
      <c r="H31" s="1">
        <f>ABS(H30-H16)</f>
        <v>51.897877946817388</v>
      </c>
      <c r="I31" s="1">
        <f t="shared" ref="I31:N31" si="19">ABS(I30-I16)</f>
        <v>43.60976695600035</v>
      </c>
      <c r="J31" s="1">
        <f t="shared" si="19"/>
        <v>33.219843246485887</v>
      </c>
      <c r="K31" s="1">
        <f t="shared" si="19"/>
        <v>19.317863418159533</v>
      </c>
      <c r="L31" s="1">
        <f t="shared" si="19"/>
        <v>23.336113877568472</v>
      </c>
      <c r="M31" s="1">
        <f t="shared" si="19"/>
        <v>37.24106171308911</v>
      </c>
      <c r="N31" s="1">
        <f t="shared" si="19"/>
        <v>47.031818547596593</v>
      </c>
      <c r="O31" s="1">
        <f t="shared" si="16"/>
        <v>255.6543457057173</v>
      </c>
    </row>
    <row r="32" spans="1:15" x14ac:dyDescent="0.2">
      <c r="A32" s="7" t="s">
        <v>16</v>
      </c>
      <c r="B32" s="1">
        <f>B35/B31</f>
        <v>0.23999999999999985</v>
      </c>
      <c r="F32" s="8"/>
      <c r="G32" s="5" t="s">
        <v>33</v>
      </c>
      <c r="H32" s="1">
        <f>H31^2/H16</f>
        <v>538.67794707655094</v>
      </c>
      <c r="I32" s="1">
        <f t="shared" ref="I32:N32" si="20">I31^2/I16</f>
        <v>158.48431449638835</v>
      </c>
      <c r="J32" s="1">
        <f t="shared" si="20"/>
        <v>52.550380253385434</v>
      </c>
      <c r="K32" s="1">
        <f t="shared" si="20"/>
        <v>14.927193881706653</v>
      </c>
      <c r="L32" s="1">
        <f t="shared" si="20"/>
        <v>23.677139604645387</v>
      </c>
      <c r="M32" s="1">
        <f t="shared" si="20"/>
        <v>126.08151613801014</v>
      </c>
      <c r="N32" s="1">
        <f t="shared" si="20"/>
        <v>737.33065196468363</v>
      </c>
      <c r="O32" s="1">
        <f t="shared" si="16"/>
        <v>1651.7291434153706</v>
      </c>
    </row>
    <row r="33" spans="1:16" x14ac:dyDescent="0.2">
      <c r="A33" s="7" t="s">
        <v>53</v>
      </c>
      <c r="B33" s="1">
        <f xml:space="preserve"> $O$21/($H$43^4)</f>
        <v>1.2622702295674584</v>
      </c>
      <c r="F33" s="8" t="s">
        <v>35</v>
      </c>
      <c r="G33" s="5" t="s">
        <v>30</v>
      </c>
      <c r="H33" s="1">
        <f>IF(H15&lt;=H13,0,IF(AND((H13&lt;H15),H15&lt;((H13+H14)/2)),4*(H15-H13)/((H14-H13)^2),IF(AND(((H13+H14)/2&lt;H15),(H15&lt;H14)),4*(H14-H13)/((H14-H13)^2),0)))</f>
        <v>0</v>
      </c>
      <c r="I33" s="1">
        <f t="shared" ref="I33:N33" si="21">IF(I15&lt;=I13,0,IF(AND((I13&lt;I15),I15&lt;((I13+I14)/2)),4*(I15-I13)/((I14-I13)^2),IF(AND(((I13+I14)/2&lt;I15),(I15&lt;I14)),4*(I14-I13)/((I14-I13)^2),0)))</f>
        <v>0</v>
      </c>
      <c r="J33" s="1">
        <f t="shared" si="21"/>
        <v>0</v>
      </c>
      <c r="K33" s="1">
        <f t="shared" si="21"/>
        <v>0</v>
      </c>
      <c r="L33" s="1">
        <f t="shared" si="21"/>
        <v>0</v>
      </c>
      <c r="M33" s="1">
        <f t="shared" si="21"/>
        <v>0</v>
      </c>
      <c r="N33" s="1">
        <f t="shared" si="21"/>
        <v>0</v>
      </c>
      <c r="O33" s="1">
        <f t="shared" si="16"/>
        <v>0</v>
      </c>
    </row>
    <row r="34" spans="1:16" x14ac:dyDescent="0.2">
      <c r="A34" s="7" t="s">
        <v>54</v>
      </c>
      <c r="B34" s="1">
        <f>SUMPRODUCT(H15:N15,H17:N17)</f>
        <v>21.360400000000002</v>
      </c>
      <c r="F34" s="8"/>
      <c r="G34" s="5" t="s">
        <v>31</v>
      </c>
      <c r="H34" s="1">
        <f>H33*$O$16</f>
        <v>0</v>
      </c>
      <c r="I34" s="1">
        <f t="shared" ref="I34:N34" si="22">I33*$O$16</f>
        <v>0</v>
      </c>
      <c r="J34" s="1">
        <f t="shared" si="22"/>
        <v>0</v>
      </c>
      <c r="K34" s="1">
        <f t="shared" si="22"/>
        <v>0</v>
      </c>
      <c r="L34" s="1">
        <f t="shared" si="22"/>
        <v>0</v>
      </c>
      <c r="M34" s="1">
        <f t="shared" si="22"/>
        <v>0</v>
      </c>
      <c r="N34" s="1">
        <f t="shared" si="22"/>
        <v>0</v>
      </c>
      <c r="O34" s="1">
        <f t="shared" si="16"/>
        <v>0</v>
      </c>
    </row>
    <row r="35" spans="1:16" x14ac:dyDescent="0.2">
      <c r="A35" s="5" t="s">
        <v>12</v>
      </c>
      <c r="B35" s="1">
        <f>MAX(B18:B24)-MIN(B18:B24)</f>
        <v>1.1999999999999993</v>
      </c>
      <c r="F35" s="8"/>
      <c r="G35" s="5" t="s">
        <v>32</v>
      </c>
      <c r="H35" s="1">
        <f>ABS(H34-H16)</f>
        <v>5</v>
      </c>
      <c r="I35" s="1">
        <f t="shared" ref="I35:N35" si="23">ABS(I34-I16)</f>
        <v>12</v>
      </c>
      <c r="J35" s="1">
        <f t="shared" si="23"/>
        <v>21</v>
      </c>
      <c r="K35" s="1">
        <f t="shared" si="23"/>
        <v>25</v>
      </c>
      <c r="L35" s="1">
        <f t="shared" si="23"/>
        <v>23</v>
      </c>
      <c r="M35" s="1">
        <f t="shared" si="23"/>
        <v>11</v>
      </c>
      <c r="N35" s="1">
        <f t="shared" si="23"/>
        <v>3</v>
      </c>
      <c r="O35" s="1">
        <f t="shared" si="16"/>
        <v>100</v>
      </c>
    </row>
    <row r="36" spans="1:16" x14ac:dyDescent="0.2">
      <c r="A36" s="4" t="s">
        <v>10</v>
      </c>
      <c r="B36" s="1">
        <f>A18-B1</f>
        <v>-0.21199999999999974</v>
      </c>
      <c r="F36" s="8"/>
      <c r="G36" s="5" t="s">
        <v>33</v>
      </c>
      <c r="H36" s="1">
        <f>H35^2/H16</f>
        <v>5</v>
      </c>
      <c r="I36" s="1">
        <f t="shared" ref="I36:N36" si="24">I35^2/I16</f>
        <v>12</v>
      </c>
      <c r="J36" s="1">
        <f t="shared" si="24"/>
        <v>21</v>
      </c>
      <c r="K36" s="1">
        <f t="shared" si="24"/>
        <v>25</v>
      </c>
      <c r="L36" s="1">
        <f t="shared" si="24"/>
        <v>23</v>
      </c>
      <c r="M36" s="1">
        <f t="shared" si="24"/>
        <v>11</v>
      </c>
      <c r="N36" s="1">
        <f t="shared" si="24"/>
        <v>3</v>
      </c>
      <c r="O36" s="1">
        <f t="shared" si="16"/>
        <v>100</v>
      </c>
    </row>
    <row r="37" spans="1:16" x14ac:dyDescent="0.2">
      <c r="O37" s="1"/>
    </row>
    <row r="40" spans="1:16" x14ac:dyDescent="0.2">
      <c r="A40" s="25" t="s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2">
      <c r="A41" s="19" t="s">
        <v>40</v>
      </c>
      <c r="B41" s="19"/>
      <c r="C41" s="20" t="s">
        <v>41</v>
      </c>
      <c r="D41" s="22" t="s">
        <v>42</v>
      </c>
      <c r="E41" s="22" t="s">
        <v>12</v>
      </c>
      <c r="F41" s="22" t="s">
        <v>16</v>
      </c>
      <c r="G41" s="22" t="s">
        <v>43</v>
      </c>
      <c r="H41" s="22" t="s">
        <v>44</v>
      </c>
      <c r="I41" s="22" t="s">
        <v>45</v>
      </c>
      <c r="J41" s="22" t="s">
        <v>46</v>
      </c>
      <c r="K41" s="22" t="s">
        <v>47</v>
      </c>
      <c r="L41" s="22" t="s">
        <v>48</v>
      </c>
      <c r="M41" s="22" t="s">
        <v>49</v>
      </c>
      <c r="N41" s="22" t="s">
        <v>50</v>
      </c>
      <c r="O41" s="24" t="s">
        <v>51</v>
      </c>
      <c r="P41" s="24"/>
    </row>
    <row r="42" spans="1:16" x14ac:dyDescent="0.2">
      <c r="A42" s="19"/>
      <c r="B42" s="19"/>
      <c r="C42" s="2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  <c r="P42" s="24"/>
    </row>
    <row r="43" spans="1:16" x14ac:dyDescent="0.2">
      <c r="A43" s="19" t="s">
        <v>52</v>
      </c>
      <c r="B43" s="19"/>
      <c r="C43" s="16">
        <f>IF($G$43&lt;=$H$13,0,IF($H$13&lt;$G$43&lt;(($H$13+$N$14)/2),4*($G$43-$H$13)/(($N$14-$H$13)^2),IF((($H$13+$N$14)/2)&lt;$G$43&lt;$N$14,4*($N$14-$G$43)/(($N$14-$H$13)^2),0)))</f>
        <v>0</v>
      </c>
      <c r="D43" s="16">
        <f>$O$16</f>
        <v>100</v>
      </c>
      <c r="E43" s="16">
        <f>$B$35</f>
        <v>1.1999999999999993</v>
      </c>
      <c r="F43" s="16">
        <f>B32</f>
        <v>0.23999999999999985</v>
      </c>
      <c r="G43" s="16">
        <f xml:space="preserve"> $B$34</f>
        <v>21.360400000000002</v>
      </c>
      <c r="H43" s="16">
        <f xml:space="preserve"> SQRT($O$19)</f>
        <v>1.3015872771351136</v>
      </c>
      <c r="I43" s="16">
        <f>H43/SQRT(D43)</f>
        <v>0.13015872771351136</v>
      </c>
      <c r="J43" s="16">
        <f>$K$15</f>
        <v>22.271999999999998</v>
      </c>
      <c r="K43" s="16">
        <f>($J$15+$K$15)/2</f>
        <v>21.021999999999998</v>
      </c>
      <c r="L43" s="16">
        <f>$O$20/($H$43^3)</f>
        <v>-0.48705433752340732</v>
      </c>
      <c r="M43" s="16">
        <f>($O$21/$H$43^4)-3</f>
        <v>-1.7377297704325416</v>
      </c>
      <c r="N43" s="16">
        <f>1/SQRT($O$21/($H$43^4))</f>
        <v>0.89006931736332917</v>
      </c>
      <c r="O43" s="17" t="s">
        <v>55</v>
      </c>
      <c r="P43" s="17"/>
    </row>
    <row r="44" spans="1:16" x14ac:dyDescent="0.2">
      <c r="A44" s="19"/>
      <c r="B44" s="19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7"/>
      <c r="P44" s="17"/>
    </row>
  </sheetData>
  <mergeCells count="45">
    <mergeCell ref="L43:L44"/>
    <mergeCell ref="M43:M44"/>
    <mergeCell ref="N43:N44"/>
    <mergeCell ref="O43:P44"/>
    <mergeCell ref="G43:G44"/>
    <mergeCell ref="H43:H44"/>
    <mergeCell ref="I43:I44"/>
    <mergeCell ref="J43:J44"/>
    <mergeCell ref="K43:K44"/>
    <mergeCell ref="A43:B44"/>
    <mergeCell ref="C43:C44"/>
    <mergeCell ref="D43:D44"/>
    <mergeCell ref="E43:E44"/>
    <mergeCell ref="F43:F44"/>
    <mergeCell ref="A40:P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P42"/>
    <mergeCell ref="A5:B6"/>
    <mergeCell ref="L1:M2"/>
    <mergeCell ref="L3:M4"/>
    <mergeCell ref="A19:A20"/>
    <mergeCell ref="F13:F14"/>
    <mergeCell ref="F15:G15"/>
    <mergeCell ref="F28:F32"/>
    <mergeCell ref="F33:F36"/>
    <mergeCell ref="F16:G16"/>
    <mergeCell ref="F18:G18"/>
    <mergeCell ref="F22:G22"/>
    <mergeCell ref="F21:G21"/>
    <mergeCell ref="F20:G20"/>
    <mergeCell ref="F19:G19"/>
    <mergeCell ref="F17:G17"/>
    <mergeCell ref="F23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2018-11-21T10:31:03Z</dcterms:created>
  <dcterms:modified xsi:type="dcterms:W3CDTF">2018-12-13T18:07:15Z</dcterms:modified>
</cp:coreProperties>
</file>