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Excel Practise stuff\Lessons\"/>
    </mc:Choice>
  </mc:AlternateContent>
  <bookViews>
    <workbookView xWindow="0" yWindow="0" windowWidth="20490" windowHeight="8340" firstSheet="9" activeTab="9"/>
  </bookViews>
  <sheets>
    <sheet name="Payroll" sheetId="1" r:id="rId1"/>
    <sheet name="Loan Repayments" sheetId="3" r:id="rId2"/>
    <sheet name="Printer Decision" sheetId="5" r:id="rId3"/>
    <sheet name="Holiday Decision" sheetId="6" r:id="rId4"/>
    <sheet name="Crystal Car Pool Data" sheetId="7" r:id="rId5"/>
    <sheet name="Crystal Car Pool Pivot" sheetId="8" r:id="rId6"/>
    <sheet name="GradeBook" sheetId="9" r:id="rId7"/>
    <sheet name="Career Decision Making" sheetId="10" r:id="rId8"/>
    <sheet name="Shopping Decision" sheetId="11" r:id="rId9"/>
    <sheet name="Car Inventory" sheetId="13" r:id="rId10"/>
    <sheet name="Car Inventory Pivot Table" sheetId="14" r:id="rId11"/>
    <sheet name="Pet Buying Decision" sheetId="4" r:id="rId12"/>
    <sheet name="Car Cost Decision Maker" sheetId="12" r:id="rId13"/>
    <sheet name="Sheet1" sheetId="15" r:id="rId14"/>
  </sheets>
  <definedNames>
    <definedName name="_xlnm._FilterDatabase" localSheetId="4" hidden="1">'Crystal Car Pool Data'!$A$1:$K$172</definedName>
  </definedNames>
  <calcPr calcId="152511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2" i="13"/>
  <c r="B1" i="15"/>
  <c r="C1" i="15"/>
  <c r="D1" i="15"/>
  <c r="E1" i="15"/>
  <c r="B2" i="15"/>
  <c r="C2" i="15"/>
  <c r="D2" i="15"/>
  <c r="E2" i="15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B10" i="15"/>
  <c r="C10" i="15"/>
  <c r="D10" i="15"/>
  <c r="E10" i="15"/>
  <c r="B11" i="15"/>
  <c r="C11" i="15"/>
  <c r="D11" i="15"/>
  <c r="E11" i="15"/>
  <c r="A2" i="15"/>
  <c r="A3" i="15"/>
  <c r="A4" i="15"/>
  <c r="A5" i="15"/>
  <c r="A6" i="15"/>
  <c r="A7" i="15"/>
  <c r="A8" i="15"/>
  <c r="A9" i="15"/>
  <c r="A10" i="15"/>
  <c r="A11" i="15"/>
  <c r="A1" i="15"/>
  <c r="O13" i="5"/>
  <c r="O12" i="5"/>
  <c r="O11" i="5"/>
  <c r="O10" i="5"/>
  <c r="O9" i="5"/>
  <c r="O8" i="5"/>
  <c r="O7" i="5"/>
  <c r="O6" i="5"/>
  <c r="O5" i="5"/>
  <c r="O4" i="5"/>
  <c r="O3" i="5"/>
  <c r="O2" i="5"/>
  <c r="L3" i="5"/>
  <c r="M3" i="5"/>
  <c r="N3" i="5"/>
  <c r="L4" i="5"/>
  <c r="M4" i="5"/>
  <c r="N4" i="5"/>
  <c r="L5" i="5"/>
  <c r="M5" i="5"/>
  <c r="N5" i="5"/>
  <c r="L6" i="5"/>
  <c r="M6" i="5"/>
  <c r="N6" i="5" s="1"/>
  <c r="L7" i="5"/>
  <c r="M7" i="5"/>
  <c r="N7" i="5" s="1"/>
  <c r="L8" i="5"/>
  <c r="M8" i="5"/>
  <c r="N8" i="5"/>
  <c r="L9" i="5"/>
  <c r="M9" i="5"/>
  <c r="N9" i="5" s="1"/>
  <c r="L10" i="5"/>
  <c r="M10" i="5"/>
  <c r="N10" i="5" s="1"/>
  <c r="L11" i="5"/>
  <c r="M11" i="5"/>
  <c r="N11" i="5"/>
  <c r="L12" i="5"/>
  <c r="M12" i="5"/>
  <c r="N12" i="5"/>
  <c r="L13" i="5"/>
  <c r="M13" i="5"/>
  <c r="N13" i="5"/>
  <c r="M2" i="5"/>
  <c r="N2" i="5" s="1"/>
  <c r="L2" i="5"/>
  <c r="J3" i="12" l="1"/>
  <c r="J17" i="12" s="1"/>
  <c r="J23" i="12" s="1"/>
  <c r="J25" i="12" s="1"/>
  <c r="I3" i="12"/>
  <c r="H3" i="12"/>
  <c r="J21" i="12"/>
  <c r="I21" i="12"/>
  <c r="H21" i="12"/>
  <c r="J15" i="12"/>
  <c r="I15" i="12"/>
  <c r="H15" i="12"/>
  <c r="J9" i="12"/>
  <c r="I9" i="12"/>
  <c r="I17" i="12" s="1"/>
  <c r="I23" i="12" s="1"/>
  <c r="I25" i="12" s="1"/>
  <c r="H9" i="12"/>
  <c r="H17" i="12" s="1"/>
  <c r="H23" i="12" s="1"/>
  <c r="H25" i="12" s="1"/>
  <c r="C17" i="12"/>
  <c r="C23" i="12" s="1"/>
  <c r="C25" i="12" s="1"/>
  <c r="D9" i="12"/>
  <c r="D17" i="12" s="1"/>
  <c r="D23" i="12" s="1"/>
  <c r="D25" i="12" s="1"/>
  <c r="C9" i="12"/>
  <c r="B9" i="12"/>
  <c r="B17" i="12" s="1"/>
  <c r="B23" i="12" s="1"/>
  <c r="B25" i="12" s="1"/>
  <c r="C15" i="12"/>
  <c r="D15" i="12"/>
  <c r="B15" i="12"/>
  <c r="C21" i="12"/>
  <c r="D21" i="12"/>
  <c r="B21" i="12"/>
  <c r="B2" i="13"/>
  <c r="C2" i="13" s="1"/>
  <c r="D2" i="13"/>
  <c r="F2" i="13"/>
  <c r="G2" i="13"/>
  <c r="I2" i="13" s="1"/>
  <c r="M2" i="13"/>
  <c r="N2" i="13"/>
  <c r="B3" i="13"/>
  <c r="C3" i="13"/>
  <c r="D3" i="13"/>
  <c r="F3" i="13"/>
  <c r="N3" i="13" s="1"/>
  <c r="M3" i="13"/>
  <c r="B4" i="13"/>
  <c r="N4" i="13" s="1"/>
  <c r="D4" i="13"/>
  <c r="F4" i="13"/>
  <c r="G4" i="13"/>
  <c r="I4" i="13" s="1"/>
  <c r="M4" i="13"/>
  <c r="B5" i="13"/>
  <c r="C5" i="13"/>
  <c r="D5" i="13"/>
  <c r="F5" i="13"/>
  <c r="G5" i="13" s="1"/>
  <c r="I5" i="13" s="1"/>
  <c r="M5" i="13"/>
  <c r="B6" i="13"/>
  <c r="C6" i="13" s="1"/>
  <c r="D6" i="13"/>
  <c r="F6" i="13"/>
  <c r="G6" i="13" s="1"/>
  <c r="I6" i="13" s="1"/>
  <c r="M6" i="13"/>
  <c r="N6" i="13"/>
  <c r="B7" i="13"/>
  <c r="C7" i="13" s="1"/>
  <c r="D7" i="13"/>
  <c r="F7" i="13"/>
  <c r="G7" i="13"/>
  <c r="I7" i="13" s="1"/>
  <c r="M7" i="13"/>
  <c r="B8" i="13"/>
  <c r="C8" i="13"/>
  <c r="D8" i="13"/>
  <c r="F8" i="13"/>
  <c r="G8" i="13" s="1"/>
  <c r="I8" i="13" s="1"/>
  <c r="M8" i="13"/>
  <c r="B9" i="13"/>
  <c r="C9" i="13" s="1"/>
  <c r="D9" i="13"/>
  <c r="F9" i="13"/>
  <c r="G9" i="13"/>
  <c r="I9" i="13" s="1"/>
  <c r="M9" i="13"/>
  <c r="N9" i="13"/>
  <c r="B10" i="13"/>
  <c r="C10" i="13" s="1"/>
  <c r="D10" i="13"/>
  <c r="F10" i="13"/>
  <c r="N10" i="13" s="1"/>
  <c r="M10" i="13"/>
  <c r="B11" i="13"/>
  <c r="C11" i="13"/>
  <c r="D11" i="13"/>
  <c r="F11" i="13"/>
  <c r="N11" i="13" s="1"/>
  <c r="M11" i="13"/>
  <c r="B12" i="13"/>
  <c r="C12" i="13" s="1"/>
  <c r="D12" i="13"/>
  <c r="F12" i="13"/>
  <c r="G12" i="13"/>
  <c r="I12" i="13" s="1"/>
  <c r="M12" i="13"/>
  <c r="N12" i="13"/>
  <c r="B13" i="13"/>
  <c r="C13" i="13"/>
  <c r="D13" i="13"/>
  <c r="F13" i="13"/>
  <c r="G13" i="13" s="1"/>
  <c r="I13" i="13" s="1"/>
  <c r="M13" i="13"/>
  <c r="B14" i="13"/>
  <c r="C14" i="13" s="1"/>
  <c r="D14" i="13"/>
  <c r="F14" i="13"/>
  <c r="G14" i="13" s="1"/>
  <c r="I14" i="13" s="1"/>
  <c r="M14" i="13"/>
  <c r="N14" i="13"/>
  <c r="B15" i="13"/>
  <c r="C15" i="13" s="1"/>
  <c r="D15" i="13"/>
  <c r="F15" i="13"/>
  <c r="G15" i="13"/>
  <c r="I15" i="13" s="1"/>
  <c r="M15" i="13"/>
  <c r="B16" i="13"/>
  <c r="C16" i="13"/>
  <c r="D16" i="13"/>
  <c r="F16" i="13"/>
  <c r="G16" i="13" s="1"/>
  <c r="I16" i="13" s="1"/>
  <c r="M16" i="13"/>
  <c r="B17" i="13"/>
  <c r="C17" i="13" s="1"/>
  <c r="D17" i="13"/>
  <c r="F17" i="13"/>
  <c r="G17" i="13"/>
  <c r="I17" i="13" s="1"/>
  <c r="M17" i="13"/>
  <c r="N17" i="13"/>
  <c r="B18" i="13"/>
  <c r="C18" i="13" s="1"/>
  <c r="D18" i="13"/>
  <c r="F18" i="13"/>
  <c r="N18" i="13" s="1"/>
  <c r="M18" i="13"/>
  <c r="B19" i="13"/>
  <c r="C19" i="13"/>
  <c r="D19" i="13"/>
  <c r="F19" i="13"/>
  <c r="N19" i="13" s="1"/>
  <c r="M19" i="13"/>
  <c r="B20" i="13"/>
  <c r="C20" i="13" s="1"/>
  <c r="D20" i="13"/>
  <c r="F20" i="13"/>
  <c r="G20" i="13"/>
  <c r="I20" i="13" s="1"/>
  <c r="M20" i="13"/>
  <c r="N20" i="13"/>
  <c r="B21" i="13"/>
  <c r="C21" i="13"/>
  <c r="D21" i="13"/>
  <c r="F21" i="13"/>
  <c r="G21" i="13" s="1"/>
  <c r="I21" i="13" s="1"/>
  <c r="M21" i="13"/>
  <c r="B22" i="13"/>
  <c r="C22" i="13" s="1"/>
  <c r="D22" i="13"/>
  <c r="F22" i="13"/>
  <c r="G22" i="13" s="1"/>
  <c r="I22" i="13" s="1"/>
  <c r="M22" i="13"/>
  <c r="N22" i="13"/>
  <c r="B23" i="13"/>
  <c r="C23" i="13" s="1"/>
  <c r="D23" i="13"/>
  <c r="F23" i="13"/>
  <c r="G23" i="13"/>
  <c r="I23" i="13" s="1"/>
  <c r="M23" i="13"/>
  <c r="B24" i="13"/>
  <c r="C24" i="13"/>
  <c r="D24" i="13"/>
  <c r="F24" i="13"/>
  <c r="G24" i="13" s="1"/>
  <c r="I24" i="13" s="1"/>
  <c r="M24" i="13"/>
  <c r="B25" i="13"/>
  <c r="C25" i="13" s="1"/>
  <c r="D25" i="13"/>
  <c r="F25" i="13"/>
  <c r="G25" i="13"/>
  <c r="I25" i="13" s="1"/>
  <c r="M25" i="13"/>
  <c r="N25" i="13"/>
  <c r="B26" i="13"/>
  <c r="C26" i="13" s="1"/>
  <c r="D26" i="13"/>
  <c r="F26" i="13"/>
  <c r="N26" i="13" s="1"/>
  <c r="M26" i="13"/>
  <c r="B27" i="13"/>
  <c r="C27" i="13"/>
  <c r="D27" i="13"/>
  <c r="F27" i="13"/>
  <c r="N27" i="13" s="1"/>
  <c r="M27" i="13"/>
  <c r="B28" i="13"/>
  <c r="N28" i="13" s="1"/>
  <c r="D28" i="13"/>
  <c r="F28" i="13"/>
  <c r="G28" i="13"/>
  <c r="I28" i="13" s="1"/>
  <c r="M28" i="13"/>
  <c r="B29" i="13"/>
  <c r="C29" i="13"/>
  <c r="D29" i="13"/>
  <c r="F29" i="13"/>
  <c r="G29" i="13" s="1"/>
  <c r="I29" i="13" s="1"/>
  <c r="M29" i="13"/>
  <c r="B30" i="13"/>
  <c r="C30" i="13" s="1"/>
  <c r="D30" i="13"/>
  <c r="F30" i="13"/>
  <c r="G30" i="13" s="1"/>
  <c r="I30" i="13" s="1"/>
  <c r="M30" i="13"/>
  <c r="N30" i="13"/>
  <c r="B31" i="13"/>
  <c r="C31" i="13" s="1"/>
  <c r="D31" i="13"/>
  <c r="F31" i="13"/>
  <c r="G31" i="13"/>
  <c r="I31" i="13" s="1"/>
  <c r="M31" i="13"/>
  <c r="B32" i="13"/>
  <c r="C32" i="13"/>
  <c r="D32" i="13"/>
  <c r="F32" i="13"/>
  <c r="G32" i="13" s="1"/>
  <c r="I32" i="13" s="1"/>
  <c r="M32" i="13"/>
  <c r="B33" i="13"/>
  <c r="C33" i="13" s="1"/>
  <c r="D33" i="13"/>
  <c r="F33" i="13"/>
  <c r="G33" i="13"/>
  <c r="I33" i="13" s="1"/>
  <c r="M33" i="13"/>
  <c r="B34" i="13"/>
  <c r="C34" i="13" s="1"/>
  <c r="D34" i="13"/>
  <c r="F34" i="13"/>
  <c r="N34" i="13" s="1"/>
  <c r="M34" i="13"/>
  <c r="B35" i="13"/>
  <c r="C35" i="13"/>
  <c r="D35" i="13"/>
  <c r="F35" i="13"/>
  <c r="N35" i="13" s="1"/>
  <c r="M35" i="13"/>
  <c r="B36" i="13"/>
  <c r="C36" i="13" s="1"/>
  <c r="D36" i="13"/>
  <c r="F36" i="13"/>
  <c r="G36" i="13"/>
  <c r="I36" i="13" s="1"/>
  <c r="M36" i="13"/>
  <c r="B37" i="13"/>
  <c r="C37" i="13"/>
  <c r="D37" i="13"/>
  <c r="F37" i="13"/>
  <c r="G37" i="13" s="1"/>
  <c r="I37" i="13" s="1"/>
  <c r="M37" i="13"/>
  <c r="B38" i="13"/>
  <c r="N38" i="13" s="1"/>
  <c r="D38" i="13"/>
  <c r="F38" i="13"/>
  <c r="G38" i="13" s="1"/>
  <c r="I38" i="13" s="1"/>
  <c r="M38" i="13"/>
  <c r="B39" i="13"/>
  <c r="C39" i="13" s="1"/>
  <c r="D39" i="13"/>
  <c r="F39" i="13"/>
  <c r="G39" i="13"/>
  <c r="I39" i="13" s="1"/>
  <c r="M39" i="13"/>
  <c r="B40" i="13"/>
  <c r="C40" i="13"/>
  <c r="D40" i="13"/>
  <c r="F40" i="13"/>
  <c r="G40" i="13" s="1"/>
  <c r="I40" i="13" s="1"/>
  <c r="M40" i="13"/>
  <c r="B41" i="13"/>
  <c r="C41" i="13" s="1"/>
  <c r="D41" i="13"/>
  <c r="F41" i="13"/>
  <c r="G41" i="13"/>
  <c r="I41" i="13" s="1"/>
  <c r="M41" i="13"/>
  <c r="B42" i="13"/>
  <c r="C42" i="13" s="1"/>
  <c r="D42" i="13"/>
  <c r="F42" i="13"/>
  <c r="N42" i="13" s="1"/>
  <c r="M42" i="13"/>
  <c r="B43" i="13"/>
  <c r="C43" i="13"/>
  <c r="D43" i="13"/>
  <c r="F43" i="13"/>
  <c r="N43" i="13" s="1"/>
  <c r="M43" i="13"/>
  <c r="B44" i="13"/>
  <c r="N44" i="13" s="1"/>
  <c r="D44" i="13"/>
  <c r="F44" i="13"/>
  <c r="G44" i="13"/>
  <c r="I44" i="13" s="1"/>
  <c r="M44" i="13"/>
  <c r="B45" i="13"/>
  <c r="C45" i="13"/>
  <c r="D45" i="13"/>
  <c r="F45" i="13"/>
  <c r="G45" i="13" s="1"/>
  <c r="I45" i="13" s="1"/>
  <c r="M45" i="13"/>
  <c r="B46" i="13"/>
  <c r="C46" i="13" s="1"/>
  <c r="D46" i="13"/>
  <c r="F46" i="13"/>
  <c r="G46" i="13" s="1"/>
  <c r="I46" i="13" s="1"/>
  <c r="M46" i="13"/>
  <c r="N46" i="13"/>
  <c r="B47" i="13"/>
  <c r="C47" i="13" s="1"/>
  <c r="D47" i="13"/>
  <c r="F47" i="13"/>
  <c r="G47" i="13"/>
  <c r="I47" i="13" s="1"/>
  <c r="M47" i="13"/>
  <c r="B48" i="13"/>
  <c r="C48" i="13"/>
  <c r="D48" i="13"/>
  <c r="F48" i="13"/>
  <c r="G48" i="13" s="1"/>
  <c r="I48" i="13" s="1"/>
  <c r="M48" i="13"/>
  <c r="B49" i="13"/>
  <c r="C49" i="13" s="1"/>
  <c r="D49" i="13"/>
  <c r="F49" i="13"/>
  <c r="G49" i="13"/>
  <c r="I49" i="13" s="1"/>
  <c r="M49" i="13"/>
  <c r="B50" i="13"/>
  <c r="C50" i="13" s="1"/>
  <c r="D50" i="13"/>
  <c r="F50" i="13"/>
  <c r="N50" i="13" s="1"/>
  <c r="M50" i="13"/>
  <c r="B51" i="13"/>
  <c r="C51" i="13"/>
  <c r="D51" i="13"/>
  <c r="F51" i="13"/>
  <c r="N51" i="13" s="1"/>
  <c r="M51" i="13"/>
  <c r="B52" i="13"/>
  <c r="N52" i="13" s="1"/>
  <c r="D52" i="13"/>
  <c r="F52" i="13"/>
  <c r="G52" i="13"/>
  <c r="I52" i="13" s="1"/>
  <c r="M52" i="13"/>
  <c r="B53" i="13"/>
  <c r="C53" i="13"/>
  <c r="D53" i="13"/>
  <c r="F53" i="13"/>
  <c r="G53" i="13" s="1"/>
  <c r="I53" i="13" s="1"/>
  <c r="M53" i="13"/>
  <c r="F2" i="11"/>
  <c r="G2" i="11"/>
  <c r="G18" i="11" s="1"/>
  <c r="H2" i="11"/>
  <c r="H18" i="11" s="1"/>
  <c r="K2" i="11"/>
  <c r="L2" i="11"/>
  <c r="M2" i="11"/>
  <c r="F3" i="11"/>
  <c r="G3" i="11"/>
  <c r="H3" i="11"/>
  <c r="K3" i="11"/>
  <c r="K18" i="11" s="1"/>
  <c r="L3" i="11"/>
  <c r="L18" i="11" s="1"/>
  <c r="M3" i="11"/>
  <c r="F4" i="11"/>
  <c r="G4" i="11"/>
  <c r="H4" i="11"/>
  <c r="K4" i="11"/>
  <c r="L4" i="11"/>
  <c r="M4" i="11"/>
  <c r="M18" i="11" s="1"/>
  <c r="F5" i="11"/>
  <c r="G5" i="11"/>
  <c r="H5" i="11"/>
  <c r="K5" i="11"/>
  <c r="L5" i="11"/>
  <c r="M5" i="11"/>
  <c r="F6" i="11"/>
  <c r="G6" i="11"/>
  <c r="H6" i="11"/>
  <c r="K6" i="11"/>
  <c r="L6" i="11"/>
  <c r="M6" i="11"/>
  <c r="F7" i="11"/>
  <c r="G7" i="11"/>
  <c r="H7" i="11"/>
  <c r="K7" i="11"/>
  <c r="L7" i="11"/>
  <c r="M7" i="11"/>
  <c r="F8" i="11"/>
  <c r="G8" i="11"/>
  <c r="H8" i="11"/>
  <c r="K8" i="11"/>
  <c r="L8" i="11"/>
  <c r="M8" i="11"/>
  <c r="F9" i="11"/>
  <c r="G9" i="11"/>
  <c r="H9" i="11"/>
  <c r="K9" i="11"/>
  <c r="L9" i="11"/>
  <c r="M9" i="11"/>
  <c r="F10" i="11"/>
  <c r="G10" i="11"/>
  <c r="H10" i="11"/>
  <c r="K10" i="11"/>
  <c r="L10" i="11"/>
  <c r="M10" i="11"/>
  <c r="F11" i="11"/>
  <c r="G11" i="11"/>
  <c r="H11" i="11"/>
  <c r="K11" i="11"/>
  <c r="L11" i="11"/>
  <c r="M11" i="11"/>
  <c r="F12" i="11"/>
  <c r="G12" i="11"/>
  <c r="H12" i="11"/>
  <c r="K12" i="11"/>
  <c r="L12" i="11"/>
  <c r="M12" i="11"/>
  <c r="F13" i="11"/>
  <c r="G13" i="11"/>
  <c r="H13" i="11"/>
  <c r="K13" i="11"/>
  <c r="L13" i="11"/>
  <c r="M13" i="11"/>
  <c r="F14" i="11"/>
  <c r="G14" i="11"/>
  <c r="H14" i="11"/>
  <c r="K14" i="11"/>
  <c r="L14" i="11"/>
  <c r="M14" i="11"/>
  <c r="F15" i="11"/>
  <c r="G15" i="11"/>
  <c r="H15" i="11"/>
  <c r="K15" i="11"/>
  <c r="L15" i="11"/>
  <c r="M15" i="11"/>
  <c r="F16" i="11"/>
  <c r="G16" i="11"/>
  <c r="H16" i="11"/>
  <c r="K16" i="11"/>
  <c r="L16" i="11"/>
  <c r="M16" i="11"/>
  <c r="F18" i="11"/>
  <c r="C5" i="10"/>
  <c r="L5" i="10" s="1"/>
  <c r="E5" i="10"/>
  <c r="G5" i="10"/>
  <c r="I5" i="10"/>
  <c r="K5" i="10"/>
  <c r="C6" i="10"/>
  <c r="L6" i="10" s="1"/>
  <c r="E6" i="10"/>
  <c r="G6" i="10"/>
  <c r="I6" i="10"/>
  <c r="K6" i="10"/>
  <c r="C7" i="10"/>
  <c r="L7" i="10" s="1"/>
  <c r="E7" i="10"/>
  <c r="G7" i="10"/>
  <c r="I7" i="10"/>
  <c r="K7" i="10"/>
  <c r="C8" i="10"/>
  <c r="E8" i="10"/>
  <c r="G8" i="10"/>
  <c r="I8" i="10"/>
  <c r="K8" i="10"/>
  <c r="L8" i="10"/>
  <c r="C9" i="10"/>
  <c r="L9" i="10" s="1"/>
  <c r="E9" i="10"/>
  <c r="G9" i="10"/>
  <c r="I9" i="10"/>
  <c r="K9" i="10"/>
  <c r="C10" i="10"/>
  <c r="L10" i="10" s="1"/>
  <c r="E10" i="10"/>
  <c r="G10" i="10"/>
  <c r="I10" i="10"/>
  <c r="K10" i="10"/>
  <c r="C11" i="10"/>
  <c r="L11" i="10" s="1"/>
  <c r="E11" i="10"/>
  <c r="G11" i="10"/>
  <c r="I11" i="10"/>
  <c r="K11" i="10"/>
  <c r="C12" i="10"/>
  <c r="E12" i="10"/>
  <c r="G12" i="10"/>
  <c r="I12" i="10"/>
  <c r="K12" i="10"/>
  <c r="L12" i="10"/>
  <c r="H4" i="9"/>
  <c r="M4" i="9" s="1"/>
  <c r="I4" i="9"/>
  <c r="J4" i="9"/>
  <c r="K4" i="9"/>
  <c r="H5" i="9"/>
  <c r="M5" i="9" s="1"/>
  <c r="I5" i="9"/>
  <c r="J5" i="9"/>
  <c r="K5" i="9"/>
  <c r="H6" i="9"/>
  <c r="M6" i="9" s="1"/>
  <c r="I6" i="9"/>
  <c r="J6" i="9"/>
  <c r="K6" i="9"/>
  <c r="H7" i="9"/>
  <c r="M7" i="9" s="1"/>
  <c r="I7" i="9"/>
  <c r="J7" i="9"/>
  <c r="K7" i="9"/>
  <c r="H8" i="9"/>
  <c r="I8" i="9"/>
  <c r="J8" i="9"/>
  <c r="K8" i="9"/>
  <c r="M8" i="9" s="1"/>
  <c r="H9" i="9"/>
  <c r="I9" i="9"/>
  <c r="J9" i="9"/>
  <c r="K9" i="9"/>
  <c r="M9" i="9"/>
  <c r="H10" i="9"/>
  <c r="I10" i="9"/>
  <c r="M10" i="9" s="1"/>
  <c r="J10" i="9"/>
  <c r="K10" i="9"/>
  <c r="H11" i="9"/>
  <c r="I11" i="9"/>
  <c r="J11" i="9"/>
  <c r="K11" i="9"/>
  <c r="M11" i="9"/>
  <c r="H12" i="9"/>
  <c r="M12" i="9" s="1"/>
  <c r="I12" i="9"/>
  <c r="J12" i="9"/>
  <c r="K12" i="9"/>
  <c r="H13" i="9"/>
  <c r="M13" i="9" s="1"/>
  <c r="I13" i="9"/>
  <c r="J13" i="9"/>
  <c r="K13" i="9"/>
  <c r="H14" i="9"/>
  <c r="M14" i="9" s="1"/>
  <c r="I14" i="9"/>
  <c r="J14" i="9"/>
  <c r="K14" i="9"/>
  <c r="H15" i="9"/>
  <c r="H28" i="9" s="1"/>
  <c r="I15" i="9"/>
  <c r="J15" i="9"/>
  <c r="K15" i="9"/>
  <c r="H16" i="9"/>
  <c r="I16" i="9"/>
  <c r="M16" i="9" s="1"/>
  <c r="J16" i="9"/>
  <c r="K16" i="9"/>
  <c r="H17" i="9"/>
  <c r="I17" i="9"/>
  <c r="J17" i="9"/>
  <c r="K17" i="9"/>
  <c r="M17" i="9"/>
  <c r="H18" i="9"/>
  <c r="I18" i="9"/>
  <c r="M18" i="9" s="1"/>
  <c r="J18" i="9"/>
  <c r="K18" i="9"/>
  <c r="H19" i="9"/>
  <c r="I19" i="9"/>
  <c r="J19" i="9"/>
  <c r="K19" i="9"/>
  <c r="M19" i="9"/>
  <c r="H20" i="9"/>
  <c r="M20" i="9" s="1"/>
  <c r="I20" i="9"/>
  <c r="J20" i="9"/>
  <c r="K20" i="9"/>
  <c r="H21" i="9"/>
  <c r="M21" i="9" s="1"/>
  <c r="I21" i="9"/>
  <c r="J21" i="9"/>
  <c r="K21" i="9"/>
  <c r="H22" i="9"/>
  <c r="M22" i="9" s="1"/>
  <c r="I22" i="9"/>
  <c r="J22" i="9"/>
  <c r="K22" i="9"/>
  <c r="H23" i="9"/>
  <c r="M23" i="9" s="1"/>
  <c r="I23" i="9"/>
  <c r="J23" i="9"/>
  <c r="K23" i="9"/>
  <c r="H24" i="9"/>
  <c r="I24" i="9"/>
  <c r="M24" i="9" s="1"/>
  <c r="J24" i="9"/>
  <c r="K24" i="9"/>
  <c r="C27" i="9"/>
  <c r="D27" i="9"/>
  <c r="E27" i="9"/>
  <c r="F27" i="9"/>
  <c r="J27" i="9"/>
  <c r="C28" i="9"/>
  <c r="D28" i="9"/>
  <c r="E28" i="9"/>
  <c r="F28" i="9"/>
  <c r="J28" i="9"/>
  <c r="C29" i="9"/>
  <c r="D29" i="9"/>
  <c r="E29" i="9"/>
  <c r="F29" i="9"/>
  <c r="J29" i="9"/>
  <c r="G2" i="7"/>
  <c r="H2" i="7"/>
  <c r="G3" i="7"/>
  <c r="H3" i="7" s="1"/>
  <c r="G4" i="7"/>
  <c r="H4" i="7"/>
  <c r="G5" i="7"/>
  <c r="H5" i="7"/>
  <c r="G6" i="7"/>
  <c r="H6" i="7"/>
  <c r="G7" i="7"/>
  <c r="H7" i="7" s="1"/>
  <c r="G8" i="7"/>
  <c r="H8" i="7"/>
  <c r="G9" i="7"/>
  <c r="H9" i="7"/>
  <c r="G10" i="7"/>
  <c r="H10" i="7"/>
  <c r="G11" i="7"/>
  <c r="H11" i="7" s="1"/>
  <c r="G12" i="7"/>
  <c r="H12" i="7"/>
  <c r="G13" i="7"/>
  <c r="H13" i="7"/>
  <c r="G14" i="7"/>
  <c r="H14" i="7"/>
  <c r="G15" i="7"/>
  <c r="H15" i="7" s="1"/>
  <c r="G16" i="7"/>
  <c r="H16" i="7"/>
  <c r="G17" i="7"/>
  <c r="H17" i="7"/>
  <c r="G18" i="7"/>
  <c r="H18" i="7"/>
  <c r="G19" i="7"/>
  <c r="H19" i="7" s="1"/>
  <c r="G20" i="7"/>
  <c r="H20" i="7"/>
  <c r="G21" i="7"/>
  <c r="H21" i="7"/>
  <c r="G22" i="7"/>
  <c r="H22" i="7"/>
  <c r="G23" i="7"/>
  <c r="H23" i="7" s="1"/>
  <c r="G24" i="7"/>
  <c r="H24" i="7"/>
  <c r="G25" i="7"/>
  <c r="H25" i="7"/>
  <c r="G26" i="7"/>
  <c r="H26" i="7"/>
  <c r="G27" i="7"/>
  <c r="H27" i="7" s="1"/>
  <c r="G28" i="7"/>
  <c r="H28" i="7"/>
  <c r="G29" i="7"/>
  <c r="H29" i="7"/>
  <c r="G30" i="7"/>
  <c r="H30" i="7"/>
  <c r="G31" i="7"/>
  <c r="H31" i="7" s="1"/>
  <c r="G32" i="7"/>
  <c r="H32" i="7"/>
  <c r="G33" i="7"/>
  <c r="H33" i="7"/>
  <c r="G34" i="7"/>
  <c r="H34" i="7"/>
  <c r="G35" i="7"/>
  <c r="H35" i="7" s="1"/>
  <c r="G36" i="7"/>
  <c r="H36" i="7"/>
  <c r="G37" i="7"/>
  <c r="H37" i="7"/>
  <c r="G38" i="7"/>
  <c r="H38" i="7"/>
  <c r="G39" i="7"/>
  <c r="H39" i="7" s="1"/>
  <c r="G40" i="7"/>
  <c r="H40" i="7"/>
  <c r="G41" i="7"/>
  <c r="H41" i="7"/>
  <c r="G42" i="7"/>
  <c r="H42" i="7"/>
  <c r="G43" i="7"/>
  <c r="H43" i="7" s="1"/>
  <c r="G44" i="7"/>
  <c r="H44" i="7"/>
  <c r="G45" i="7"/>
  <c r="H45" i="7"/>
  <c r="G46" i="7"/>
  <c r="H46" i="7"/>
  <c r="G47" i="7"/>
  <c r="H47" i="7" s="1"/>
  <c r="G48" i="7"/>
  <c r="H48" i="7"/>
  <c r="G49" i="7"/>
  <c r="H49" i="7"/>
  <c r="G50" i="7"/>
  <c r="H50" i="7"/>
  <c r="G51" i="7"/>
  <c r="H51" i="7" s="1"/>
  <c r="G52" i="7"/>
  <c r="H52" i="7"/>
  <c r="G53" i="7"/>
  <c r="H53" i="7"/>
  <c r="G54" i="7"/>
  <c r="H54" i="7"/>
  <c r="G55" i="7"/>
  <c r="H55" i="7" s="1"/>
  <c r="G56" i="7"/>
  <c r="H56" i="7"/>
  <c r="G57" i="7"/>
  <c r="H57" i="7"/>
  <c r="G58" i="7"/>
  <c r="H58" i="7"/>
  <c r="G59" i="7"/>
  <c r="H59" i="7" s="1"/>
  <c r="G60" i="7"/>
  <c r="H60" i="7"/>
  <c r="G61" i="7"/>
  <c r="H61" i="7"/>
  <c r="G62" i="7"/>
  <c r="H62" i="7"/>
  <c r="G63" i="7"/>
  <c r="H63" i="7" s="1"/>
  <c r="G64" i="7"/>
  <c r="H64" i="7"/>
  <c r="G65" i="7"/>
  <c r="H65" i="7"/>
  <c r="G66" i="7"/>
  <c r="H66" i="7"/>
  <c r="G67" i="7"/>
  <c r="H67" i="7" s="1"/>
  <c r="G68" i="7"/>
  <c r="H68" i="7"/>
  <c r="G69" i="7"/>
  <c r="H69" i="7"/>
  <c r="G70" i="7"/>
  <c r="H70" i="7"/>
  <c r="G71" i="7"/>
  <c r="H71" i="7" s="1"/>
  <c r="G72" i="7"/>
  <c r="H72" i="7"/>
  <c r="G73" i="7"/>
  <c r="H73" i="7"/>
  <c r="G74" i="7"/>
  <c r="H74" i="7"/>
  <c r="G75" i="7"/>
  <c r="H75" i="7" s="1"/>
  <c r="G76" i="7"/>
  <c r="H76" i="7"/>
  <c r="G77" i="7"/>
  <c r="H77" i="7"/>
  <c r="G78" i="7"/>
  <c r="H78" i="7"/>
  <c r="G79" i="7"/>
  <c r="H79" i="7" s="1"/>
  <c r="G80" i="7"/>
  <c r="H80" i="7"/>
  <c r="G81" i="7"/>
  <c r="H81" i="7"/>
  <c r="G82" i="7"/>
  <c r="H82" i="7"/>
  <c r="G83" i="7"/>
  <c r="H83" i="7" s="1"/>
  <c r="G84" i="7"/>
  <c r="H84" i="7"/>
  <c r="G85" i="7"/>
  <c r="H85" i="7"/>
  <c r="G86" i="7"/>
  <c r="H86" i="7"/>
  <c r="G87" i="7"/>
  <c r="H87" i="7" s="1"/>
  <c r="G88" i="7"/>
  <c r="H88" i="7"/>
  <c r="G89" i="7"/>
  <c r="H89" i="7"/>
  <c r="G90" i="7"/>
  <c r="H90" i="7"/>
  <c r="G91" i="7"/>
  <c r="H91" i="7" s="1"/>
  <c r="G92" i="7"/>
  <c r="H92" i="7"/>
  <c r="G93" i="7"/>
  <c r="H93" i="7"/>
  <c r="G94" i="7"/>
  <c r="H94" i="7"/>
  <c r="G95" i="7"/>
  <c r="H95" i="7" s="1"/>
  <c r="G96" i="7"/>
  <c r="H96" i="7"/>
  <c r="G97" i="7"/>
  <c r="H97" i="7"/>
  <c r="G98" i="7"/>
  <c r="H98" i="7"/>
  <c r="G99" i="7"/>
  <c r="H99" i="7" s="1"/>
  <c r="G100" i="7"/>
  <c r="H100" i="7"/>
  <c r="G101" i="7"/>
  <c r="H101" i="7"/>
  <c r="G102" i="7"/>
  <c r="H102" i="7"/>
  <c r="G103" i="7"/>
  <c r="H103" i="7" s="1"/>
  <c r="G104" i="7"/>
  <c r="H104" i="7"/>
  <c r="G105" i="7"/>
  <c r="H105" i="7"/>
  <c r="G106" i="7"/>
  <c r="H106" i="7"/>
  <c r="G107" i="7"/>
  <c r="H107" i="7" s="1"/>
  <c r="G108" i="7"/>
  <c r="H108" i="7"/>
  <c r="G109" i="7"/>
  <c r="H109" i="7"/>
  <c r="G110" i="7"/>
  <c r="H110" i="7"/>
  <c r="G111" i="7"/>
  <c r="H111" i="7" s="1"/>
  <c r="G112" i="7"/>
  <c r="H112" i="7"/>
  <c r="G113" i="7"/>
  <c r="H113" i="7"/>
  <c r="G114" i="7"/>
  <c r="H114" i="7"/>
  <c r="G115" i="7"/>
  <c r="H115" i="7" s="1"/>
  <c r="G116" i="7"/>
  <c r="H116" i="7"/>
  <c r="G117" i="7"/>
  <c r="H117" i="7"/>
  <c r="G118" i="7"/>
  <c r="H118" i="7"/>
  <c r="G119" i="7"/>
  <c r="H119" i="7" s="1"/>
  <c r="G120" i="7"/>
  <c r="H120" i="7"/>
  <c r="G121" i="7"/>
  <c r="H121" i="7"/>
  <c r="G122" i="7"/>
  <c r="H122" i="7"/>
  <c r="G123" i="7"/>
  <c r="H123" i="7" s="1"/>
  <c r="G124" i="7"/>
  <c r="H124" i="7"/>
  <c r="G125" i="7"/>
  <c r="H125" i="7"/>
  <c r="G126" i="7"/>
  <c r="H126" i="7"/>
  <c r="G127" i="7"/>
  <c r="H127" i="7" s="1"/>
  <c r="G128" i="7"/>
  <c r="H128" i="7"/>
  <c r="G129" i="7"/>
  <c r="H129" i="7"/>
  <c r="G130" i="7"/>
  <c r="H130" i="7"/>
  <c r="G131" i="7"/>
  <c r="H131" i="7" s="1"/>
  <c r="G132" i="7"/>
  <c r="H132" i="7"/>
  <c r="G133" i="7"/>
  <c r="H133" i="7"/>
  <c r="G134" i="7"/>
  <c r="H134" i="7"/>
  <c r="G135" i="7"/>
  <c r="H135" i="7" s="1"/>
  <c r="G136" i="7"/>
  <c r="H136" i="7"/>
  <c r="G137" i="7"/>
  <c r="H137" i="7"/>
  <c r="G138" i="7"/>
  <c r="H138" i="7"/>
  <c r="G139" i="7"/>
  <c r="H139" i="7" s="1"/>
  <c r="G140" i="7"/>
  <c r="H140" i="7"/>
  <c r="G141" i="7"/>
  <c r="H141" i="7"/>
  <c r="G142" i="7"/>
  <c r="H142" i="7"/>
  <c r="G143" i="7"/>
  <c r="H143" i="7" s="1"/>
  <c r="G144" i="7"/>
  <c r="H144" i="7"/>
  <c r="G145" i="7"/>
  <c r="H145" i="7"/>
  <c r="G146" i="7"/>
  <c r="H146" i="7"/>
  <c r="G147" i="7"/>
  <c r="H147" i="7" s="1"/>
  <c r="G148" i="7"/>
  <c r="H148" i="7"/>
  <c r="G149" i="7"/>
  <c r="H149" i="7"/>
  <c r="G150" i="7"/>
  <c r="H150" i="7"/>
  <c r="G151" i="7"/>
  <c r="H151" i="7" s="1"/>
  <c r="G152" i="7"/>
  <c r="H152" i="7"/>
  <c r="G153" i="7"/>
  <c r="H153" i="7"/>
  <c r="G154" i="7"/>
  <c r="H154" i="7"/>
  <c r="G155" i="7"/>
  <c r="H155" i="7" s="1"/>
  <c r="G156" i="7"/>
  <c r="H156" i="7"/>
  <c r="G157" i="7"/>
  <c r="H157" i="7"/>
  <c r="G158" i="7"/>
  <c r="H158" i="7"/>
  <c r="G159" i="7"/>
  <c r="H159" i="7" s="1"/>
  <c r="G160" i="7"/>
  <c r="H160" i="7"/>
  <c r="G161" i="7"/>
  <c r="H161" i="7"/>
  <c r="G162" i="7"/>
  <c r="H162" i="7"/>
  <c r="G163" i="7"/>
  <c r="H163" i="7" s="1"/>
  <c r="G164" i="7"/>
  <c r="H164" i="7"/>
  <c r="G165" i="7"/>
  <c r="H165" i="7"/>
  <c r="G166" i="7"/>
  <c r="H166" i="7"/>
  <c r="G167" i="7"/>
  <c r="H167" i="7" s="1"/>
  <c r="G168" i="7"/>
  <c r="H168" i="7"/>
  <c r="G169" i="7"/>
  <c r="H169" i="7"/>
  <c r="G170" i="7"/>
  <c r="H170" i="7"/>
  <c r="G171" i="7"/>
  <c r="H171" i="7" s="1"/>
  <c r="G172" i="7"/>
  <c r="H172" i="7"/>
  <c r="F177" i="7"/>
  <c r="F178" i="7"/>
  <c r="F179" i="7"/>
  <c r="B15" i="6"/>
  <c r="B17" i="6" s="1"/>
  <c r="C15" i="6"/>
  <c r="C17" i="6" s="1"/>
  <c r="C29" i="6" s="1"/>
  <c r="D15" i="6"/>
  <c r="H15" i="6"/>
  <c r="I15" i="6"/>
  <c r="J15" i="6"/>
  <c r="J17" i="6" s="1"/>
  <c r="J29" i="6" s="1"/>
  <c r="D17" i="6"/>
  <c r="H17" i="6"/>
  <c r="I17" i="6"/>
  <c r="B22" i="6"/>
  <c r="C22" i="6"/>
  <c r="D22" i="6"/>
  <c r="H22" i="6"/>
  <c r="I22" i="6"/>
  <c r="J22" i="6"/>
  <c r="B26" i="6"/>
  <c r="B27" i="6" s="1"/>
  <c r="C26" i="6"/>
  <c r="H26" i="6"/>
  <c r="I26" i="6"/>
  <c r="C27" i="6"/>
  <c r="D27" i="6"/>
  <c r="D29" i="6" s="1"/>
  <c r="H27" i="6"/>
  <c r="H29" i="6" s="1"/>
  <c r="I27" i="6"/>
  <c r="J27" i="6"/>
  <c r="I29" i="6"/>
  <c r="B6" i="5"/>
  <c r="H6" i="5"/>
  <c r="H8" i="5" s="1"/>
  <c r="H10" i="5" s="1"/>
  <c r="B8" i="5"/>
  <c r="J13" i="5" s="1"/>
  <c r="J15" i="5" s="1"/>
  <c r="J16" i="5" s="1"/>
  <c r="J18" i="5" s="1"/>
  <c r="B8" i="4"/>
  <c r="B18" i="4" s="1"/>
  <c r="C8" i="4"/>
  <c r="B14" i="4"/>
  <c r="C14" i="4"/>
  <c r="B15" i="4"/>
  <c r="C15" i="4"/>
  <c r="B16" i="4"/>
  <c r="C16" i="4"/>
  <c r="C18" i="4" s="1"/>
  <c r="E2" i="3"/>
  <c r="F2" i="3" s="1"/>
  <c r="G2" i="3" s="1"/>
  <c r="E3" i="3"/>
  <c r="F3" i="3"/>
  <c r="G3" i="3" s="1"/>
  <c r="E4" i="3"/>
  <c r="F4" i="3" s="1"/>
  <c r="G4" i="3" s="1"/>
  <c r="E5" i="3"/>
  <c r="F5" i="3"/>
  <c r="G5" i="3" s="1"/>
  <c r="N36" i="13" l="1"/>
  <c r="N49" i="13"/>
  <c r="N33" i="13"/>
  <c r="N41" i="13"/>
  <c r="G51" i="13"/>
  <c r="I51" i="13" s="1"/>
  <c r="N48" i="13"/>
  <c r="G43" i="13"/>
  <c r="I43" i="13" s="1"/>
  <c r="N40" i="13"/>
  <c r="G35" i="13"/>
  <c r="I35" i="13" s="1"/>
  <c r="N32" i="13"/>
  <c r="G27" i="13"/>
  <c r="I27" i="13" s="1"/>
  <c r="N24" i="13"/>
  <c r="G19" i="13"/>
  <c r="I19" i="13" s="1"/>
  <c r="N16" i="13"/>
  <c r="G11" i="13"/>
  <c r="I11" i="13" s="1"/>
  <c r="N8" i="13"/>
  <c r="G3" i="13"/>
  <c r="I3" i="13" s="1"/>
  <c r="G50" i="13"/>
  <c r="I50" i="13" s="1"/>
  <c r="N47" i="13"/>
  <c r="G42" i="13"/>
  <c r="I42" i="13" s="1"/>
  <c r="N39" i="13"/>
  <c r="C38" i="13"/>
  <c r="G34" i="13"/>
  <c r="I34" i="13" s="1"/>
  <c r="N31" i="13"/>
  <c r="G26" i="13"/>
  <c r="I26" i="13" s="1"/>
  <c r="N23" i="13"/>
  <c r="G18" i="13"/>
  <c r="I18" i="13" s="1"/>
  <c r="N15" i="13"/>
  <c r="G10" i="13"/>
  <c r="I10" i="13" s="1"/>
  <c r="N7" i="13"/>
  <c r="N53" i="13"/>
  <c r="C52" i="13"/>
  <c r="N45" i="13"/>
  <c r="C44" i="13"/>
  <c r="N37" i="13"/>
  <c r="N29" i="13"/>
  <c r="C28" i="13"/>
  <c r="N21" i="13"/>
  <c r="N13" i="13"/>
  <c r="N5" i="13"/>
  <c r="C4" i="13"/>
  <c r="I29" i="9"/>
  <c r="I28" i="9"/>
  <c r="I27" i="9"/>
  <c r="H27" i="9"/>
  <c r="M15" i="9"/>
  <c r="H29" i="9"/>
  <c r="K29" i="9"/>
  <c r="K28" i="9"/>
  <c r="K27" i="9"/>
  <c r="B29" i="6"/>
  <c r="J19" i="5"/>
  <c r="B13" i="5"/>
  <c r="B15" i="5" s="1"/>
  <c r="B16" i="5" s="1"/>
  <c r="B18" i="5" s="1"/>
  <c r="B19" i="5" s="1"/>
  <c r="I13" i="5"/>
  <c r="I15" i="5" s="1"/>
  <c r="I16" i="5" s="1"/>
  <c r="I18" i="5" s="1"/>
  <c r="H13" i="5"/>
  <c r="H15" i="5" s="1"/>
  <c r="H16" i="5" s="1"/>
  <c r="H18" i="5" s="1"/>
  <c r="D13" i="5"/>
  <c r="D15" i="5" s="1"/>
  <c r="D16" i="5" s="1"/>
  <c r="D18" i="5" s="1"/>
  <c r="C13" i="5"/>
  <c r="C15" i="5" s="1"/>
  <c r="C16" i="5" s="1"/>
  <c r="C18" i="5" s="1"/>
  <c r="C19" i="5" s="1"/>
  <c r="B10" i="5"/>
  <c r="D19" i="5" l="1"/>
  <c r="H19" i="5"/>
  <c r="I19" i="5"/>
  <c r="AG47" i="1" l="1"/>
  <c r="AG48" i="1"/>
  <c r="AG49" i="1"/>
  <c r="AG50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7" i="1"/>
  <c r="G47" i="1"/>
  <c r="H47" i="1"/>
  <c r="I47" i="1"/>
  <c r="J47" i="1"/>
  <c r="N47" i="1"/>
  <c r="P47" i="1"/>
  <c r="G48" i="1"/>
  <c r="H48" i="1"/>
  <c r="I48" i="1"/>
  <c r="J48" i="1"/>
  <c r="L48" i="1"/>
  <c r="P48" i="1"/>
  <c r="G49" i="1"/>
  <c r="H49" i="1"/>
  <c r="I49" i="1"/>
  <c r="J49" i="1"/>
  <c r="L49" i="1"/>
  <c r="P49" i="1"/>
  <c r="G50" i="1"/>
  <c r="H50" i="1"/>
  <c r="I50" i="1"/>
  <c r="J50" i="1"/>
  <c r="P50" i="1"/>
  <c r="AA8" i="1"/>
  <c r="AA10" i="1"/>
  <c r="AA22" i="1"/>
  <c r="AA24" i="1"/>
  <c r="AA26" i="1"/>
  <c r="Y37" i="1"/>
  <c r="AA38" i="1"/>
  <c r="Y39" i="1"/>
  <c r="Y45" i="1"/>
  <c r="AA46" i="1"/>
  <c r="T18" i="1"/>
  <c r="S7" i="1"/>
  <c r="T7" i="1"/>
  <c r="U7" i="1"/>
  <c r="V7" i="1"/>
  <c r="S8" i="1"/>
  <c r="AC8" i="1" s="1"/>
  <c r="T8" i="1"/>
  <c r="U8" i="1"/>
  <c r="V8" i="1"/>
  <c r="S9" i="1"/>
  <c r="T9" i="1"/>
  <c r="U9" i="1"/>
  <c r="U49" i="1" s="1"/>
  <c r="V9" i="1"/>
  <c r="S10" i="1"/>
  <c r="S50" i="1" s="1"/>
  <c r="T10" i="1"/>
  <c r="U10" i="1"/>
  <c r="V10" i="1"/>
  <c r="S11" i="1"/>
  <c r="T11" i="1"/>
  <c r="U11" i="1"/>
  <c r="V11" i="1"/>
  <c r="S12" i="1"/>
  <c r="AC12" i="1" s="1"/>
  <c r="T12" i="1"/>
  <c r="AD12" i="1" s="1"/>
  <c r="U12" i="1"/>
  <c r="V12" i="1"/>
  <c r="S13" i="1"/>
  <c r="T13" i="1"/>
  <c r="U13" i="1"/>
  <c r="V13" i="1"/>
  <c r="S14" i="1"/>
  <c r="AC14" i="1" s="1"/>
  <c r="T14" i="1"/>
  <c r="AD14" i="1" s="1"/>
  <c r="U14" i="1"/>
  <c r="V14" i="1"/>
  <c r="S15" i="1"/>
  <c r="T15" i="1"/>
  <c r="U15" i="1"/>
  <c r="V15" i="1"/>
  <c r="S16" i="1"/>
  <c r="AC16" i="1" s="1"/>
  <c r="T16" i="1"/>
  <c r="AD16" i="1" s="1"/>
  <c r="U16" i="1"/>
  <c r="V16" i="1"/>
  <c r="S17" i="1"/>
  <c r="T17" i="1"/>
  <c r="U17" i="1"/>
  <c r="V17" i="1"/>
  <c r="S18" i="1"/>
  <c r="AC18" i="1" s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AF46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8" i="1"/>
  <c r="R7" i="1"/>
  <c r="L7" i="1"/>
  <c r="X7" i="1" s="1"/>
  <c r="M7" i="1"/>
  <c r="N7" i="1"/>
  <c r="Z7" i="1" s="1"/>
  <c r="O7" i="1"/>
  <c r="L8" i="1"/>
  <c r="X8" i="1" s="1"/>
  <c r="M8" i="1"/>
  <c r="M48" i="1" s="1"/>
  <c r="N8" i="1"/>
  <c r="Z8" i="1" s="1"/>
  <c r="O8" i="1"/>
  <c r="L9" i="1"/>
  <c r="X9" i="1" s="1"/>
  <c r="M9" i="1"/>
  <c r="N9" i="1"/>
  <c r="Z9" i="1" s="1"/>
  <c r="O9" i="1"/>
  <c r="L10" i="1"/>
  <c r="X10" i="1" s="1"/>
  <c r="M10" i="1"/>
  <c r="M50" i="1" s="1"/>
  <c r="N10" i="1"/>
  <c r="N50" i="1" s="1"/>
  <c r="O10" i="1"/>
  <c r="L11" i="1"/>
  <c r="X11" i="1" s="1"/>
  <c r="M11" i="1"/>
  <c r="Y11" i="1" s="1"/>
  <c r="AD11" i="1" s="1"/>
  <c r="N11" i="1"/>
  <c r="Z11" i="1" s="1"/>
  <c r="O11" i="1"/>
  <c r="AA11" i="1" s="1"/>
  <c r="AF11" i="1" s="1"/>
  <c r="L12" i="1"/>
  <c r="X12" i="1" s="1"/>
  <c r="M12" i="1"/>
  <c r="Y12" i="1" s="1"/>
  <c r="N12" i="1"/>
  <c r="Z12" i="1" s="1"/>
  <c r="O12" i="1"/>
  <c r="AA12" i="1" s="1"/>
  <c r="AF12" i="1" s="1"/>
  <c r="L13" i="1"/>
  <c r="X13" i="1" s="1"/>
  <c r="M13" i="1"/>
  <c r="Y13" i="1" s="1"/>
  <c r="AD13" i="1" s="1"/>
  <c r="N13" i="1"/>
  <c r="Z13" i="1" s="1"/>
  <c r="O13" i="1"/>
  <c r="AA13" i="1" s="1"/>
  <c r="AF13" i="1" s="1"/>
  <c r="L14" i="1"/>
  <c r="X14" i="1" s="1"/>
  <c r="M14" i="1"/>
  <c r="Y14" i="1" s="1"/>
  <c r="N14" i="1"/>
  <c r="Z14" i="1" s="1"/>
  <c r="O14" i="1"/>
  <c r="AA14" i="1" s="1"/>
  <c r="AF14" i="1" s="1"/>
  <c r="L15" i="1"/>
  <c r="X15" i="1" s="1"/>
  <c r="M15" i="1"/>
  <c r="Y15" i="1" s="1"/>
  <c r="AD15" i="1" s="1"/>
  <c r="N15" i="1"/>
  <c r="Z15" i="1" s="1"/>
  <c r="O15" i="1"/>
  <c r="AA15" i="1" s="1"/>
  <c r="AF15" i="1" s="1"/>
  <c r="L16" i="1"/>
  <c r="X16" i="1" s="1"/>
  <c r="M16" i="1"/>
  <c r="Y16" i="1" s="1"/>
  <c r="N16" i="1"/>
  <c r="Z16" i="1" s="1"/>
  <c r="O16" i="1"/>
  <c r="AA16" i="1" s="1"/>
  <c r="AF16" i="1" s="1"/>
  <c r="L17" i="1"/>
  <c r="X17" i="1" s="1"/>
  <c r="M17" i="1"/>
  <c r="Y17" i="1" s="1"/>
  <c r="AD17" i="1" s="1"/>
  <c r="N17" i="1"/>
  <c r="Z17" i="1" s="1"/>
  <c r="O17" i="1"/>
  <c r="AA17" i="1" s="1"/>
  <c r="AF17" i="1" s="1"/>
  <c r="L18" i="1"/>
  <c r="X18" i="1" s="1"/>
  <c r="M18" i="1"/>
  <c r="Y18" i="1" s="1"/>
  <c r="N18" i="1"/>
  <c r="Z18" i="1" s="1"/>
  <c r="O18" i="1"/>
  <c r="AA18" i="1" s="1"/>
  <c r="L19" i="1"/>
  <c r="X19" i="1" s="1"/>
  <c r="M19" i="1"/>
  <c r="Y19" i="1" s="1"/>
  <c r="N19" i="1"/>
  <c r="Z19" i="1" s="1"/>
  <c r="O19" i="1"/>
  <c r="AA19" i="1" s="1"/>
  <c r="L20" i="1"/>
  <c r="X20" i="1" s="1"/>
  <c r="M20" i="1"/>
  <c r="Y20" i="1" s="1"/>
  <c r="N20" i="1"/>
  <c r="N49" i="1" s="1"/>
  <c r="O20" i="1"/>
  <c r="AA20" i="1" s="1"/>
  <c r="L21" i="1"/>
  <c r="X21" i="1" s="1"/>
  <c r="M21" i="1"/>
  <c r="Y21" i="1" s="1"/>
  <c r="N21" i="1"/>
  <c r="Z21" i="1" s="1"/>
  <c r="O21" i="1"/>
  <c r="AA21" i="1" s="1"/>
  <c r="L22" i="1"/>
  <c r="X22" i="1" s="1"/>
  <c r="M22" i="1"/>
  <c r="Y22" i="1" s="1"/>
  <c r="N22" i="1"/>
  <c r="Z22" i="1" s="1"/>
  <c r="O22" i="1"/>
  <c r="L23" i="1"/>
  <c r="X23" i="1" s="1"/>
  <c r="M23" i="1"/>
  <c r="Y23" i="1" s="1"/>
  <c r="N23" i="1"/>
  <c r="Z23" i="1" s="1"/>
  <c r="O23" i="1"/>
  <c r="AA23" i="1" s="1"/>
  <c r="L24" i="1"/>
  <c r="X24" i="1" s="1"/>
  <c r="M24" i="1"/>
  <c r="Y24" i="1" s="1"/>
  <c r="N24" i="1"/>
  <c r="Z24" i="1" s="1"/>
  <c r="O24" i="1"/>
  <c r="L25" i="1"/>
  <c r="X25" i="1" s="1"/>
  <c r="M25" i="1"/>
  <c r="Y25" i="1" s="1"/>
  <c r="N25" i="1"/>
  <c r="Z25" i="1" s="1"/>
  <c r="O25" i="1"/>
  <c r="AA25" i="1" s="1"/>
  <c r="L26" i="1"/>
  <c r="X26" i="1" s="1"/>
  <c r="M26" i="1"/>
  <c r="Y26" i="1" s="1"/>
  <c r="N26" i="1"/>
  <c r="Z26" i="1" s="1"/>
  <c r="O26" i="1"/>
  <c r="L27" i="1"/>
  <c r="X27" i="1" s="1"/>
  <c r="M27" i="1"/>
  <c r="Y27" i="1" s="1"/>
  <c r="N27" i="1"/>
  <c r="Z27" i="1" s="1"/>
  <c r="O27" i="1"/>
  <c r="AA27" i="1" s="1"/>
  <c r="L28" i="1"/>
  <c r="X28" i="1" s="1"/>
  <c r="M28" i="1"/>
  <c r="Y28" i="1" s="1"/>
  <c r="N28" i="1"/>
  <c r="Z28" i="1" s="1"/>
  <c r="O28" i="1"/>
  <c r="AA28" i="1" s="1"/>
  <c r="L29" i="1"/>
  <c r="X29" i="1" s="1"/>
  <c r="M29" i="1"/>
  <c r="Y29" i="1" s="1"/>
  <c r="N29" i="1"/>
  <c r="Z29" i="1" s="1"/>
  <c r="O29" i="1"/>
  <c r="AA29" i="1" s="1"/>
  <c r="L30" i="1"/>
  <c r="X30" i="1" s="1"/>
  <c r="M30" i="1"/>
  <c r="Y30" i="1" s="1"/>
  <c r="N30" i="1"/>
  <c r="Z30" i="1" s="1"/>
  <c r="O30" i="1"/>
  <c r="AA30" i="1" s="1"/>
  <c r="L31" i="1"/>
  <c r="X31" i="1" s="1"/>
  <c r="M31" i="1"/>
  <c r="Y31" i="1" s="1"/>
  <c r="N31" i="1"/>
  <c r="Z31" i="1" s="1"/>
  <c r="O31" i="1"/>
  <c r="AA31" i="1" s="1"/>
  <c r="L32" i="1"/>
  <c r="X32" i="1" s="1"/>
  <c r="M32" i="1"/>
  <c r="Y32" i="1" s="1"/>
  <c r="N32" i="1"/>
  <c r="Z32" i="1" s="1"/>
  <c r="O32" i="1"/>
  <c r="AA32" i="1" s="1"/>
  <c r="L33" i="1"/>
  <c r="X33" i="1" s="1"/>
  <c r="M33" i="1"/>
  <c r="Y33" i="1" s="1"/>
  <c r="N33" i="1"/>
  <c r="Z33" i="1" s="1"/>
  <c r="O33" i="1"/>
  <c r="AA33" i="1" s="1"/>
  <c r="L34" i="1"/>
  <c r="X34" i="1" s="1"/>
  <c r="M34" i="1"/>
  <c r="Y34" i="1" s="1"/>
  <c r="N34" i="1"/>
  <c r="Z34" i="1" s="1"/>
  <c r="O34" i="1"/>
  <c r="AA34" i="1" s="1"/>
  <c r="L35" i="1"/>
  <c r="X35" i="1" s="1"/>
  <c r="M35" i="1"/>
  <c r="Y35" i="1" s="1"/>
  <c r="N35" i="1"/>
  <c r="Z35" i="1" s="1"/>
  <c r="O35" i="1"/>
  <c r="AA35" i="1" s="1"/>
  <c r="L36" i="1"/>
  <c r="X36" i="1" s="1"/>
  <c r="M36" i="1"/>
  <c r="Y36" i="1" s="1"/>
  <c r="N36" i="1"/>
  <c r="N48" i="1" s="1"/>
  <c r="O36" i="1"/>
  <c r="AA36" i="1" s="1"/>
  <c r="L37" i="1"/>
  <c r="X37" i="1" s="1"/>
  <c r="M37" i="1"/>
  <c r="N37" i="1"/>
  <c r="Z37" i="1" s="1"/>
  <c r="O37" i="1"/>
  <c r="AA37" i="1" s="1"/>
  <c r="L38" i="1"/>
  <c r="X38" i="1" s="1"/>
  <c r="M38" i="1"/>
  <c r="Y38" i="1" s="1"/>
  <c r="N38" i="1"/>
  <c r="Z38" i="1" s="1"/>
  <c r="O38" i="1"/>
  <c r="L39" i="1"/>
  <c r="X39" i="1" s="1"/>
  <c r="M39" i="1"/>
  <c r="N39" i="1"/>
  <c r="Z39" i="1" s="1"/>
  <c r="O39" i="1"/>
  <c r="AA39" i="1" s="1"/>
  <c r="L40" i="1"/>
  <c r="X40" i="1" s="1"/>
  <c r="M40" i="1"/>
  <c r="Y40" i="1" s="1"/>
  <c r="N40" i="1"/>
  <c r="Z40" i="1" s="1"/>
  <c r="O40" i="1"/>
  <c r="AA40" i="1" s="1"/>
  <c r="AF40" i="1" s="1"/>
  <c r="L41" i="1"/>
  <c r="X41" i="1" s="1"/>
  <c r="M41" i="1"/>
  <c r="Y41" i="1" s="1"/>
  <c r="N41" i="1"/>
  <c r="Z41" i="1" s="1"/>
  <c r="O41" i="1"/>
  <c r="AA41" i="1" s="1"/>
  <c r="L42" i="1"/>
  <c r="X42" i="1" s="1"/>
  <c r="M42" i="1"/>
  <c r="Y42" i="1" s="1"/>
  <c r="N42" i="1"/>
  <c r="Z42" i="1" s="1"/>
  <c r="O42" i="1"/>
  <c r="AA42" i="1" s="1"/>
  <c r="AF42" i="1" s="1"/>
  <c r="L43" i="1"/>
  <c r="X43" i="1" s="1"/>
  <c r="M43" i="1"/>
  <c r="Y43" i="1" s="1"/>
  <c r="N43" i="1"/>
  <c r="Z43" i="1" s="1"/>
  <c r="O43" i="1"/>
  <c r="AA43" i="1" s="1"/>
  <c r="L44" i="1"/>
  <c r="X44" i="1" s="1"/>
  <c r="M44" i="1"/>
  <c r="Y44" i="1" s="1"/>
  <c r="N44" i="1"/>
  <c r="Z44" i="1" s="1"/>
  <c r="O44" i="1"/>
  <c r="AA44" i="1" s="1"/>
  <c r="AF44" i="1" s="1"/>
  <c r="L45" i="1"/>
  <c r="X45" i="1" s="1"/>
  <c r="M45" i="1"/>
  <c r="N45" i="1"/>
  <c r="Z45" i="1" s="1"/>
  <c r="O45" i="1"/>
  <c r="AA45" i="1" s="1"/>
  <c r="L46" i="1"/>
  <c r="X46" i="1" s="1"/>
  <c r="M46" i="1"/>
  <c r="Y46" i="1" s="1"/>
  <c r="N46" i="1"/>
  <c r="Z46" i="1" s="1"/>
  <c r="O46" i="1"/>
  <c r="AE44" i="1" l="1"/>
  <c r="AE34" i="1"/>
  <c r="AE28" i="1"/>
  <c r="AE18" i="1"/>
  <c r="AD46" i="1"/>
  <c r="AD36" i="1"/>
  <c r="AD28" i="1"/>
  <c r="X48" i="1"/>
  <c r="AC38" i="1"/>
  <c r="AC30" i="1"/>
  <c r="AC20" i="1"/>
  <c r="AA9" i="1"/>
  <c r="O49" i="1"/>
  <c r="O47" i="1"/>
  <c r="AA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9" i="1"/>
  <c r="AE17" i="1"/>
  <c r="AE15" i="1"/>
  <c r="AE13" i="1"/>
  <c r="AE11" i="1"/>
  <c r="AE7" i="1"/>
  <c r="AE26" i="1"/>
  <c r="AD40" i="1"/>
  <c r="AD32" i="1"/>
  <c r="AD22" i="1"/>
  <c r="AC46" i="1"/>
  <c r="AC36" i="1"/>
  <c r="AC26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T47" i="1"/>
  <c r="AE42" i="1"/>
  <c r="AE32" i="1"/>
  <c r="AE24" i="1"/>
  <c r="AA50" i="1"/>
  <c r="AF10" i="1"/>
  <c r="AD42" i="1"/>
  <c r="AD30" i="1"/>
  <c r="AD20" i="1"/>
  <c r="AC44" i="1"/>
  <c r="AC34" i="1"/>
  <c r="AC24" i="1"/>
  <c r="Y7" i="1"/>
  <c r="M47" i="1"/>
  <c r="AB26" i="1"/>
  <c r="R50" i="1"/>
  <c r="R49" i="1"/>
  <c r="AD45" i="1"/>
  <c r="AD43" i="1"/>
  <c r="AD39" i="1"/>
  <c r="AD37" i="1"/>
  <c r="AD35" i="1"/>
  <c r="AD33" i="1"/>
  <c r="AD31" i="1"/>
  <c r="AD29" i="1"/>
  <c r="AD27" i="1"/>
  <c r="AD25" i="1"/>
  <c r="AD23" i="1"/>
  <c r="AD21" i="1"/>
  <c r="T49" i="1"/>
  <c r="AD19" i="1"/>
  <c r="T50" i="1"/>
  <c r="T48" i="1"/>
  <c r="AC17" i="1"/>
  <c r="AC15" i="1"/>
  <c r="AC13" i="1"/>
  <c r="AC11" i="1"/>
  <c r="S49" i="1"/>
  <c r="AC9" i="1"/>
  <c r="AC48" i="1" s="1"/>
  <c r="AC7" i="1"/>
  <c r="S47" i="1"/>
  <c r="AE46" i="1"/>
  <c r="AE38" i="1"/>
  <c r="AE30" i="1"/>
  <c r="AD44" i="1"/>
  <c r="AD34" i="1"/>
  <c r="AD26" i="1"/>
  <c r="AC40" i="1"/>
  <c r="AC32" i="1"/>
  <c r="AC28" i="1"/>
  <c r="Y9" i="1"/>
  <c r="M49" i="1"/>
  <c r="AB42" i="1"/>
  <c r="AD41" i="1"/>
  <c r="X49" i="1"/>
  <c r="X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V50" i="1"/>
  <c r="AD18" i="1"/>
  <c r="AD38" i="1"/>
  <c r="AD24" i="1"/>
  <c r="AF8" i="1"/>
  <c r="X50" i="1"/>
  <c r="AC42" i="1"/>
  <c r="AC22" i="1"/>
  <c r="O50" i="1"/>
  <c r="O48" i="1"/>
  <c r="R47" i="1"/>
  <c r="AF38" i="1"/>
  <c r="AF36" i="1"/>
  <c r="AF34" i="1"/>
  <c r="AF32" i="1"/>
  <c r="AF30" i="1"/>
  <c r="AF28" i="1"/>
  <c r="AF26" i="1"/>
  <c r="AF24" i="1"/>
  <c r="AF22" i="1"/>
  <c r="AF20" i="1"/>
  <c r="V48" i="1"/>
  <c r="V49" i="1"/>
  <c r="V47" i="1"/>
  <c r="AF18" i="1"/>
  <c r="AE16" i="1"/>
  <c r="AE14" i="1"/>
  <c r="AE12" i="1"/>
  <c r="U50" i="1"/>
  <c r="U48" i="1"/>
  <c r="AE8" i="1"/>
  <c r="AE40" i="1"/>
  <c r="AE22" i="1"/>
  <c r="Z36" i="1"/>
  <c r="AE36" i="1" s="1"/>
  <c r="Z20" i="1"/>
  <c r="AE20" i="1" s="1"/>
  <c r="Z10" i="1"/>
  <c r="Z50" i="1" s="1"/>
  <c r="S48" i="1"/>
  <c r="U47" i="1"/>
  <c r="Y10" i="1"/>
  <c r="Y50" i="1" s="1"/>
  <c r="Y8" i="1"/>
  <c r="R48" i="1"/>
  <c r="L47" i="1"/>
  <c r="AC10" i="1"/>
  <c r="AC50" i="1" s="1"/>
  <c r="L50" i="1"/>
  <c r="AE9" i="1"/>
  <c r="K8" i="1"/>
  <c r="K9" i="1"/>
  <c r="K10" i="1"/>
  <c r="K11" i="1"/>
  <c r="W11" i="1" s="1"/>
  <c r="AB11" i="1" s="1"/>
  <c r="K12" i="1"/>
  <c r="W12" i="1" s="1"/>
  <c r="AB12" i="1" s="1"/>
  <c r="K13" i="1"/>
  <c r="W13" i="1" s="1"/>
  <c r="AB13" i="1" s="1"/>
  <c r="K14" i="1"/>
  <c r="W14" i="1" s="1"/>
  <c r="AB14" i="1" s="1"/>
  <c r="K15" i="1"/>
  <c r="W15" i="1" s="1"/>
  <c r="AB15" i="1" s="1"/>
  <c r="K16" i="1"/>
  <c r="W16" i="1" s="1"/>
  <c r="AB16" i="1" s="1"/>
  <c r="K17" i="1"/>
  <c r="W17" i="1" s="1"/>
  <c r="AB17" i="1" s="1"/>
  <c r="K18" i="1"/>
  <c r="W18" i="1" s="1"/>
  <c r="AB18" i="1" s="1"/>
  <c r="K19" i="1"/>
  <c r="W19" i="1" s="1"/>
  <c r="AB19" i="1" s="1"/>
  <c r="K20" i="1"/>
  <c r="W20" i="1" s="1"/>
  <c r="AB20" i="1" s="1"/>
  <c r="K21" i="1"/>
  <c r="W21" i="1" s="1"/>
  <c r="AB21" i="1" s="1"/>
  <c r="K22" i="1"/>
  <c r="W22" i="1" s="1"/>
  <c r="AB22" i="1" s="1"/>
  <c r="K23" i="1"/>
  <c r="W23" i="1" s="1"/>
  <c r="AB23" i="1" s="1"/>
  <c r="K24" i="1"/>
  <c r="W24" i="1" s="1"/>
  <c r="AB24" i="1" s="1"/>
  <c r="K25" i="1"/>
  <c r="W25" i="1" s="1"/>
  <c r="AB25" i="1" s="1"/>
  <c r="K26" i="1"/>
  <c r="W26" i="1" s="1"/>
  <c r="K27" i="1"/>
  <c r="W27" i="1" s="1"/>
  <c r="AB27" i="1" s="1"/>
  <c r="K28" i="1"/>
  <c r="W28" i="1" s="1"/>
  <c r="AB28" i="1" s="1"/>
  <c r="K29" i="1"/>
  <c r="W29" i="1" s="1"/>
  <c r="AB29" i="1" s="1"/>
  <c r="K30" i="1"/>
  <c r="W30" i="1" s="1"/>
  <c r="AB30" i="1" s="1"/>
  <c r="K31" i="1"/>
  <c r="W31" i="1" s="1"/>
  <c r="AB31" i="1" s="1"/>
  <c r="K32" i="1"/>
  <c r="W32" i="1" s="1"/>
  <c r="AB32" i="1" s="1"/>
  <c r="K33" i="1"/>
  <c r="W33" i="1" s="1"/>
  <c r="AB33" i="1" s="1"/>
  <c r="K34" i="1"/>
  <c r="W34" i="1" s="1"/>
  <c r="AB34" i="1" s="1"/>
  <c r="K35" i="1"/>
  <c r="W35" i="1" s="1"/>
  <c r="AB35" i="1" s="1"/>
  <c r="K36" i="1"/>
  <c r="W36" i="1" s="1"/>
  <c r="AB36" i="1" s="1"/>
  <c r="K37" i="1"/>
  <c r="W37" i="1" s="1"/>
  <c r="AB37" i="1" s="1"/>
  <c r="K38" i="1"/>
  <c r="W38" i="1" s="1"/>
  <c r="AB38" i="1" s="1"/>
  <c r="K39" i="1"/>
  <c r="W39" i="1" s="1"/>
  <c r="AB39" i="1" s="1"/>
  <c r="K40" i="1"/>
  <c r="W40" i="1" s="1"/>
  <c r="AB40" i="1" s="1"/>
  <c r="K41" i="1"/>
  <c r="W41" i="1" s="1"/>
  <c r="AB41" i="1" s="1"/>
  <c r="K42" i="1"/>
  <c r="W42" i="1" s="1"/>
  <c r="K43" i="1"/>
  <c r="W43" i="1" s="1"/>
  <c r="AB43" i="1" s="1"/>
  <c r="K44" i="1"/>
  <c r="W44" i="1" s="1"/>
  <c r="AB44" i="1" s="1"/>
  <c r="K45" i="1"/>
  <c r="W45" i="1" s="1"/>
  <c r="AB45" i="1" s="1"/>
  <c r="K46" i="1"/>
  <c r="W46" i="1" s="1"/>
  <c r="AB46" i="1" s="1"/>
  <c r="K7" i="1"/>
  <c r="F50" i="1"/>
  <c r="F49" i="1"/>
  <c r="F48" i="1"/>
  <c r="F47" i="1"/>
  <c r="Q46" i="1"/>
  <c r="Q45" i="1"/>
  <c r="Q44" i="1"/>
  <c r="Q43" i="1"/>
  <c r="Q39" i="1"/>
  <c r="Q37" i="1"/>
  <c r="Q36" i="1"/>
  <c r="Q35" i="1"/>
  <c r="Q34" i="1"/>
  <c r="Q33" i="1"/>
  <c r="Q32" i="1"/>
  <c r="Q24" i="1"/>
  <c r="Q23" i="1"/>
  <c r="Q22" i="1"/>
  <c r="Q21" i="1"/>
  <c r="Q20" i="1"/>
  <c r="Q19" i="1"/>
  <c r="Q18" i="1"/>
  <c r="Q17" i="1"/>
  <c r="Q16" i="1"/>
  <c r="Q14" i="1"/>
  <c r="Q13" i="1"/>
  <c r="Q11" i="1"/>
  <c r="Q7" i="1"/>
  <c r="Q50" i="1" l="1"/>
  <c r="Q48" i="1"/>
  <c r="Q49" i="1"/>
  <c r="K50" i="1"/>
  <c r="W10" i="1"/>
  <c r="Y48" i="1"/>
  <c r="AD7" i="1"/>
  <c r="AD47" i="1" s="1"/>
  <c r="Y47" i="1"/>
  <c r="AD10" i="1"/>
  <c r="AD50" i="1" s="1"/>
  <c r="Z47" i="1"/>
  <c r="Q47" i="1"/>
  <c r="Z49" i="1"/>
  <c r="AA49" i="1"/>
  <c r="AF9" i="1"/>
  <c r="AF49" i="1" s="1"/>
  <c r="K49" i="1"/>
  <c r="W9" i="1"/>
  <c r="AA48" i="1"/>
  <c r="AF50" i="1"/>
  <c r="AD8" i="1"/>
  <c r="K48" i="1"/>
  <c r="W8" i="1"/>
  <c r="K47" i="1"/>
  <c r="W7" i="1"/>
  <c r="AE10" i="1"/>
  <c r="AE50" i="1" s="1"/>
  <c r="Z48" i="1"/>
  <c r="AD9" i="1"/>
  <c r="AD49" i="1" s="1"/>
  <c r="Y49" i="1"/>
  <c r="AC47" i="1"/>
  <c r="AE47" i="1"/>
  <c r="AF7" i="1"/>
  <c r="AF47" i="1" s="1"/>
  <c r="AA47" i="1"/>
  <c r="AC49" i="1"/>
  <c r="AF48" i="1" l="1"/>
  <c r="AD48" i="1"/>
  <c r="W50" i="1"/>
  <c r="AB10" i="1"/>
  <c r="AB50" i="1" s="1"/>
  <c r="W47" i="1"/>
  <c r="AB7" i="1"/>
  <c r="AB9" i="1"/>
  <c r="AB49" i="1" s="1"/>
  <c r="W49" i="1"/>
  <c r="W48" i="1"/>
  <c r="AB8" i="1"/>
  <c r="AB48" i="1" s="1"/>
  <c r="AE49" i="1"/>
  <c r="AE48" i="1"/>
  <c r="AB47" i="1" l="1"/>
</calcChain>
</file>

<file path=xl/sharedStrings.xml><?xml version="1.0" encoding="utf-8"?>
<sst xmlns="http://schemas.openxmlformats.org/spreadsheetml/2006/main" count="1529" uniqueCount="445">
  <si>
    <t>MANPOWER NETWORKS LTD</t>
  </si>
  <si>
    <t>CLIENT: UNGA LTD ELDORET SITE</t>
  </si>
  <si>
    <t xml:space="preserve">TEMPORARY EMPLOYEES DAILY WAGES </t>
  </si>
  <si>
    <t>DATE : 12.05.2022</t>
  </si>
  <si>
    <t xml:space="preserve"> NAME</t>
  </si>
  <si>
    <t>ID.NUMBER</t>
  </si>
  <si>
    <t>SECTION</t>
  </si>
  <si>
    <t>SHIFT</t>
  </si>
  <si>
    <t>TOTAL HOURS</t>
  </si>
  <si>
    <t>HOURLY RATE</t>
  </si>
  <si>
    <t>DAILY RATE</t>
  </si>
  <si>
    <t>FAWEMA SECTION</t>
  </si>
  <si>
    <t>ANTONY JUMA</t>
  </si>
  <si>
    <t>L.ASS</t>
  </si>
  <si>
    <t>NIGHT</t>
  </si>
  <si>
    <t>DENNIS MUNYENDO</t>
  </si>
  <si>
    <t>CLEANER</t>
  </si>
  <si>
    <t>DAY</t>
  </si>
  <si>
    <t>EMMANUEL ODHIAMBO</t>
  </si>
  <si>
    <t>KENEDY OUMA</t>
  </si>
  <si>
    <t>JAIRUS OSUNDWA</t>
  </si>
  <si>
    <t>SIMON KURIA</t>
  </si>
  <si>
    <t>CLERK</t>
  </si>
  <si>
    <t>ALEX NGETHE</t>
  </si>
  <si>
    <t>ROLLER</t>
  </si>
  <si>
    <t>EURSILAH CHEPKOSGEI</t>
  </si>
  <si>
    <t>HIGH SPEED CLEANER</t>
  </si>
  <si>
    <t>GODFREY OGASO</t>
  </si>
  <si>
    <t>JANET GESARE</t>
  </si>
  <si>
    <t>PACKER</t>
  </si>
  <si>
    <t>ROBERT KIPLAGAT</t>
  </si>
  <si>
    <t>SAMUEL CHINJILI</t>
  </si>
  <si>
    <t>TIMOTHY MWANGI</t>
  </si>
  <si>
    <t>NICODEMUS WESONGA</t>
  </si>
  <si>
    <t>BENNARD LANGAT</t>
  </si>
  <si>
    <t>DAVID MULONDO</t>
  </si>
  <si>
    <t>CLEANING</t>
  </si>
  <si>
    <t>GILBERT KOIMA</t>
  </si>
  <si>
    <t>SAMSON SIRMA</t>
  </si>
  <si>
    <t>CONDITIONING</t>
  </si>
  <si>
    <t>DENNIS MUKHWANA</t>
  </si>
  <si>
    <t>FITTER</t>
  </si>
  <si>
    <t>EDWIN CHUMBA</t>
  </si>
  <si>
    <t>FREDRICK KAMUTI</t>
  </si>
  <si>
    <t>GEORGE ONYANGO</t>
  </si>
  <si>
    <t>MASON</t>
  </si>
  <si>
    <t>JAPHETH MATSABE</t>
  </si>
  <si>
    <t>MILITSA MICHAEL</t>
  </si>
  <si>
    <t>ELECTRICIAN</t>
  </si>
  <si>
    <t>VINCENT SONGOK</t>
  </si>
  <si>
    <t>EDWARD KIPKIRUI</t>
  </si>
  <si>
    <t>GEORGE NJOROGE</t>
  </si>
  <si>
    <t>A.M</t>
  </si>
  <si>
    <t>JOEL OCHIENG</t>
  </si>
  <si>
    <t>SYLVESTER MARITIM</t>
  </si>
  <si>
    <t>SHADRACK MARANGA</t>
  </si>
  <si>
    <t>WALUCHO STEPHEN</t>
  </si>
  <si>
    <t>R.M</t>
  </si>
  <si>
    <t>GILBERT MADEGWA</t>
  </si>
  <si>
    <t>WILSON KEMBOI</t>
  </si>
  <si>
    <t>MICHELLE ATIENO</t>
  </si>
  <si>
    <t>CUSTOMER SERVICE</t>
  </si>
  <si>
    <t>DAISY TALAM</t>
  </si>
  <si>
    <t>LAB</t>
  </si>
  <si>
    <t>JAMES OGUTU</t>
  </si>
  <si>
    <t>COLLINS MAKOKHA</t>
  </si>
  <si>
    <t>T.CLERK</t>
  </si>
  <si>
    <t>EDWIN KIPKETER</t>
  </si>
  <si>
    <t>FRANCIS MUNYENDO</t>
  </si>
  <si>
    <t>SAMWEL MWANGI</t>
  </si>
  <si>
    <t xml:space="preserve"> </t>
  </si>
  <si>
    <t xml:space="preserve">PREPARED BY MANPOWER SUPERVISOR :………………………….   SIGN …………………           DATE……………………..                </t>
  </si>
  <si>
    <t>CHECKED BY PLANT ACCUNTANT   : TIMOTHY MWANGI            SIGN  …………………         DATE ……………………….</t>
  </si>
  <si>
    <t>APPROVED BY HUMAN RESOURCE    :     FEBIAN ODONGO    SIGN   …………………          DATE……………………...</t>
  </si>
  <si>
    <t>AUTHORISED BY PLANT MANAGER   :   PERIS WABERE             SIGN………………                DATE………………………</t>
  </si>
  <si>
    <t>Min</t>
  </si>
  <si>
    <t>Max</t>
  </si>
  <si>
    <t>Average</t>
  </si>
  <si>
    <t>Total</t>
  </si>
  <si>
    <t>OT Hours</t>
  </si>
  <si>
    <t>Normal Pay</t>
  </si>
  <si>
    <t>OT Bonus</t>
  </si>
  <si>
    <t>Total Daily Pay</t>
  </si>
  <si>
    <t>Total Cumulative pay</t>
  </si>
  <si>
    <t>Loan D</t>
  </si>
  <si>
    <t>Loan C</t>
  </si>
  <si>
    <t>Loan B</t>
  </si>
  <si>
    <t>Loan  A</t>
  </si>
  <si>
    <t>Monthly Instalments</t>
  </si>
  <si>
    <t>Total Loan Paid</t>
  </si>
  <si>
    <t>Interest paid</t>
  </si>
  <si>
    <t>Months</t>
  </si>
  <si>
    <t>Interest Rate</t>
  </si>
  <si>
    <t>Principal</t>
  </si>
  <si>
    <t>Total costs for First Year</t>
  </si>
  <si>
    <t>Annual Total</t>
  </si>
  <si>
    <t>Total Monthly</t>
  </si>
  <si>
    <t>Subtotal</t>
  </si>
  <si>
    <t>-</t>
  </si>
  <si>
    <t>Dog Treats</t>
  </si>
  <si>
    <t>Kitty Litter</t>
  </si>
  <si>
    <t>Food</t>
  </si>
  <si>
    <t>Monthly Costs</t>
  </si>
  <si>
    <t>Leash</t>
  </si>
  <si>
    <t>Bowl</t>
  </si>
  <si>
    <t>ID Tag</t>
  </si>
  <si>
    <t>Collar</t>
  </si>
  <si>
    <t>Purchasing</t>
  </si>
  <si>
    <t>Dog</t>
  </si>
  <si>
    <t>Cat</t>
  </si>
  <si>
    <t>Initial Costs</t>
  </si>
  <si>
    <t>Annual Cost per page</t>
  </si>
  <si>
    <t>Total Cost</t>
  </si>
  <si>
    <t>Total supplies cost for 2 years</t>
  </si>
  <si>
    <t>Cost of Supplies/year</t>
  </si>
  <si>
    <t>Cost per supply</t>
  </si>
  <si>
    <t>Frequency of supply/year</t>
  </si>
  <si>
    <t>Pages per supply</t>
  </si>
  <si>
    <t>Total pages for 2 years</t>
  </si>
  <si>
    <t>Years required</t>
  </si>
  <si>
    <t>Total pages per year</t>
  </si>
  <si>
    <t>Week/year</t>
  </si>
  <si>
    <t>Pages per week</t>
  </si>
  <si>
    <t>Days in a week</t>
  </si>
  <si>
    <t>Pages per day</t>
  </si>
  <si>
    <t>Initial purchase</t>
  </si>
  <si>
    <t>Heavy Package</t>
  </si>
  <si>
    <t>Zero</t>
  </si>
  <si>
    <t>Epsilon</t>
  </si>
  <si>
    <t>Tim</t>
  </si>
  <si>
    <t>Susan</t>
  </si>
  <si>
    <t>Total cost</t>
  </si>
  <si>
    <t>Total Daily Costs</t>
  </si>
  <si>
    <t>Food Estimates</t>
  </si>
  <si>
    <t>Car Rental</t>
  </si>
  <si>
    <t>Daily Expensive</t>
  </si>
  <si>
    <t>Hotel Total</t>
  </si>
  <si>
    <t>Number of Nights</t>
  </si>
  <si>
    <t>Hotel Cost per night</t>
  </si>
  <si>
    <t>Hotel Expenses</t>
  </si>
  <si>
    <t>Total Cost of Tickets</t>
  </si>
  <si>
    <t>Number of People in group</t>
  </si>
  <si>
    <t>Subtotal of Tickets (Per Person)</t>
  </si>
  <si>
    <t>Cruise</t>
  </si>
  <si>
    <t>Busch Gardens</t>
  </si>
  <si>
    <t>Sea World</t>
  </si>
  <si>
    <t>Universal Studios</t>
  </si>
  <si>
    <t>Disneyland</t>
  </si>
  <si>
    <t>Museum of Broadcast History</t>
  </si>
  <si>
    <t>Science Museum</t>
  </si>
  <si>
    <t>Chicago Museum of Art</t>
  </si>
  <si>
    <t>Natural History</t>
  </si>
  <si>
    <t>Air Fare</t>
  </si>
  <si>
    <t>Per Person Expenses</t>
  </si>
  <si>
    <t>Miami Cruise</t>
  </si>
  <si>
    <t>Orlando Theme Park</t>
  </si>
  <si>
    <t>Chicago Museum</t>
  </si>
  <si>
    <t>Sum of all items valued at Kes 50 or less</t>
  </si>
  <si>
    <t>Sum of all items valued at more than Kes 50</t>
  </si>
  <si>
    <t>Sum of all items</t>
  </si>
  <si>
    <t>NV</t>
  </si>
  <si>
    <t>Hernandez</t>
  </si>
  <si>
    <t>Juan</t>
  </si>
  <si>
    <t>Skimmer</t>
  </si>
  <si>
    <t>Dec</t>
  </si>
  <si>
    <t>CA</t>
  </si>
  <si>
    <t>Barns</t>
  </si>
  <si>
    <t>Chalie</t>
  </si>
  <si>
    <t>UT</t>
  </si>
  <si>
    <t>Smith</t>
  </si>
  <si>
    <t>Doug</t>
  </si>
  <si>
    <t>Water Pump</t>
  </si>
  <si>
    <t>Pool Cover</t>
  </si>
  <si>
    <t>NM</t>
  </si>
  <si>
    <t>AutoVac</t>
  </si>
  <si>
    <t>Nov</t>
  </si>
  <si>
    <t>AZ</t>
  </si>
  <si>
    <t>1 Gal Muratic Acid</t>
  </si>
  <si>
    <t>Johnson</t>
  </si>
  <si>
    <t>Hellen</t>
  </si>
  <si>
    <t>5 Gal Chlorine</t>
  </si>
  <si>
    <t>Oct</t>
  </si>
  <si>
    <t>Sept</t>
  </si>
  <si>
    <t>Aug</t>
  </si>
  <si>
    <t>July</t>
  </si>
  <si>
    <t>Chlorine Test Kit</t>
  </si>
  <si>
    <t>8 ft Hose</t>
  </si>
  <si>
    <t>Net</t>
  </si>
  <si>
    <t>Algea Killer 8 oz</t>
  </si>
  <si>
    <t>June</t>
  </si>
  <si>
    <t>May</t>
  </si>
  <si>
    <t>April</t>
  </si>
  <si>
    <t>CO</t>
  </si>
  <si>
    <t>Mar</t>
  </si>
  <si>
    <t>Feb</t>
  </si>
  <si>
    <t>Jan</t>
  </si>
  <si>
    <t>pie chart</t>
  </si>
  <si>
    <t>pivot tables</t>
  </si>
  <si>
    <t>filter</t>
  </si>
  <si>
    <t>sort</t>
  </si>
  <si>
    <t>sumif</t>
  </si>
  <si>
    <t>if</t>
  </si>
  <si>
    <t>text to columns</t>
  </si>
  <si>
    <t>Sale Location</t>
  </si>
  <si>
    <t>Last name</t>
  </si>
  <si>
    <t>First name</t>
  </si>
  <si>
    <t>Commision 10% for items less than Kes 50, 20% for items more than Kes 50</t>
  </si>
  <si>
    <t>Profit</t>
  </si>
  <si>
    <t>Sale Price</t>
  </si>
  <si>
    <t>Store Cost</t>
  </si>
  <si>
    <t>Product Description</t>
  </si>
  <si>
    <t>Product Code</t>
  </si>
  <si>
    <t>Transaction Number</t>
  </si>
  <si>
    <t>Month</t>
  </si>
  <si>
    <t>Grand Total</t>
  </si>
  <si>
    <t>Sum of Sale Price</t>
  </si>
  <si>
    <t>Row Labels</t>
  </si>
  <si>
    <t>KAMUTI</t>
  </si>
  <si>
    <t>FREDRICK</t>
  </si>
  <si>
    <t>CHUMBA</t>
  </si>
  <si>
    <t>EDWIN</t>
  </si>
  <si>
    <t>MUKHWANA</t>
  </si>
  <si>
    <t>DENNIS</t>
  </si>
  <si>
    <t>SIRMA</t>
  </si>
  <si>
    <t>SAMSON</t>
  </si>
  <si>
    <t>KOIMA</t>
  </si>
  <si>
    <t>GILBERT</t>
  </si>
  <si>
    <t>MULONDO</t>
  </si>
  <si>
    <t>DAVID</t>
  </si>
  <si>
    <t>LANGAT</t>
  </si>
  <si>
    <t>BENNARD</t>
  </si>
  <si>
    <t>WESONGA</t>
  </si>
  <si>
    <t>NICODEMUS</t>
  </si>
  <si>
    <t>MWANGI</t>
  </si>
  <si>
    <t>TIMOTHY</t>
  </si>
  <si>
    <t>CHINJILI</t>
  </si>
  <si>
    <t>SAMUEL</t>
  </si>
  <si>
    <t>KIPLAGAT</t>
  </si>
  <si>
    <t>ROBERT</t>
  </si>
  <si>
    <t>GESARE</t>
  </si>
  <si>
    <t>JANET</t>
  </si>
  <si>
    <t>OGASO</t>
  </si>
  <si>
    <t>GODFREY</t>
  </si>
  <si>
    <t>CHEPKOSGEI</t>
  </si>
  <si>
    <t>EURSILAH</t>
  </si>
  <si>
    <t>NGETHE</t>
  </si>
  <si>
    <t>ALEX</t>
  </si>
  <si>
    <t>KURIA</t>
  </si>
  <si>
    <t>SIMON</t>
  </si>
  <si>
    <t>OSUNDWA</t>
  </si>
  <si>
    <t>JAIRUS</t>
  </si>
  <si>
    <t>OUMA</t>
  </si>
  <si>
    <t>KENEDY</t>
  </si>
  <si>
    <t>ODHIAMBO</t>
  </si>
  <si>
    <t>EMMANUEL</t>
  </si>
  <si>
    <t>MUNYENDO</t>
  </si>
  <si>
    <t>JUMA</t>
  </si>
  <si>
    <t>ANTONY</t>
  </si>
  <si>
    <t>First Name</t>
  </si>
  <si>
    <t>Points Possible</t>
  </si>
  <si>
    <t>Fire Employee?</t>
  </si>
  <si>
    <t>Drug test</t>
  </si>
  <si>
    <t>Financial Skills</t>
  </si>
  <si>
    <t>Company Phylosophy</t>
  </si>
  <si>
    <t>Safety</t>
  </si>
  <si>
    <t>GradeBook</t>
  </si>
  <si>
    <t>Academic Writer</t>
  </si>
  <si>
    <t>Farmer</t>
  </si>
  <si>
    <t>Forex Trader</t>
  </si>
  <si>
    <t>Microbiologist</t>
  </si>
  <si>
    <t>Miller</t>
  </si>
  <si>
    <t>Government Officer</t>
  </si>
  <si>
    <t>QA Officer</t>
  </si>
  <si>
    <t>Data Analyst</t>
  </si>
  <si>
    <t>Schooling</t>
  </si>
  <si>
    <t>My Talent</t>
  </si>
  <si>
    <t>Enjoyment</t>
  </si>
  <si>
    <t>Job Market</t>
  </si>
  <si>
    <t>Pay</t>
  </si>
  <si>
    <t>Job</t>
  </si>
  <si>
    <t>Career Decision Time</t>
  </si>
  <si>
    <t>Office Repo</t>
  </si>
  <si>
    <t>Dollar Trap</t>
  </si>
  <si>
    <t>WaltMart</t>
  </si>
  <si>
    <t>Liquid Paper</t>
  </si>
  <si>
    <t>Compass</t>
  </si>
  <si>
    <t>Protractor</t>
  </si>
  <si>
    <t>Planner Book</t>
  </si>
  <si>
    <t>Stapler</t>
  </si>
  <si>
    <t>8 Color Markers</t>
  </si>
  <si>
    <t>USB Stick 5gb</t>
  </si>
  <si>
    <t>2 inch binder</t>
  </si>
  <si>
    <t>10 No. 2 Pencils</t>
  </si>
  <si>
    <t>Eraser</t>
  </si>
  <si>
    <t>Clear Tape</t>
  </si>
  <si>
    <t>8 oz Glue</t>
  </si>
  <si>
    <t>100-page notebook</t>
  </si>
  <si>
    <t>TI-35 Calculator</t>
  </si>
  <si>
    <t>Ball Point Pen</t>
  </si>
  <si>
    <t>Amount Spent at Office Repo</t>
  </si>
  <si>
    <t>Amount Spent at Dolla Trap</t>
  </si>
  <si>
    <t>Amount Spent at WaltMart</t>
  </si>
  <si>
    <t>Average Cost per Year</t>
  </si>
  <si>
    <t>Car Lifetime Costs</t>
  </si>
  <si>
    <t>Total life of the car(Years)</t>
  </si>
  <si>
    <t>Goal for maximum miles</t>
  </si>
  <si>
    <t>Miles driven Annually</t>
  </si>
  <si>
    <t>Total Annual costs (Ins+Lic+Gas)</t>
  </si>
  <si>
    <t>Total annual Gas Purchases</t>
  </si>
  <si>
    <t>Price per Gallon of Gas</t>
  </si>
  <si>
    <t>MPG</t>
  </si>
  <si>
    <t>Miles per year driven</t>
  </si>
  <si>
    <t>Gas Cost Calculation</t>
  </si>
  <si>
    <t>Gas</t>
  </si>
  <si>
    <t>License</t>
  </si>
  <si>
    <t>Insurance</t>
  </si>
  <si>
    <t>Year Costs</t>
  </si>
  <si>
    <t>Taxes</t>
  </si>
  <si>
    <t>Purchase Price</t>
  </si>
  <si>
    <t>Initial Cost</t>
  </si>
  <si>
    <t>Escalade</t>
  </si>
  <si>
    <t>Mustang</t>
  </si>
  <si>
    <t>Spark</t>
  </si>
  <si>
    <t>Silverado</t>
  </si>
  <si>
    <t>SLV</t>
  </si>
  <si>
    <t>PT Cruiser</t>
  </si>
  <si>
    <t>PTC</t>
  </si>
  <si>
    <t>Odyssey</t>
  </si>
  <si>
    <t>ODY</t>
  </si>
  <si>
    <t>MTG</t>
  </si>
  <si>
    <t>Focus</t>
  </si>
  <si>
    <t>FCS</t>
  </si>
  <si>
    <t>Elantra</t>
  </si>
  <si>
    <t>ELA</t>
  </si>
  <si>
    <t>Toyota</t>
  </si>
  <si>
    <t>TY</t>
  </si>
  <si>
    <t>Corolla</t>
  </si>
  <si>
    <t>COR</t>
  </si>
  <si>
    <t>Hyundai</t>
  </si>
  <si>
    <t>HY</t>
  </si>
  <si>
    <t>Camero</t>
  </si>
  <si>
    <t>CMR</t>
  </si>
  <si>
    <t>Honda</t>
  </si>
  <si>
    <t>HO</t>
  </si>
  <si>
    <t>Civic</t>
  </si>
  <si>
    <t>CIV</t>
  </si>
  <si>
    <t>General Motors</t>
  </si>
  <si>
    <t>GM</t>
  </si>
  <si>
    <t>Caravan</t>
  </si>
  <si>
    <t>CAR</t>
  </si>
  <si>
    <t>Ford</t>
  </si>
  <si>
    <t>FD</t>
  </si>
  <si>
    <t>Camrey</t>
  </si>
  <si>
    <t>CAM</t>
  </si>
  <si>
    <t>Chrysler</t>
  </si>
  <si>
    <t>CR</t>
  </si>
  <si>
    <t>McCall</t>
  </si>
  <si>
    <t>Black</t>
  </si>
  <si>
    <t>HO14ODY041</t>
  </si>
  <si>
    <t>Rodriguez</t>
  </si>
  <si>
    <t>FD13FCS013</t>
  </si>
  <si>
    <t>Chan</t>
  </si>
  <si>
    <t>HO13CIV036</t>
  </si>
  <si>
    <t>Torrens</t>
  </si>
  <si>
    <t>White</t>
  </si>
  <si>
    <t>GM14CMR016</t>
  </si>
  <si>
    <t>Blue</t>
  </si>
  <si>
    <t>HO10CIV032</t>
  </si>
  <si>
    <t>Yousef</t>
  </si>
  <si>
    <t>FD12FCS011</t>
  </si>
  <si>
    <t>Bard</t>
  </si>
  <si>
    <t>GM12CMR015</t>
  </si>
  <si>
    <t>Praulty</t>
  </si>
  <si>
    <t>TY14COR027</t>
  </si>
  <si>
    <t>TY12CAM029</t>
  </si>
  <si>
    <t>HY13ELA051</t>
  </si>
  <si>
    <t>HY12ELA050</t>
  </si>
  <si>
    <t>Santos</t>
  </si>
  <si>
    <t>GM09CMR014</t>
  </si>
  <si>
    <t>Ewenty</t>
  </si>
  <si>
    <t>HY13ELA052</t>
  </si>
  <si>
    <t>Hulinski</t>
  </si>
  <si>
    <t>HO12CIV035</t>
  </si>
  <si>
    <t>Vizzini</t>
  </si>
  <si>
    <t>FD13FCS012</t>
  </si>
  <si>
    <t>CR11PTC044</t>
  </si>
  <si>
    <t>FD06MTG001</t>
  </si>
  <si>
    <t>GM10SLV017</t>
  </si>
  <si>
    <t>HY11ELA049</t>
  </si>
  <si>
    <t>FD08MTG005</t>
  </si>
  <si>
    <t>Jones</t>
  </si>
  <si>
    <t>FD08MTG004</t>
  </si>
  <si>
    <t>Howard</t>
  </si>
  <si>
    <t>FD09FCS008</t>
  </si>
  <si>
    <t>Lyon</t>
  </si>
  <si>
    <t>HO11CIV034</t>
  </si>
  <si>
    <t>Swartz</t>
  </si>
  <si>
    <t>HO10CIV033</t>
  </si>
  <si>
    <t>Gaul</t>
  </si>
  <si>
    <t>Green</t>
  </si>
  <si>
    <t>CR07PTC043</t>
  </si>
  <si>
    <t>FD06MTG002</t>
  </si>
  <si>
    <t>TY12COR028</t>
  </si>
  <si>
    <t>FD13FCS010</t>
  </si>
  <si>
    <t>FD13FCS009</t>
  </si>
  <si>
    <t>FD06FCS006</t>
  </si>
  <si>
    <t>Red</t>
  </si>
  <si>
    <t>CR04CAR048</t>
  </si>
  <si>
    <t>HO08ODY039</t>
  </si>
  <si>
    <t>FD08MTG003</t>
  </si>
  <si>
    <t>FD06FCS007</t>
  </si>
  <si>
    <t>TY02COR025</t>
  </si>
  <si>
    <t>HO01ODY040</t>
  </si>
  <si>
    <t>HO07ODY038</t>
  </si>
  <si>
    <t>HO01CIV031</t>
  </si>
  <si>
    <t>TY02CAM023</t>
  </si>
  <si>
    <t>CR99CAR045</t>
  </si>
  <si>
    <t>GM98SLV018</t>
  </si>
  <si>
    <t>HO05ODY037</t>
  </si>
  <si>
    <t>CR00CAR046</t>
  </si>
  <si>
    <t>CR04PTC042</t>
  </si>
  <si>
    <t>TY09CAM024</t>
  </si>
  <si>
    <t>HO99CIV030</t>
  </si>
  <si>
    <t>GM00SLV019</t>
  </si>
  <si>
    <t>TY03COR026</t>
  </si>
  <si>
    <t>TY00CAM022</t>
  </si>
  <si>
    <t>TY98CAM021</t>
  </si>
  <si>
    <t>CR04CAR047</t>
  </si>
  <si>
    <t>TY96CAM020</t>
  </si>
  <si>
    <t>New Car ID</t>
  </si>
  <si>
    <t>Covered?</t>
  </si>
  <si>
    <t>Warantee Miles</t>
  </si>
  <si>
    <t>Driver</t>
  </si>
  <si>
    <t>Color</t>
  </si>
  <si>
    <t>Miles / Year</t>
  </si>
  <si>
    <t>Miles</t>
  </si>
  <si>
    <t>Age</t>
  </si>
  <si>
    <t>Manufacture Year</t>
  </si>
  <si>
    <t>Model (Full Name)</t>
  </si>
  <si>
    <t>Model</t>
  </si>
  <si>
    <t>Make (Full Name)</t>
  </si>
  <si>
    <t>Make</t>
  </si>
  <si>
    <t>Car ID</t>
  </si>
  <si>
    <t>Sum of Miles</t>
  </si>
  <si>
    <t>Functions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</si>
</sst>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000000000"/>
    <numFmt numFmtId="166" formatCode="0.000"/>
    <numFmt numFmtId="167" formatCode="_(* #,##0_);_(* \(#,##0\);_(* &quot;-&quot;??_);_(@_)"/>
    <numFmt numFmtId="168" formatCode="_([$KES]\ * #,##0.00_);_([$KES]\ * \(#,##0.00\);_([$KES]\ * &quot;-&quot;??_);_(@_)"/>
    <numFmt numFmtId="169" formatCode="_(&quot;$&quot;* #,##0.000_);_(&quot;$&quot;* \(#,##0.000\);_(&quot;$&quot;* &quot;-&quot;??_);_(@_)"/>
    <numFmt numFmtId="170" formatCode="_(&quot;$&quot;* #,##0.0_);_(&quot;$&quot;* \(#,##0.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164" fontId="2" fillId="0" borderId="0" xfId="0" applyNumberFormat="1" applyFont="1"/>
    <xf numFmtId="43" fontId="2" fillId="0" borderId="0" xfId="0" applyNumberFormat="1" applyFont="1"/>
    <xf numFmtId="43" fontId="2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2" xfId="0" applyFont="1" applyBorder="1"/>
    <xf numFmtId="0" fontId="2" fillId="4" borderId="0" xfId="0" applyFont="1" applyFill="1"/>
    <xf numFmtId="0" fontId="4" fillId="4" borderId="0" xfId="0" applyFont="1" applyFill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7" fontId="2" fillId="0" borderId="0" xfId="0" applyNumberFormat="1" applyFont="1"/>
    <xf numFmtId="0" fontId="2" fillId="0" borderId="0" xfId="2" applyFont="1" applyAlignment="1">
      <alignment horizontal="left"/>
    </xf>
    <xf numFmtId="0" fontId="2" fillId="0" borderId="0" xfId="2" applyFont="1"/>
    <xf numFmtId="166" fontId="2" fillId="0" borderId="0" xfId="0" applyNumberFormat="1" applyFont="1"/>
    <xf numFmtId="0" fontId="2" fillId="0" borderId="0" xfId="0" applyFont="1" applyBorder="1"/>
    <xf numFmtId="0" fontId="2" fillId="0" borderId="6" xfId="0" applyFont="1" applyBorder="1" applyAlignment="1">
      <alignment horizontal="right"/>
    </xf>
    <xf numFmtId="168" fontId="2" fillId="4" borderId="1" xfId="1" applyNumberFormat="1" applyFont="1" applyFill="1" applyBorder="1"/>
    <xf numFmtId="168" fontId="2" fillId="0" borderId="1" xfId="1" applyNumberFormat="1" applyFont="1" applyBorder="1"/>
    <xf numFmtId="168" fontId="2" fillId="0" borderId="1" xfId="1" applyNumberFormat="1" applyFont="1" applyFill="1" applyBorder="1"/>
    <xf numFmtId="168" fontId="2" fillId="4" borderId="1" xfId="2" applyNumberFormat="1" applyFont="1" applyFill="1" applyBorder="1"/>
    <xf numFmtId="168" fontId="6" fillId="0" borderId="1" xfId="0" applyNumberFormat="1" applyFont="1" applyBorder="1"/>
    <xf numFmtId="168" fontId="2" fillId="0" borderId="1" xfId="0" applyNumberFormat="1" applyFont="1" applyBorder="1"/>
    <xf numFmtId="164" fontId="6" fillId="0" borderId="2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2" applyFont="1" applyBorder="1" applyAlignment="1">
      <alignment horizontal="left"/>
    </xf>
    <xf numFmtId="165" fontId="2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/>
    <xf numFmtId="14" fontId="2" fillId="5" borderId="1" xfId="0" applyNumberFormat="1" applyFont="1" applyFill="1" applyBorder="1"/>
    <xf numFmtId="164" fontId="6" fillId="5" borderId="1" xfId="0" applyNumberFormat="1" applyFont="1" applyFill="1" applyBorder="1"/>
    <xf numFmtId="164" fontId="2" fillId="5" borderId="1" xfId="0" applyNumberFormat="1" applyFont="1" applyFill="1" applyBorder="1"/>
    <xf numFmtId="164" fontId="2" fillId="5" borderId="1" xfId="1" applyNumberFormat="1" applyFont="1" applyFill="1" applyBorder="1"/>
    <xf numFmtId="164" fontId="6" fillId="5" borderId="0" xfId="0" applyNumberFormat="1" applyFont="1" applyFill="1" applyBorder="1"/>
    <xf numFmtId="14" fontId="2" fillId="6" borderId="1" xfId="0" applyNumberFormat="1" applyFont="1" applyFill="1" applyBorder="1"/>
    <xf numFmtId="164" fontId="6" fillId="6" borderId="1" xfId="0" applyNumberFormat="1" applyFont="1" applyFill="1" applyBorder="1"/>
    <xf numFmtId="168" fontId="6" fillId="5" borderId="1" xfId="1" applyNumberFormat="1" applyFont="1" applyFill="1" applyBorder="1"/>
    <xf numFmtId="14" fontId="2" fillId="7" borderId="1" xfId="0" applyNumberFormat="1" applyFont="1" applyFill="1" applyBorder="1"/>
    <xf numFmtId="168" fontId="6" fillId="7" borderId="1" xfId="1" applyNumberFormat="1" applyFont="1" applyFill="1" applyBorder="1"/>
    <xf numFmtId="168" fontId="6" fillId="3" borderId="1" xfId="1" applyNumberFormat="1" applyFont="1" applyFill="1" applyBorder="1"/>
    <xf numFmtId="14" fontId="2" fillId="3" borderId="2" xfId="0" applyNumberFormat="1" applyFont="1" applyFill="1" applyBorder="1"/>
    <xf numFmtId="168" fontId="6" fillId="3" borderId="2" xfId="1" applyNumberFormat="1" applyFont="1" applyFill="1" applyBorder="1"/>
    <xf numFmtId="0" fontId="2" fillId="8" borderId="1" xfId="0" applyFont="1" applyFill="1" applyBorder="1"/>
    <xf numFmtId="168" fontId="2" fillId="8" borderId="1" xfId="0" applyNumberFormat="1" applyFont="1" applyFill="1" applyBorder="1"/>
    <xf numFmtId="164" fontId="6" fillId="8" borderId="1" xfId="0" applyNumberFormat="1" applyFont="1" applyFill="1" applyBorder="1" applyAlignment="1">
      <alignment horizontal="center"/>
    </xf>
    <xf numFmtId="9" fontId="0" fillId="0" borderId="0" xfId="4" applyFont="1"/>
    <xf numFmtId="0" fontId="0" fillId="0" borderId="0" xfId="0" applyBorder="1"/>
    <xf numFmtId="169" fontId="0" fillId="2" borderId="0" xfId="3" applyNumberFormat="1" applyFont="1" applyFill="1"/>
    <xf numFmtId="0" fontId="0" fillId="2" borderId="0" xfId="0" applyFill="1"/>
    <xf numFmtId="44" fontId="0" fillId="9" borderId="0" xfId="3" applyNumberFormat="1" applyFont="1" applyFill="1"/>
    <xf numFmtId="0" fontId="0" fillId="9" borderId="0" xfId="0" applyFill="1"/>
    <xf numFmtId="170" fontId="0" fillId="9" borderId="0" xfId="3" applyNumberFormat="1" applyFont="1" applyFill="1"/>
    <xf numFmtId="0" fontId="0" fillId="10" borderId="0" xfId="0" applyFill="1"/>
    <xf numFmtId="170" fontId="0" fillId="11" borderId="0" xfId="3" applyNumberFormat="1" applyFont="1" applyFill="1"/>
    <xf numFmtId="0" fontId="0" fillId="11" borderId="0" xfId="0" applyFill="1"/>
    <xf numFmtId="44" fontId="0" fillId="9" borderId="0" xfId="3" applyFont="1" applyFill="1"/>
    <xf numFmtId="0" fontId="8" fillId="9" borderId="0" xfId="0" applyFont="1" applyFill="1"/>
    <xf numFmtId="0" fontId="0" fillId="0" borderId="0" xfId="0" applyFill="1"/>
    <xf numFmtId="44" fontId="0" fillId="10" borderId="0" xfId="3" applyFont="1" applyFill="1"/>
    <xf numFmtId="0" fontId="8" fillId="10" borderId="0" xfId="0" applyFont="1" applyFill="1"/>
    <xf numFmtId="1" fontId="0" fillId="10" borderId="0" xfId="3" applyNumberFormat="1" applyFont="1" applyFill="1"/>
    <xf numFmtId="44" fontId="0" fillId="12" borderId="0" xfId="3" applyFont="1" applyFill="1"/>
    <xf numFmtId="0" fontId="0" fillId="12" borderId="0" xfId="0" applyFill="1"/>
    <xf numFmtId="1" fontId="0" fillId="12" borderId="0" xfId="3" applyNumberFormat="1" applyFont="1" applyFill="1"/>
    <xf numFmtId="44" fontId="0" fillId="13" borderId="0" xfId="3" applyFont="1" applyFill="1"/>
    <xf numFmtId="0" fontId="0" fillId="13" borderId="0" xfId="0" applyFill="1"/>
    <xf numFmtId="0" fontId="8" fillId="13" borderId="0" xfId="0" applyFont="1" applyFill="1"/>
    <xf numFmtId="0" fontId="7" fillId="9" borderId="0" xfId="0" applyFont="1" applyFill="1" applyAlignment="1">
      <alignment horizontal="center" vertical="center"/>
    </xf>
    <xf numFmtId="0" fontId="9" fillId="0" borderId="0" xfId="5"/>
    <xf numFmtId="168" fontId="9" fillId="0" borderId="0" xfId="5" applyNumberFormat="1"/>
    <xf numFmtId="0" fontId="9" fillId="0" borderId="0" xfId="5" applyAlignment="1">
      <alignment horizontal="left"/>
    </xf>
    <xf numFmtId="0" fontId="9" fillId="0" borderId="0" xfId="5" pivotButton="1"/>
    <xf numFmtId="0" fontId="0" fillId="0" borderId="0" xfId="0" applyNumberFormat="1"/>
    <xf numFmtId="0" fontId="11" fillId="0" borderId="0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NumberFormat="1" applyFont="1"/>
    <xf numFmtId="0" fontId="11" fillId="0" borderId="0" xfId="0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" xfId="0" applyNumberFormat="1" applyFont="1" applyBorder="1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textRotation="90"/>
    </xf>
    <xf numFmtId="0" fontId="0" fillId="0" borderId="0" xfId="0" applyNumberFormat="1" applyAlignment="1">
      <alignment textRotation="90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8" fontId="0" fillId="19" borderId="0" xfId="0" applyNumberFormat="1" applyFill="1"/>
    <xf numFmtId="0" fontId="0" fillId="19" borderId="0" xfId="0" applyFill="1"/>
    <xf numFmtId="168" fontId="0" fillId="20" borderId="0" xfId="0" applyNumberFormat="1" applyFill="1"/>
    <xf numFmtId="0" fontId="0" fillId="20" borderId="0" xfId="0" applyFill="1"/>
    <xf numFmtId="0" fontId="7" fillId="19" borderId="0" xfId="0" applyFont="1" applyFill="1" applyAlignment="1">
      <alignment vertical="center" wrapText="1"/>
    </xf>
    <xf numFmtId="1" fontId="0" fillId="19" borderId="0" xfId="3" applyNumberFormat="1" applyFont="1" applyFill="1"/>
    <xf numFmtId="0" fontId="7" fillId="20" borderId="0" xfId="0" applyFont="1" applyFill="1" applyAlignment="1">
      <alignment vertical="center" wrapText="1"/>
    </xf>
    <xf numFmtId="1" fontId="0" fillId="20" borderId="0" xfId="3" applyNumberFormat="1" applyFont="1" applyFill="1"/>
    <xf numFmtId="168" fontId="0" fillId="0" borderId="0" xfId="3" applyNumberFormat="1" applyFont="1"/>
    <xf numFmtId="0" fontId="7" fillId="0" borderId="0" xfId="0" applyFont="1" applyAlignment="1">
      <alignment vertical="center" wrapText="1"/>
    </xf>
    <xf numFmtId="0" fontId="0" fillId="3" borderId="0" xfId="0" applyFill="1"/>
    <xf numFmtId="0" fontId="0" fillId="21" borderId="0" xfId="0" applyFill="1"/>
    <xf numFmtId="0" fontId="0" fillId="18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8" borderId="0" xfId="0" applyFill="1"/>
    <xf numFmtId="0" fontId="13" fillId="0" borderId="0" xfId="0" applyFont="1" applyFill="1"/>
    <xf numFmtId="0" fontId="0" fillId="11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8" fontId="0" fillId="18" borderId="0" xfId="0" applyNumberFormat="1" applyFill="1" applyAlignment="1">
      <alignment horizontal="center" vertical="center"/>
    </xf>
    <xf numFmtId="168" fontId="0" fillId="19" borderId="0" xfId="0" applyNumberFormat="1" applyFill="1" applyAlignment="1">
      <alignment horizontal="center" vertical="center"/>
    </xf>
    <xf numFmtId="168" fontId="0" fillId="11" borderId="0" xfId="0" applyNumberFormat="1" applyFill="1" applyAlignment="1">
      <alignment horizontal="center" vertical="center"/>
    </xf>
    <xf numFmtId="0" fontId="0" fillId="20" borderId="0" xfId="0" applyNumberFormat="1" applyFill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168" fontId="0" fillId="21" borderId="0" xfId="0" applyNumberForma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0" fontId="0" fillId="23" borderId="0" xfId="0" applyFill="1"/>
    <xf numFmtId="0" fontId="0" fillId="24" borderId="0" xfId="0" applyFill="1"/>
    <xf numFmtId="168" fontId="0" fillId="2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12" borderId="1" xfId="0" applyFill="1" applyBorder="1"/>
    <xf numFmtId="0" fontId="0" fillId="25" borderId="1" xfId="0" applyFill="1" applyBorder="1"/>
    <xf numFmtId="168" fontId="0" fillId="25" borderId="1" xfId="0" applyNumberFormat="1" applyFill="1" applyBorder="1"/>
    <xf numFmtId="0" fontId="0" fillId="26" borderId="1" xfId="0" applyFill="1" applyBorder="1"/>
    <xf numFmtId="0" fontId="0" fillId="27" borderId="1" xfId="0" applyFill="1" applyBorder="1"/>
    <xf numFmtId="168" fontId="0" fillId="27" borderId="1" xfId="0" applyNumberFormat="1" applyFill="1" applyBorder="1"/>
    <xf numFmtId="0" fontId="0" fillId="28" borderId="1" xfId="0" applyFill="1" applyBorder="1"/>
    <xf numFmtId="168" fontId="0" fillId="28" borderId="1" xfId="0" applyNumberFormat="1" applyFill="1" applyBorder="1"/>
    <xf numFmtId="168" fontId="0" fillId="22" borderId="1" xfId="0" applyNumberFormat="1" applyFill="1" applyBorder="1"/>
    <xf numFmtId="0" fontId="0" fillId="5" borderId="1" xfId="0" applyFill="1" applyBorder="1"/>
    <xf numFmtId="168" fontId="0" fillId="5" borderId="1" xfId="0" applyNumberFormat="1" applyFill="1" applyBorder="1"/>
    <xf numFmtId="0" fontId="0" fillId="22" borderId="1" xfId="0" applyFill="1" applyBorder="1" applyAlignment="1">
      <alignment wrapText="1"/>
    </xf>
    <xf numFmtId="0" fontId="9" fillId="0" borderId="1" xfId="5" applyBorder="1"/>
    <xf numFmtId="14" fontId="0" fillId="0" borderId="1" xfId="6" applyNumberFormat="1" applyFont="1" applyBorder="1" applyAlignment="1">
      <alignment horizontal="center" vertical="center"/>
    </xf>
    <xf numFmtId="167" fontId="0" fillId="0" borderId="1" xfId="6" applyNumberFormat="1" applyFont="1" applyBorder="1" applyAlignment="1">
      <alignment horizontal="center" vertical="center"/>
    </xf>
    <xf numFmtId="0" fontId="9" fillId="0" borderId="1" xfId="5" applyBorder="1" applyAlignment="1">
      <alignment horizontal="center" vertical="center"/>
    </xf>
    <xf numFmtId="168" fontId="9" fillId="0" borderId="1" xfId="5" applyNumberFormat="1" applyBorder="1" applyAlignment="1">
      <alignment horizontal="center" vertical="center"/>
    </xf>
    <xf numFmtId="168" fontId="9" fillId="0" borderId="1" xfId="5" applyNumberFormat="1" applyBorder="1" applyAlignment="1">
      <alignment horizontal="left" vertical="center"/>
    </xf>
    <xf numFmtId="0" fontId="9" fillId="9" borderId="1" xfId="5" applyFill="1" applyBorder="1" applyAlignment="1">
      <alignment horizontal="center" vertical="center" wrapText="1"/>
    </xf>
    <xf numFmtId="168" fontId="9" fillId="9" borderId="1" xfId="5" applyNumberFormat="1" applyFill="1" applyBorder="1" applyAlignment="1">
      <alignment horizontal="center" vertical="center" wrapText="1"/>
    </xf>
    <xf numFmtId="0" fontId="14" fillId="18" borderId="1" xfId="5" applyFont="1" applyFill="1" applyBorder="1"/>
    <xf numFmtId="168" fontId="0" fillId="27" borderId="0" xfId="1" applyNumberFormat="1" applyFont="1" applyFill="1"/>
    <xf numFmtId="9" fontId="0" fillId="27" borderId="0" xfId="4" applyFont="1" applyFill="1"/>
    <xf numFmtId="43" fontId="0" fillId="27" borderId="0" xfId="1" applyFont="1" applyFill="1"/>
    <xf numFmtId="43" fontId="2" fillId="3" borderId="4" xfId="1" applyFont="1" applyFill="1" applyBorder="1" applyAlignment="1">
      <alignment horizontal="center"/>
    </xf>
    <xf numFmtId="43" fontId="2" fillId="3" borderId="9" xfId="1" applyFont="1" applyFill="1" applyBorder="1" applyAlignment="1">
      <alignment horizontal="center"/>
    </xf>
    <xf numFmtId="0" fontId="3" fillId="0" borderId="0" xfId="2" applyFont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3" fontId="2" fillId="5" borderId="2" xfId="1" applyFont="1" applyFill="1" applyBorder="1" applyAlignment="1">
      <alignment horizontal="center"/>
    </xf>
    <xf numFmtId="43" fontId="2" fillId="5" borderId="8" xfId="1" applyFont="1" applyFill="1" applyBorder="1" applyAlignment="1">
      <alignment horizontal="center"/>
    </xf>
    <xf numFmtId="43" fontId="2" fillId="5" borderId="5" xfId="1" applyFont="1" applyFill="1" applyBorder="1" applyAlignment="1">
      <alignment horizontal="center"/>
    </xf>
    <xf numFmtId="43" fontId="2" fillId="7" borderId="2" xfId="1" applyFont="1" applyFill="1" applyBorder="1" applyAlignment="1">
      <alignment horizontal="center"/>
    </xf>
    <xf numFmtId="43" fontId="2" fillId="7" borderId="8" xfId="1" applyFont="1" applyFill="1" applyBorder="1" applyAlignment="1">
      <alignment horizontal="center"/>
    </xf>
    <xf numFmtId="43" fontId="2" fillId="7" borderId="5" xfId="1" applyFont="1" applyFill="1" applyBorder="1" applyAlignment="1">
      <alignment horizontal="center"/>
    </xf>
    <xf numFmtId="0" fontId="9" fillId="0" borderId="1" xfId="5" applyBorder="1" applyAlignment="1">
      <alignment horizontal="center" vertical="center"/>
    </xf>
    <xf numFmtId="0" fontId="9" fillId="0" borderId="2" xfId="5" applyBorder="1" applyAlignment="1">
      <alignment horizontal="center" vertical="center"/>
    </xf>
    <xf numFmtId="0" fontId="9" fillId="0" borderId="8" xfId="5" applyBorder="1" applyAlignment="1">
      <alignment horizontal="center" vertical="center"/>
    </xf>
    <xf numFmtId="0" fontId="9" fillId="0" borderId="5" xfId="5" applyBorder="1" applyAlignment="1">
      <alignment horizontal="center" vertical="center"/>
    </xf>
  </cellXfs>
  <cellStyles count="7">
    <cellStyle name="Comma" xfId="1" builtinId="3"/>
    <cellStyle name="Comma 2" xfId="6"/>
    <cellStyle name="Currency" xfId="3" builtinId="4"/>
    <cellStyle name="Normal" xfId="0" builtinId="0"/>
    <cellStyle name="Normal 2" xfId="2"/>
    <cellStyle name="Normal 3" xfId="5"/>
    <cellStyle name="Percent" xfId="4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_([$KES]\ * #,##0.00_);_([$KES]\ * \(#,##0.00\);_([$KES]\ * &quot;-&quot;??_);_(@_)"/>
    </dxf>
  </dxfs>
  <tableStyles count="0" defaultTableStyle="TableStyleMedium2" defaultPivotStyle="PivotStyleLight16"/>
  <colors>
    <mruColors>
      <color rgb="FFFFCCCC"/>
      <color rgb="FFFF66FF"/>
      <color rgb="FFFFCCFF"/>
      <color rgb="FF0099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KES 1.41</a:t>
            </a:r>
            <a:r>
              <a:rPr lang="en-US" baseline="0"/>
              <a:t> MN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Repayments'!$C$2:$C$5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Repayments'!$G$2:$G$5</c:f>
              <c:numCache>
                <c:formatCode>_([$KES]\ * #,##0.00_);_([$KES]\ * \(#,##0.00\);_([$KES]\ * "-"??_);_(@_)</c:formatCode>
                <c:ptCount val="4"/>
                <c:pt idx="0">
                  <c:v>128075</c:v>
                </c:pt>
                <c:pt idx="1">
                  <c:v>126900</c:v>
                </c:pt>
                <c:pt idx="2">
                  <c:v>125725</c:v>
                </c:pt>
                <c:pt idx="3">
                  <c:v>124550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82560"/>
        <c:axId val="126282944"/>
      </c:barChart>
      <c:catAx>
        <c:axId val="12628256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2944"/>
        <c:crosses val="autoZero"/>
        <c:auto val="1"/>
        <c:lblAlgn val="ctr"/>
        <c:lblOffset val="100"/>
        <c:noMultiLvlLbl val="0"/>
      </c:catAx>
      <c:valAx>
        <c:axId val="126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Shopping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'Shopping Decision'!$F$17:$H$17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Decision'!$F$18:$H$18</c:f>
              <c:numCache>
                <c:formatCode>_([$KES]\ * #,##0.00_);_([$KES]\ * \(#,##0.00\);_([$KES]\ 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1768"/>
        <c:axId val="127350592"/>
      </c:barChart>
      <c:catAx>
        <c:axId val="1273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0592"/>
        <c:crosses val="autoZero"/>
        <c:auto val="1"/>
        <c:lblAlgn val="ctr"/>
        <c:lblOffset val="100"/>
        <c:noMultiLvlLbl val="0"/>
      </c:catAx>
      <c:valAx>
        <c:axId val="127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Decision'!$K$17:$M$17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Decision'!$K$18:$M$18</c:f>
              <c:numCache>
                <c:formatCode>_([$KES]\ * #,##0.00_);_([$KES]\ * \(#,##0.00\);_([$KES]\ * "-"??_);_(@_)</c:formatCode>
                <c:ptCount val="3"/>
                <c:pt idx="0">
                  <c:v>89.649999999999991</c:v>
                </c:pt>
                <c:pt idx="1">
                  <c:v>107.24999999999999</c:v>
                </c:pt>
                <c:pt idx="2">
                  <c:v>132.1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2160"/>
        <c:axId val="127351376"/>
      </c:barChart>
      <c:catAx>
        <c:axId val="1273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1376"/>
        <c:crosses val="autoZero"/>
        <c:auto val="1"/>
        <c:lblAlgn val="ctr"/>
        <c:lblOffset val="100"/>
        <c:noMultiLvlLbl val="0"/>
      </c:catAx>
      <c:valAx>
        <c:axId val="1273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07552"/>
        <c:axId val="288109904"/>
      </c:scatterChart>
      <c:valAx>
        <c:axId val="2881075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9904"/>
        <c:crosses val="autoZero"/>
        <c:crossBetween val="midCat"/>
      </c:valAx>
      <c:valAx>
        <c:axId val="2881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Templates.xlsx]Car Inventory Pivot Table!PivotTable2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105200"/>
        <c:axId val="288105592"/>
      </c:barChart>
      <c:catAx>
        <c:axId val="2881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5592"/>
        <c:crosses val="autoZero"/>
        <c:auto val="1"/>
        <c:lblAlgn val="ctr"/>
        <c:lblOffset val="100"/>
        <c:noMultiLvlLbl val="0"/>
      </c:catAx>
      <c:valAx>
        <c:axId val="2881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'Pet Buying Decision'!$B$2:$C$2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'Pet Buying Decision'!$B$18:$C$18</c:f>
              <c:numCache>
                <c:formatCode>_([$KES]\ * #,##0.00_);_([$KES]\ * \(#,##0.00\);_([$KES]\ 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105984"/>
        <c:axId val="288108728"/>
      </c:barChart>
      <c:catAx>
        <c:axId val="288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8728"/>
        <c:crosses val="autoZero"/>
        <c:auto val="1"/>
        <c:lblAlgn val="ctr"/>
        <c:lblOffset val="100"/>
        <c:noMultiLvlLbl val="0"/>
      </c:catAx>
      <c:valAx>
        <c:axId val="2881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Cost/Year for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 Cost Decision Maker'!$B$1:$D$1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Cost Decision Maker'!$B$25:$D$25</c:f>
              <c:numCache>
                <c:formatCode>_([$KES]\ * #,##0.00_);_([$KES]\ * \(#,##0.00\);_([$KES]\ * "-"??_);_(@_)</c:formatCode>
                <c:ptCount val="3"/>
                <c:pt idx="0">
                  <c:v>359574.28571428574</c:v>
                </c:pt>
                <c:pt idx="1">
                  <c:v>666742.10526315786</c:v>
                </c:pt>
                <c:pt idx="2">
                  <c:v>786691.17647058819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106376"/>
        <c:axId val="288111080"/>
      </c:barChart>
      <c:catAx>
        <c:axId val="2881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11080"/>
        <c:crosses val="autoZero"/>
        <c:auto val="1"/>
        <c:lblAlgn val="ctr"/>
        <c:lblOffset val="100"/>
        <c:noMultiLvlLbl val="0"/>
      </c:catAx>
      <c:valAx>
        <c:axId val="288111080"/>
        <c:scaling>
          <c:orientation val="minMax"/>
        </c:scaling>
        <c:delete val="1"/>
        <c:axPos val="l"/>
        <c:numFmt formatCode="_([$KES]\ * #,##0.00_);_([$KES]\ * \(#,##0.00\);_([$KES]\ * &quot;-&quot;??_);_(@_)" sourceLinked="1"/>
        <c:majorTickMark val="none"/>
        <c:minorTickMark val="none"/>
        <c:tickLblPos val="nextTo"/>
        <c:crossAx val="2881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Cost/Year for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 Cost Decision Maker'!$B$1:$D$1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Cost Decision Maker'!$H$25:$J$25</c:f>
              <c:numCache>
                <c:formatCode>_([$KES]\ * #,##0.00_);_([$KES]\ * \(#,##0.00\);_([$KES]\ * "-"??_);_(@_)</c:formatCode>
                <c:ptCount val="3"/>
                <c:pt idx="0">
                  <c:v>365374.28571428574</c:v>
                </c:pt>
                <c:pt idx="1">
                  <c:v>679142.10526315786</c:v>
                </c:pt>
                <c:pt idx="2">
                  <c:v>815491.17647058819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104808"/>
        <c:axId val="288109120"/>
      </c:barChart>
      <c:catAx>
        <c:axId val="288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9120"/>
        <c:crosses val="autoZero"/>
        <c:auto val="1"/>
        <c:lblAlgn val="ctr"/>
        <c:lblOffset val="100"/>
        <c:noMultiLvlLbl val="0"/>
      </c:catAx>
      <c:valAx>
        <c:axId val="288109120"/>
        <c:scaling>
          <c:orientation val="minMax"/>
        </c:scaling>
        <c:delete val="1"/>
        <c:axPos val="l"/>
        <c:numFmt formatCode="_([$KES]\ * #,##0.00_);_([$KES]\ * \(#,##0.00\);_([$KES]\ * &quot;-&quot;??_);_(@_)" sourceLinked="1"/>
        <c:majorTickMark val="none"/>
        <c:minorTickMark val="none"/>
        <c:tickLblPos val="nextTo"/>
        <c:crossAx val="28810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'Printer Decision'!$A$18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'Printer Decision'!$B$1:$D$1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'Printer Decision'!$B$18:$D$18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8958.0909090909081</c:v>
                </c:pt>
                <c:pt idx="2">
                  <c:v>22649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626472"/>
        <c:axId val="126626088"/>
      </c:barChart>
      <c:lineChart>
        <c:grouping val="standard"/>
        <c:varyColors val="0"/>
        <c:ser>
          <c:idx val="1"/>
          <c:order val="1"/>
          <c:tx>
            <c:strRef>
              <c:f>'Printer Decision'!$A$19</c:f>
              <c:strCache>
                <c:ptCount val="1"/>
                <c:pt idx="0">
                  <c:v>Annual Cost 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'Printer Decision'!$B$1:$D$1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'Printer Decision'!$B$19:$D$19</c:f>
              <c:numCache>
                <c:formatCode>_("$"* #,##0.000_);_("$"* \(#,##0.000\);_("$"* "-"??_);_(@_)</c:formatCode>
                <c:ptCount val="3"/>
                <c:pt idx="0">
                  <c:v>0.20011599999999999</c:v>
                </c:pt>
                <c:pt idx="1">
                  <c:v>3.5832363636363634E-2</c:v>
                </c:pt>
                <c:pt idx="2">
                  <c:v>9.0595999999999996E-2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625704"/>
        <c:axId val="126625320"/>
      </c:lineChart>
      <c:valAx>
        <c:axId val="126625320"/>
        <c:scaling>
          <c:orientation val="minMax"/>
        </c:scaling>
        <c:delete val="0"/>
        <c:axPos val="r"/>
        <c:numFmt formatCode="_(&quot;$&quot;* #,##0.000_);_(&quot;$&quot;* \(#,##0.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704"/>
        <c:crosses val="max"/>
        <c:crossBetween val="between"/>
      </c:valAx>
      <c:catAx>
        <c:axId val="12662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5320"/>
        <c:crosses val="autoZero"/>
        <c:auto val="1"/>
        <c:lblAlgn val="ctr"/>
        <c:lblOffset val="100"/>
        <c:noMultiLvlLbl val="0"/>
      </c:catAx>
      <c:valAx>
        <c:axId val="1266260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6472"/>
        <c:crosses val="autoZero"/>
        <c:crossBetween val="between"/>
      </c:valAx>
      <c:catAx>
        <c:axId val="126626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626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'Printer Decision'!$A$18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Decision'!$B$1:$D$1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'Printer Decision'!$B$18:$D$18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8958.0909090909081</c:v>
                </c:pt>
                <c:pt idx="2">
                  <c:v>22649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720560"/>
        <c:axId val="126720176"/>
      </c:barChart>
      <c:lineChart>
        <c:grouping val="standard"/>
        <c:varyColors val="0"/>
        <c:ser>
          <c:idx val="1"/>
          <c:order val="1"/>
          <c:tx>
            <c:strRef>
              <c:f>'Printer Decision'!$A$19</c:f>
              <c:strCache>
                <c:ptCount val="1"/>
                <c:pt idx="0">
                  <c:v>Annual Cost 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Decision'!$B$1:$D$1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'Printer Decision'!$B$19:$D$19</c:f>
              <c:numCache>
                <c:formatCode>_("$"* #,##0.000_);_("$"* \(#,##0.000\);_("$"* "-"??_);_(@_)</c:formatCode>
                <c:ptCount val="3"/>
                <c:pt idx="0">
                  <c:v>0.20011599999999999</c:v>
                </c:pt>
                <c:pt idx="1">
                  <c:v>3.5832363636363634E-2</c:v>
                </c:pt>
                <c:pt idx="2">
                  <c:v>9.0595999999999996E-2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19792"/>
        <c:axId val="127600256"/>
      </c:lineChart>
      <c:valAx>
        <c:axId val="127600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_);_(&quot;$&quot;* \(#,##0.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9792"/>
        <c:crosses val="max"/>
        <c:crossBetween val="between"/>
      </c:valAx>
      <c:catAx>
        <c:axId val="1267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256"/>
        <c:crosses val="autoZero"/>
        <c:auto val="1"/>
        <c:lblAlgn val="ctr"/>
        <c:lblOffset val="100"/>
        <c:noMultiLvlLbl val="0"/>
      </c:catAx>
      <c:valAx>
        <c:axId val="1267201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0560"/>
        <c:crosses val="autoZero"/>
        <c:crossBetween val="between"/>
      </c:valAx>
      <c:catAx>
        <c:axId val="126720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72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Susans' Holiday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5"/>
                </a:gs>
                <a:gs pos="79000">
                  <a:srgbClr val="FFFF00"/>
                </a:gs>
                <a:gs pos="4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Decision'!$B$1:$D$1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'Holiday Decision'!$B$29:$D$29</c:f>
              <c:numCache>
                <c:formatCode>_("$"* #,##0.00_);_("$"* \(#,##0.00\);_("$"* "-"??_);_(@_)</c:formatCode>
                <c:ptCount val="3"/>
                <c:pt idx="0">
                  <c:v>1434</c:v>
                </c:pt>
                <c:pt idx="1">
                  <c:v>1553</c:v>
                </c:pt>
                <c:pt idx="2">
                  <c:v>1810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4626984"/>
        <c:axId val="124627376"/>
      </c:barChart>
      <c:catAx>
        <c:axId val="1246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7376"/>
        <c:crosses val="autoZero"/>
        <c:auto val="1"/>
        <c:lblAlgn val="ctr"/>
        <c:lblOffset val="100"/>
        <c:noMultiLvlLbl val="0"/>
      </c:catAx>
      <c:valAx>
        <c:axId val="124627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4626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Tims Holiday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54000">
                  <a:srgbClr val="FAEFCD"/>
                </a:gs>
                <a:gs pos="78000">
                  <a:schemeClr val="accent4">
                    <a:lumMod val="60000"/>
                    <a:lumOff val="40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26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Decision'!$H$1:$J$1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'Holiday Decision'!$H$29:$J$29</c:f>
              <c:numCache>
                <c:formatCode>_("$"* #,##0.00_);_("$"* \(#,##0.00\);_("$"* "-"??_);_(@_)</c:formatCode>
                <c:ptCount val="3"/>
                <c:pt idx="0">
                  <c:v>2228</c:v>
                </c:pt>
                <c:pt idx="1">
                  <c:v>2581</c:v>
                </c:pt>
                <c:pt idx="2">
                  <c:v>3620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353728"/>
        <c:axId val="127347848"/>
      </c:barChart>
      <c:catAx>
        <c:axId val="1273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7848"/>
        <c:crosses val="autoZero"/>
        <c:auto val="1"/>
        <c:lblAlgn val="ctr"/>
        <c:lblOffset val="100"/>
        <c:noMultiLvlLbl val="0"/>
      </c:catAx>
      <c:valAx>
        <c:axId val="12734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35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Practise Templates.xlsx]Crystal Car Pool Pivot!PivotTable1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'Crystal Car Pool 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'Crystal Car Pool Pivot'!$A$4:$A$8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'Crystal Car Pool Pivot'!$B$4:$B$8</c:f>
              <c:numCache>
                <c:formatCode>_([$KES]\ * #,##0.00_);_([$KES]\ * \(#,##0.00\);_([$KES]\ 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ANTONY</c:v>
                </c:pt>
                <c:pt idx="1">
                  <c:v>DENNIS</c:v>
                </c:pt>
                <c:pt idx="2">
                  <c:v>EMMANUEL</c:v>
                </c:pt>
                <c:pt idx="3">
                  <c:v>KENEDY</c:v>
                </c:pt>
                <c:pt idx="4">
                  <c:v>JAIRUS</c:v>
                </c:pt>
                <c:pt idx="5">
                  <c:v>SIMON</c:v>
                </c:pt>
                <c:pt idx="6">
                  <c:v>ALEX</c:v>
                </c:pt>
                <c:pt idx="7">
                  <c:v>EURSILAH</c:v>
                </c:pt>
                <c:pt idx="8">
                  <c:v>GODFREY</c:v>
                </c:pt>
                <c:pt idx="9">
                  <c:v>JANET</c:v>
                </c:pt>
                <c:pt idx="10">
                  <c:v>ROBERT</c:v>
                </c:pt>
                <c:pt idx="11">
                  <c:v>SAMUEL</c:v>
                </c:pt>
                <c:pt idx="12">
                  <c:v>TIMOTHY</c:v>
                </c:pt>
                <c:pt idx="13">
                  <c:v>NICODEMUS</c:v>
                </c:pt>
                <c:pt idx="14">
                  <c:v>BENNARD</c:v>
                </c:pt>
                <c:pt idx="15">
                  <c:v>DAVID</c:v>
                </c:pt>
                <c:pt idx="16">
                  <c:v>GILBERT</c:v>
                </c:pt>
                <c:pt idx="17">
                  <c:v>SAMSON</c:v>
                </c:pt>
                <c:pt idx="18">
                  <c:v>DENNIS</c:v>
                </c:pt>
                <c:pt idx="19">
                  <c:v>EDWIN</c:v>
                </c:pt>
                <c:pt idx="20">
                  <c:v>FREDRICK</c:v>
                </c:pt>
              </c:strCache>
            </c:strRef>
          </c:cat>
          <c:val>
            <c:numRef>
              <c:f>GradeBook!$C$4:$C$24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9416"/>
        <c:axId val="127346280"/>
      </c:barChart>
      <c:catAx>
        <c:axId val="1273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6280"/>
        <c:crosses val="autoZero"/>
        <c:auto val="1"/>
        <c:lblAlgn val="ctr"/>
        <c:lblOffset val="100"/>
        <c:noMultiLvlLbl val="0"/>
      </c:catAx>
      <c:valAx>
        <c:axId val="1273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PHYLOSOPHY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ANTONY</c:v>
                </c:pt>
                <c:pt idx="1">
                  <c:v>DENNIS</c:v>
                </c:pt>
                <c:pt idx="2">
                  <c:v>EMMANUEL</c:v>
                </c:pt>
                <c:pt idx="3">
                  <c:v>KENEDY</c:v>
                </c:pt>
                <c:pt idx="4">
                  <c:v>JAIRUS</c:v>
                </c:pt>
                <c:pt idx="5">
                  <c:v>SIMON</c:v>
                </c:pt>
                <c:pt idx="6">
                  <c:v>ALEX</c:v>
                </c:pt>
                <c:pt idx="7">
                  <c:v>EURSILAH</c:v>
                </c:pt>
                <c:pt idx="8">
                  <c:v>GODFREY</c:v>
                </c:pt>
                <c:pt idx="9">
                  <c:v>JANET</c:v>
                </c:pt>
                <c:pt idx="10">
                  <c:v>ROBERT</c:v>
                </c:pt>
                <c:pt idx="11">
                  <c:v>SAMUEL</c:v>
                </c:pt>
                <c:pt idx="12">
                  <c:v>TIMOTHY</c:v>
                </c:pt>
                <c:pt idx="13">
                  <c:v>NICODEMUS</c:v>
                </c:pt>
                <c:pt idx="14">
                  <c:v>BENNARD</c:v>
                </c:pt>
                <c:pt idx="15">
                  <c:v>DAVID</c:v>
                </c:pt>
                <c:pt idx="16">
                  <c:v>GILBERT</c:v>
                </c:pt>
                <c:pt idx="17">
                  <c:v>SAMSON</c:v>
                </c:pt>
                <c:pt idx="18">
                  <c:v>DENNIS</c:v>
                </c:pt>
                <c:pt idx="19">
                  <c:v>EDWIN</c:v>
                </c:pt>
                <c:pt idx="20">
                  <c:v>FREDRICK</c:v>
                </c:pt>
              </c:strCache>
            </c:strRef>
          </c:cat>
          <c:val>
            <c:numRef>
              <c:f>GradeBook!$D$4:$D$24</c:f>
              <c:numCache>
                <c:formatCode>General</c:formatCode>
                <c:ptCount val="21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3336"/>
        <c:axId val="127346672"/>
      </c:barChart>
      <c:catAx>
        <c:axId val="1273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6672"/>
        <c:crosses val="autoZero"/>
        <c:auto val="1"/>
        <c:lblAlgn val="ctr"/>
        <c:lblOffset val="100"/>
        <c:noMultiLvlLbl val="0"/>
      </c:catAx>
      <c:valAx>
        <c:axId val="127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GradeBook!$A$4:$A$24</c:f>
              <c:strCache>
                <c:ptCount val="21"/>
                <c:pt idx="0">
                  <c:v>ANTONY</c:v>
                </c:pt>
                <c:pt idx="1">
                  <c:v>DENNIS</c:v>
                </c:pt>
                <c:pt idx="2">
                  <c:v>EMMANUEL</c:v>
                </c:pt>
                <c:pt idx="3">
                  <c:v>KENEDY</c:v>
                </c:pt>
                <c:pt idx="4">
                  <c:v>JAIRUS</c:v>
                </c:pt>
                <c:pt idx="5">
                  <c:v>SIMON</c:v>
                </c:pt>
                <c:pt idx="6">
                  <c:v>ALEX</c:v>
                </c:pt>
                <c:pt idx="7">
                  <c:v>EURSILAH</c:v>
                </c:pt>
                <c:pt idx="8">
                  <c:v>GODFREY</c:v>
                </c:pt>
                <c:pt idx="9">
                  <c:v>JANET</c:v>
                </c:pt>
                <c:pt idx="10">
                  <c:v>ROBERT</c:v>
                </c:pt>
                <c:pt idx="11">
                  <c:v>SAMUEL</c:v>
                </c:pt>
                <c:pt idx="12">
                  <c:v>TIMOTHY</c:v>
                </c:pt>
                <c:pt idx="13">
                  <c:v>NICODEMUS</c:v>
                </c:pt>
                <c:pt idx="14">
                  <c:v>BENNARD</c:v>
                </c:pt>
                <c:pt idx="15">
                  <c:v>DAVID</c:v>
                </c:pt>
                <c:pt idx="16">
                  <c:v>GILBERT</c:v>
                </c:pt>
                <c:pt idx="17">
                  <c:v>SAMSON</c:v>
                </c:pt>
                <c:pt idx="18">
                  <c:v>DENNIS</c:v>
                </c:pt>
                <c:pt idx="19">
                  <c:v>EDWIN</c:v>
                </c:pt>
                <c:pt idx="20">
                  <c:v>FREDRICK</c:v>
                </c:pt>
              </c:strCache>
            </c:strRef>
          </c:cat>
          <c:val>
            <c:numRef>
              <c:f>GradeBook!$E$4:$E$24</c:f>
              <c:numCache>
                <c:formatCode>General</c:formatCode>
                <c:ptCount val="21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100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45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  <c:pt idx="17">
                  <c:v>90</c:v>
                </c:pt>
                <c:pt idx="18">
                  <c:v>88</c:v>
                </c:pt>
                <c:pt idx="19">
                  <c:v>75</c:v>
                </c:pt>
                <c:pt idx="20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49808"/>
        <c:axId val="127352552"/>
      </c:barChart>
      <c:catAx>
        <c:axId val="1273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552"/>
        <c:crosses val="autoZero"/>
        <c:auto val="1"/>
        <c:lblAlgn val="ctr"/>
        <c:lblOffset val="100"/>
        <c:noMultiLvlLbl val="0"/>
      </c:catAx>
      <c:valAx>
        <c:axId val="1273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6</xdr:row>
      <xdr:rowOff>28575</xdr:rowOff>
    </xdr:from>
    <xdr:to>
      <xdr:col>6</xdr:col>
      <xdr:colOff>223837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291352</xdr:colOff>
      <xdr:row>26</xdr:row>
      <xdr:rowOff>73958</xdr:rowOff>
    </xdr:from>
    <xdr:to>
      <xdr:col>4</xdr:col>
      <xdr:colOff>11205</xdr:colOff>
      <xdr:row>40</xdr:row>
      <xdr:rowOff>150158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291352</xdr:colOff>
      <xdr:row>26</xdr:row>
      <xdr:rowOff>73958</xdr:rowOff>
    </xdr:from>
    <xdr:to>
      <xdr:col>10</xdr:col>
      <xdr:colOff>11205</xdr:colOff>
      <xdr:row>40</xdr:row>
      <xdr:rowOff>150158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124238</xdr:colOff>
      <xdr:row>20</xdr:row>
      <xdr:rowOff>44726</xdr:rowOff>
    </xdr:from>
    <xdr:to>
      <xdr:col>4</xdr:col>
      <xdr:colOff>215347</xdr:colOff>
      <xdr:row>34</xdr:row>
      <xdr:rowOff>120926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124238</xdr:colOff>
      <xdr:row>20</xdr:row>
      <xdr:rowOff>44726</xdr:rowOff>
    </xdr:from>
    <xdr:to>
      <xdr:col>10</xdr:col>
      <xdr:colOff>215347</xdr:colOff>
      <xdr:row>34</xdr:row>
      <xdr:rowOff>120926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66675</xdr:rowOff>
    </xdr:from>
    <xdr:to>
      <xdr:col>3</xdr:col>
      <xdr:colOff>819150</xdr:colOff>
      <xdr:row>44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30</xdr:row>
      <xdr:rowOff>104775</xdr:rowOff>
    </xdr:from>
    <xdr:to>
      <xdr:col>9</xdr:col>
      <xdr:colOff>790575</xdr:colOff>
      <xdr:row>44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101202</xdr:colOff>
      <xdr:row>0</xdr:row>
      <xdr:rowOff>188119</xdr:rowOff>
    </xdr:from>
    <xdr:to>
      <xdr:col>8</xdr:col>
      <xdr:colOff>244077</xdr:colOff>
      <xdr:row>14</xdr:row>
      <xdr:rowOff>97631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441612</xdr:colOff>
      <xdr:row>1</xdr:row>
      <xdr:rowOff>48491</xdr:rowOff>
    </xdr:from>
    <xdr:to>
      <xdr:col>21</xdr:col>
      <xdr:colOff>164521</xdr:colOff>
      <xdr:row>20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441613</xdr:colOff>
      <xdr:row>20</xdr:row>
      <xdr:rowOff>100446</xdr:rowOff>
    </xdr:from>
    <xdr:to>
      <xdr:col>21</xdr:col>
      <xdr:colOff>164522</xdr:colOff>
      <xdr:row>34</xdr:row>
      <xdr:rowOff>176646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406976</xdr:colOff>
      <xdr:row>35</xdr:row>
      <xdr:rowOff>83127</xdr:rowOff>
    </xdr:from>
    <xdr:to>
      <xdr:col>21</xdr:col>
      <xdr:colOff>129885</xdr:colOff>
      <xdr:row>49</xdr:row>
      <xdr:rowOff>159327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414618</xdr:colOff>
      <xdr:row>19</xdr:row>
      <xdr:rowOff>40341</xdr:rowOff>
    </xdr:from>
    <xdr:to>
      <xdr:col>7</xdr:col>
      <xdr:colOff>862854</xdr:colOff>
      <xdr:row>33</xdr:row>
      <xdr:rowOff>116541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33618</xdr:colOff>
      <xdr:row>19</xdr:row>
      <xdr:rowOff>51548</xdr:rowOff>
    </xdr:from>
    <xdr:to>
      <xdr:col>13</xdr:col>
      <xdr:colOff>67235</xdr:colOff>
      <xdr:row>33</xdr:row>
      <xdr:rowOff>127748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3</xdr:row>
      <xdr:rowOff>95250</xdr:rowOff>
    </xdr:from>
    <xdr:to>
      <xdr:col>20</xdr:col>
      <xdr:colOff>438150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180975</xdr:rowOff>
    </xdr:from>
    <xdr:to>
      <xdr:col>12</xdr:col>
      <xdr:colOff>114300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9525</xdr:rowOff>
    </xdr:from>
    <xdr:to>
      <xdr:col>11</xdr:col>
      <xdr:colOff>76200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yroll%20Excel%20Practi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yroll%20Excel%20Practi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19.881134606483" createdVersion="5" refreshedVersion="5" minRefreshableVersion="3" recordCount="171">
  <cacheSource type="worksheet">
    <worksheetSource ref="A1:K172" sheet="Sheet1 (2)" r:id="rId2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 less than Kes 50, 20% for items more than Kes 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ntainsBlank="1" count="5">
        <s v="Barns"/>
        <s v="Hernandez"/>
        <s v="Smith"/>
        <s v="Johnson"/>
        <m u="1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021.296717013887" createdVersion="5" refreshedVersion="5" minRefreshableVersion="3" recordCount="52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8" firstHeaderRow="1" firstDataRow="1" firstDataCol="1"/>
  <pivotFields count="11">
    <pivotField showAll="0"/>
    <pivotField numFmtId="167" showAll="0"/>
    <pivotField showAll="0"/>
    <pivotField showAll="0"/>
    <pivotField numFmtId="168" showAll="0"/>
    <pivotField dataField="1" numFmtId="168" showAll="0"/>
    <pivotField numFmtId="168" showAll="0"/>
    <pivotField numFmtId="168" showAll="0"/>
    <pivotField showAll="0"/>
    <pivotField axis="axisRow" showAll="0">
      <items count="6">
        <item x="0"/>
        <item x="1"/>
        <item x="3"/>
        <item x="2"/>
        <item m="1" x="4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8"/>
  </dataFields>
  <formats count="1">
    <format dxfId="3">
      <pivotArea outline="0" collapsedLevelsAreSubtotals="1" fieldPosition="0"/>
    </format>
  </format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CrystalPools%20Sales%20Data%20Excel%20Practise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opLeftCell="X1" zoomScale="50" zoomScaleNormal="50" workbookViewId="0">
      <selection activeCell="AK7" sqref="AK7"/>
    </sheetView>
  </sheetViews>
  <sheetFormatPr defaultRowHeight="21"/>
  <cols>
    <col min="1" max="1" width="6" style="1" customWidth="1"/>
    <col min="2" max="2" width="52.140625" style="1" customWidth="1"/>
    <col min="3" max="3" width="22.28515625" style="1" customWidth="1"/>
    <col min="4" max="4" width="45.42578125" style="1" customWidth="1"/>
    <col min="5" max="5" width="14.28515625" style="1" customWidth="1"/>
    <col min="6" max="15" width="22.28515625" style="5" customWidth="1"/>
    <col min="16" max="16" width="20.85546875" style="1" customWidth="1"/>
    <col min="17" max="17" width="22.28515625" style="1" bestFit="1" customWidth="1"/>
    <col min="18" max="32" width="29.42578125" style="7" customWidth="1"/>
    <col min="33" max="33" width="30.42578125" style="1" bestFit="1" customWidth="1"/>
    <col min="34" max="34" width="13.5703125" style="8" customWidth="1"/>
    <col min="35" max="35" width="15.42578125" style="1" customWidth="1"/>
    <col min="36" max="36" width="14.85546875" style="1" bestFit="1" customWidth="1"/>
    <col min="37" max="37" width="11.28515625" style="1" bestFit="1" customWidth="1"/>
    <col min="38" max="16384" width="9.140625" style="1"/>
  </cols>
  <sheetData>
    <row r="1" spans="1:36" ht="28.5">
      <c r="B1" s="2" t="s">
        <v>0</v>
      </c>
      <c r="C1" s="3"/>
      <c r="D1" s="4"/>
      <c r="E1" s="4"/>
      <c r="P1" s="6"/>
    </row>
    <row r="2" spans="1:36" ht="30" customHeight="1">
      <c r="B2" s="2" t="s">
        <v>1</v>
      </c>
      <c r="C2" s="3"/>
      <c r="D2" s="9"/>
      <c r="E2" s="9"/>
      <c r="P2" s="6"/>
    </row>
    <row r="3" spans="1:36" ht="28.5">
      <c r="B3" s="179" t="s">
        <v>2</v>
      </c>
      <c r="C3" s="179"/>
      <c r="D3" s="179"/>
      <c r="E3" s="179"/>
      <c r="P3" s="6"/>
    </row>
    <row r="4" spans="1:36" ht="28.5">
      <c r="B4" s="10" t="s">
        <v>3</v>
      </c>
      <c r="C4" s="10"/>
      <c r="D4" s="10"/>
      <c r="E4" s="10"/>
      <c r="Q4" s="6"/>
    </row>
    <row r="5" spans="1:36">
      <c r="A5" s="11"/>
      <c r="B5" s="12" t="s">
        <v>4</v>
      </c>
      <c r="C5" s="13" t="s">
        <v>5</v>
      </c>
      <c r="D5" s="14" t="s">
        <v>6</v>
      </c>
      <c r="E5" s="14" t="s">
        <v>7</v>
      </c>
      <c r="F5" s="180" t="s">
        <v>8</v>
      </c>
      <c r="G5" s="181"/>
      <c r="H5" s="181"/>
      <c r="I5" s="181"/>
      <c r="J5" s="182"/>
      <c r="K5" s="183" t="s">
        <v>79</v>
      </c>
      <c r="L5" s="184"/>
      <c r="M5" s="184"/>
      <c r="N5" s="184"/>
      <c r="O5" s="185"/>
      <c r="P5" s="15" t="s">
        <v>9</v>
      </c>
      <c r="Q5" s="15" t="s">
        <v>10</v>
      </c>
      <c r="R5" s="186" t="s">
        <v>80</v>
      </c>
      <c r="S5" s="187"/>
      <c r="T5" s="187"/>
      <c r="U5" s="187"/>
      <c r="V5" s="188"/>
      <c r="W5" s="189" t="s">
        <v>81</v>
      </c>
      <c r="X5" s="190"/>
      <c r="Y5" s="190"/>
      <c r="Z5" s="190"/>
      <c r="AA5" s="191"/>
      <c r="AB5" s="177" t="s">
        <v>82</v>
      </c>
      <c r="AC5" s="178"/>
      <c r="AD5" s="178"/>
      <c r="AE5" s="178"/>
      <c r="AF5" s="178"/>
      <c r="AG5" s="70" t="s">
        <v>83</v>
      </c>
      <c r="AI5" s="6"/>
      <c r="AJ5" s="6"/>
    </row>
    <row r="6" spans="1:36" ht="25.5" customHeight="1">
      <c r="A6" s="11"/>
      <c r="B6" s="16" t="s">
        <v>11</v>
      </c>
      <c r="C6" s="17"/>
      <c r="D6" s="18"/>
      <c r="E6" s="18"/>
      <c r="F6" s="57">
        <v>45013</v>
      </c>
      <c r="G6" s="57">
        <v>45014</v>
      </c>
      <c r="H6" s="57">
        <v>45015</v>
      </c>
      <c r="I6" s="57">
        <v>45016</v>
      </c>
      <c r="J6" s="57">
        <v>45017</v>
      </c>
      <c r="K6" s="62">
        <v>45013</v>
      </c>
      <c r="L6" s="62">
        <v>45014</v>
      </c>
      <c r="M6" s="62">
        <v>45015</v>
      </c>
      <c r="N6" s="62">
        <v>45016</v>
      </c>
      <c r="O6" s="62">
        <v>45017</v>
      </c>
      <c r="P6" s="19"/>
      <c r="Q6" s="19"/>
      <c r="R6" s="57">
        <v>45013</v>
      </c>
      <c r="S6" s="57">
        <v>45014</v>
      </c>
      <c r="T6" s="57">
        <v>45015</v>
      </c>
      <c r="U6" s="57">
        <v>45016</v>
      </c>
      <c r="V6" s="57">
        <v>45017</v>
      </c>
      <c r="W6" s="65">
        <v>45013</v>
      </c>
      <c r="X6" s="65">
        <v>45014</v>
      </c>
      <c r="Y6" s="65">
        <v>45015</v>
      </c>
      <c r="Z6" s="65">
        <v>45016</v>
      </c>
      <c r="AA6" s="65">
        <v>45017</v>
      </c>
      <c r="AB6" s="56">
        <v>45013</v>
      </c>
      <c r="AC6" s="56">
        <v>45014</v>
      </c>
      <c r="AD6" s="56">
        <v>45015</v>
      </c>
      <c r="AE6" s="56">
        <v>45016</v>
      </c>
      <c r="AF6" s="68">
        <v>45017</v>
      </c>
      <c r="AG6" s="70"/>
      <c r="AI6" s="6"/>
    </row>
    <row r="7" spans="1:36" ht="25.5" customHeight="1">
      <c r="A7" s="20">
        <v>1</v>
      </c>
      <c r="B7" s="23" t="s">
        <v>12</v>
      </c>
      <c r="C7" s="49">
        <v>28209282</v>
      </c>
      <c r="D7" s="21" t="s">
        <v>13</v>
      </c>
      <c r="E7" s="21" t="s">
        <v>14</v>
      </c>
      <c r="F7" s="58">
        <v>10.5</v>
      </c>
      <c r="G7" s="58">
        <v>14</v>
      </c>
      <c r="H7" s="58">
        <v>9</v>
      </c>
      <c r="I7" s="58">
        <v>14</v>
      </c>
      <c r="J7" s="58">
        <v>9</v>
      </c>
      <c r="K7" s="63">
        <f>IF(F7&gt;8,F7-8,0)</f>
        <v>2.5</v>
      </c>
      <c r="L7" s="63">
        <f t="shared" ref="L7:O7" si="0">IF(G7&gt;8,G7-8,0)</f>
        <v>6</v>
      </c>
      <c r="M7" s="63">
        <f t="shared" si="0"/>
        <v>1</v>
      </c>
      <c r="N7" s="63">
        <f t="shared" si="0"/>
        <v>6</v>
      </c>
      <c r="O7" s="63">
        <f t="shared" si="0"/>
        <v>1</v>
      </c>
      <c r="P7" s="42">
        <v>86.53</v>
      </c>
      <c r="Q7" s="38">
        <f>P7*8</f>
        <v>692.24</v>
      </c>
      <c r="R7" s="64">
        <f>$P7*F7</f>
        <v>908.56500000000005</v>
      </c>
      <c r="S7" s="64">
        <f t="shared" ref="S7:V22" si="1">$P7*G7</f>
        <v>1211.42</v>
      </c>
      <c r="T7" s="64">
        <f t="shared" si="1"/>
        <v>778.77</v>
      </c>
      <c r="U7" s="64">
        <f t="shared" si="1"/>
        <v>1211.42</v>
      </c>
      <c r="V7" s="64">
        <f t="shared" si="1"/>
        <v>778.77</v>
      </c>
      <c r="W7" s="66">
        <f>0.5*$P7*K7</f>
        <v>108.16249999999999</v>
      </c>
      <c r="X7" s="66">
        <f t="shared" ref="X7:AA22" si="2">0.5*$P7*L7</f>
        <v>259.59000000000003</v>
      </c>
      <c r="Y7" s="66">
        <f t="shared" si="2"/>
        <v>43.265000000000001</v>
      </c>
      <c r="Z7" s="66">
        <f t="shared" si="2"/>
        <v>259.59000000000003</v>
      </c>
      <c r="AA7" s="66">
        <f t="shared" si="2"/>
        <v>43.265000000000001</v>
      </c>
      <c r="AB7" s="67">
        <f>R7+W7</f>
        <v>1016.7275000000001</v>
      </c>
      <c r="AC7" s="67">
        <f t="shared" ref="AC7:AF22" si="3">S7+X7</f>
        <v>1471.0100000000002</v>
      </c>
      <c r="AD7" s="67">
        <f t="shared" si="3"/>
        <v>822.03499999999997</v>
      </c>
      <c r="AE7" s="67">
        <f t="shared" si="3"/>
        <v>1471.0100000000002</v>
      </c>
      <c r="AF7" s="69">
        <f t="shared" si="3"/>
        <v>822.03499999999997</v>
      </c>
      <c r="AG7" s="71">
        <f>SUM(AB7:AF7)</f>
        <v>5602.8175000000001</v>
      </c>
      <c r="AI7" s="6"/>
    </row>
    <row r="8" spans="1:36" ht="25.5" customHeight="1">
      <c r="A8" s="20">
        <v>2</v>
      </c>
      <c r="B8" s="23" t="s">
        <v>15</v>
      </c>
      <c r="C8" s="49">
        <v>11095238</v>
      </c>
      <c r="D8" s="21" t="s">
        <v>16</v>
      </c>
      <c r="E8" s="21" t="s">
        <v>17</v>
      </c>
      <c r="F8" s="58">
        <v>9.5</v>
      </c>
      <c r="G8" s="58">
        <v>13</v>
      </c>
      <c r="H8" s="58">
        <v>9.5</v>
      </c>
      <c r="I8" s="58">
        <v>13</v>
      </c>
      <c r="J8" s="58">
        <v>9.5</v>
      </c>
      <c r="K8" s="63">
        <f t="shared" ref="K8:O46" si="4">IF(F8&gt;8,F8-8,0)</f>
        <v>1.5</v>
      </c>
      <c r="L8" s="63">
        <f t="shared" si="4"/>
        <v>5</v>
      </c>
      <c r="M8" s="63">
        <f t="shared" si="4"/>
        <v>1.5</v>
      </c>
      <c r="N8" s="63">
        <f t="shared" si="4"/>
        <v>5</v>
      </c>
      <c r="O8" s="63">
        <f t="shared" si="4"/>
        <v>1.5</v>
      </c>
      <c r="P8" s="43">
        <v>75</v>
      </c>
      <c r="Q8" s="38">
        <v>600</v>
      </c>
      <c r="R8" s="64">
        <f>$P8*F8</f>
        <v>712.5</v>
      </c>
      <c r="S8" s="64">
        <f t="shared" si="1"/>
        <v>975</v>
      </c>
      <c r="T8" s="64">
        <f t="shared" si="1"/>
        <v>712.5</v>
      </c>
      <c r="U8" s="64">
        <f t="shared" si="1"/>
        <v>975</v>
      </c>
      <c r="V8" s="64">
        <f t="shared" si="1"/>
        <v>712.5</v>
      </c>
      <c r="W8" s="66">
        <f>0.5*$P8*K8</f>
        <v>56.25</v>
      </c>
      <c r="X8" s="66">
        <f t="shared" si="2"/>
        <v>187.5</v>
      </c>
      <c r="Y8" s="66">
        <f t="shared" si="2"/>
        <v>56.25</v>
      </c>
      <c r="Z8" s="66">
        <f t="shared" si="2"/>
        <v>187.5</v>
      </c>
      <c r="AA8" s="66">
        <f t="shared" si="2"/>
        <v>56.25</v>
      </c>
      <c r="AB8" s="67">
        <f t="shared" ref="AB8:AB46" si="5">R8+W8</f>
        <v>768.75</v>
      </c>
      <c r="AC8" s="67">
        <f t="shared" si="3"/>
        <v>1162.5</v>
      </c>
      <c r="AD8" s="67">
        <f t="shared" si="3"/>
        <v>768.75</v>
      </c>
      <c r="AE8" s="67">
        <f t="shared" si="3"/>
        <v>1162.5</v>
      </c>
      <c r="AF8" s="69">
        <f t="shared" si="3"/>
        <v>768.75</v>
      </c>
      <c r="AG8" s="71">
        <f t="shared" ref="AG8:AG46" si="6">SUM(AB8:AF8)</f>
        <v>4631.25</v>
      </c>
      <c r="AI8" s="6"/>
    </row>
    <row r="9" spans="1:36" ht="25.5" customHeight="1">
      <c r="A9" s="20">
        <v>3</v>
      </c>
      <c r="B9" s="23" t="s">
        <v>18</v>
      </c>
      <c r="C9" s="49">
        <v>28166210</v>
      </c>
      <c r="D9" s="21" t="s">
        <v>16</v>
      </c>
      <c r="E9" s="21" t="s">
        <v>14</v>
      </c>
      <c r="F9" s="58">
        <v>14</v>
      </c>
      <c r="G9" s="58">
        <v>14</v>
      </c>
      <c r="H9" s="58">
        <v>9.5</v>
      </c>
      <c r="I9" s="58">
        <v>14</v>
      </c>
      <c r="J9" s="58">
        <v>9.5</v>
      </c>
      <c r="K9" s="63">
        <f t="shared" si="4"/>
        <v>6</v>
      </c>
      <c r="L9" s="63">
        <f t="shared" si="4"/>
        <v>6</v>
      </c>
      <c r="M9" s="63">
        <f t="shared" si="4"/>
        <v>1.5</v>
      </c>
      <c r="N9" s="63">
        <f t="shared" si="4"/>
        <v>6</v>
      </c>
      <c r="O9" s="63">
        <f t="shared" si="4"/>
        <v>1.5</v>
      </c>
      <c r="P9" s="43">
        <v>75</v>
      </c>
      <c r="Q9" s="38">
        <v>600</v>
      </c>
      <c r="R9" s="64">
        <f t="shared" ref="R9:R46" si="7">$P9*F9</f>
        <v>1050</v>
      </c>
      <c r="S9" s="64">
        <f t="shared" si="1"/>
        <v>1050</v>
      </c>
      <c r="T9" s="64">
        <f t="shared" si="1"/>
        <v>712.5</v>
      </c>
      <c r="U9" s="64">
        <f t="shared" si="1"/>
        <v>1050</v>
      </c>
      <c r="V9" s="64">
        <f t="shared" si="1"/>
        <v>712.5</v>
      </c>
      <c r="W9" s="66">
        <f t="shared" ref="W9:W46" si="8">0.5*$P9*K9</f>
        <v>225</v>
      </c>
      <c r="X9" s="66">
        <f t="shared" si="2"/>
        <v>225</v>
      </c>
      <c r="Y9" s="66">
        <f t="shared" si="2"/>
        <v>56.25</v>
      </c>
      <c r="Z9" s="66">
        <f t="shared" si="2"/>
        <v>225</v>
      </c>
      <c r="AA9" s="66">
        <f t="shared" si="2"/>
        <v>56.25</v>
      </c>
      <c r="AB9" s="67">
        <f t="shared" si="5"/>
        <v>1275</v>
      </c>
      <c r="AC9" s="67">
        <f t="shared" si="3"/>
        <v>1275</v>
      </c>
      <c r="AD9" s="67">
        <f t="shared" si="3"/>
        <v>768.75</v>
      </c>
      <c r="AE9" s="67">
        <f t="shared" si="3"/>
        <v>1275</v>
      </c>
      <c r="AF9" s="69">
        <f t="shared" si="3"/>
        <v>768.75</v>
      </c>
      <c r="AG9" s="71">
        <f t="shared" si="6"/>
        <v>5362.5</v>
      </c>
      <c r="AI9" s="6"/>
    </row>
    <row r="10" spans="1:36" ht="25.5" customHeight="1">
      <c r="A10" s="20">
        <v>4</v>
      </c>
      <c r="B10" s="23" t="s">
        <v>19</v>
      </c>
      <c r="C10" s="49">
        <v>34035418</v>
      </c>
      <c r="D10" s="21" t="s">
        <v>16</v>
      </c>
      <c r="E10" s="21" t="s">
        <v>17</v>
      </c>
      <c r="F10" s="58">
        <v>9.5</v>
      </c>
      <c r="G10" s="58">
        <v>9.5</v>
      </c>
      <c r="H10" s="58">
        <v>14</v>
      </c>
      <c r="I10" s="58">
        <v>9.5</v>
      </c>
      <c r="J10" s="58">
        <v>14</v>
      </c>
      <c r="K10" s="63">
        <f t="shared" si="4"/>
        <v>1.5</v>
      </c>
      <c r="L10" s="63">
        <f t="shared" si="4"/>
        <v>1.5</v>
      </c>
      <c r="M10" s="63">
        <f t="shared" si="4"/>
        <v>6</v>
      </c>
      <c r="N10" s="63">
        <f t="shared" si="4"/>
        <v>1.5</v>
      </c>
      <c r="O10" s="63">
        <f t="shared" si="4"/>
        <v>6</v>
      </c>
      <c r="P10" s="43">
        <v>75</v>
      </c>
      <c r="Q10" s="38">
        <v>600</v>
      </c>
      <c r="R10" s="64">
        <f t="shared" si="7"/>
        <v>712.5</v>
      </c>
      <c r="S10" s="64">
        <f t="shared" si="1"/>
        <v>712.5</v>
      </c>
      <c r="T10" s="64">
        <f t="shared" si="1"/>
        <v>1050</v>
      </c>
      <c r="U10" s="64">
        <f t="shared" si="1"/>
        <v>712.5</v>
      </c>
      <c r="V10" s="64">
        <f t="shared" si="1"/>
        <v>1050</v>
      </c>
      <c r="W10" s="66">
        <f t="shared" si="8"/>
        <v>56.25</v>
      </c>
      <c r="X10" s="66">
        <f t="shared" si="2"/>
        <v>56.25</v>
      </c>
      <c r="Y10" s="66">
        <f t="shared" si="2"/>
        <v>225</v>
      </c>
      <c r="Z10" s="66">
        <f t="shared" si="2"/>
        <v>56.25</v>
      </c>
      <c r="AA10" s="66">
        <f t="shared" si="2"/>
        <v>225</v>
      </c>
      <c r="AB10" s="67">
        <f t="shared" si="5"/>
        <v>768.75</v>
      </c>
      <c r="AC10" s="67">
        <f t="shared" si="3"/>
        <v>768.75</v>
      </c>
      <c r="AD10" s="67">
        <f t="shared" si="3"/>
        <v>1275</v>
      </c>
      <c r="AE10" s="67">
        <f t="shared" si="3"/>
        <v>768.75</v>
      </c>
      <c r="AF10" s="69">
        <f t="shared" si="3"/>
        <v>1275</v>
      </c>
      <c r="AG10" s="71">
        <f t="shared" si="6"/>
        <v>4856.25</v>
      </c>
      <c r="AI10" s="6"/>
    </row>
    <row r="11" spans="1:36" ht="25.5" customHeight="1">
      <c r="A11" s="20">
        <v>5</v>
      </c>
      <c r="B11" s="23" t="s">
        <v>20</v>
      </c>
      <c r="C11" s="49">
        <v>28878369</v>
      </c>
      <c r="D11" s="21" t="s">
        <v>16</v>
      </c>
      <c r="E11" s="21" t="s">
        <v>14</v>
      </c>
      <c r="F11" s="58">
        <v>14</v>
      </c>
      <c r="G11" s="58">
        <v>9</v>
      </c>
      <c r="H11" s="58">
        <v>14</v>
      </c>
      <c r="I11" s="58">
        <v>9</v>
      </c>
      <c r="J11" s="58">
        <v>14</v>
      </c>
      <c r="K11" s="63">
        <f t="shared" si="4"/>
        <v>6</v>
      </c>
      <c r="L11" s="63">
        <f t="shared" si="4"/>
        <v>1</v>
      </c>
      <c r="M11" s="63">
        <f t="shared" si="4"/>
        <v>6</v>
      </c>
      <c r="N11" s="63">
        <f t="shared" si="4"/>
        <v>1</v>
      </c>
      <c r="O11" s="63">
        <f t="shared" si="4"/>
        <v>6</v>
      </c>
      <c r="P11" s="42">
        <v>75</v>
      </c>
      <c r="Q11" s="38">
        <f t="shared" ref="Q11" si="9">P11*8</f>
        <v>600</v>
      </c>
      <c r="R11" s="64">
        <f t="shared" si="7"/>
        <v>1050</v>
      </c>
      <c r="S11" s="64">
        <f t="shared" si="1"/>
        <v>675</v>
      </c>
      <c r="T11" s="64">
        <f t="shared" si="1"/>
        <v>1050</v>
      </c>
      <c r="U11" s="64">
        <f t="shared" si="1"/>
        <v>675</v>
      </c>
      <c r="V11" s="64">
        <f t="shared" si="1"/>
        <v>1050</v>
      </c>
      <c r="W11" s="66">
        <f t="shared" si="8"/>
        <v>225</v>
      </c>
      <c r="X11" s="66">
        <f t="shared" si="2"/>
        <v>37.5</v>
      </c>
      <c r="Y11" s="66">
        <f t="shared" si="2"/>
        <v>225</v>
      </c>
      <c r="Z11" s="66">
        <f t="shared" si="2"/>
        <v>37.5</v>
      </c>
      <c r="AA11" s="66">
        <f t="shared" si="2"/>
        <v>225</v>
      </c>
      <c r="AB11" s="67">
        <f t="shared" si="5"/>
        <v>1275</v>
      </c>
      <c r="AC11" s="67">
        <f t="shared" si="3"/>
        <v>712.5</v>
      </c>
      <c r="AD11" s="67">
        <f t="shared" si="3"/>
        <v>1275</v>
      </c>
      <c r="AE11" s="67">
        <f t="shared" si="3"/>
        <v>712.5</v>
      </c>
      <c r="AF11" s="69">
        <f t="shared" si="3"/>
        <v>1275</v>
      </c>
      <c r="AG11" s="71">
        <f t="shared" si="6"/>
        <v>5250</v>
      </c>
      <c r="AI11" s="6"/>
    </row>
    <row r="12" spans="1:36" ht="25.5" customHeight="1">
      <c r="A12" s="20">
        <v>6</v>
      </c>
      <c r="B12" s="23" t="s">
        <v>21</v>
      </c>
      <c r="C12" s="49">
        <v>21805450</v>
      </c>
      <c r="D12" s="21" t="s">
        <v>22</v>
      </c>
      <c r="E12" s="21" t="s">
        <v>17</v>
      </c>
      <c r="F12" s="58">
        <v>9</v>
      </c>
      <c r="G12" s="58">
        <v>10</v>
      </c>
      <c r="H12" s="58">
        <v>15</v>
      </c>
      <c r="I12" s="58">
        <v>15</v>
      </c>
      <c r="J12" s="58">
        <v>15</v>
      </c>
      <c r="K12" s="63">
        <f t="shared" si="4"/>
        <v>1</v>
      </c>
      <c r="L12" s="63">
        <f t="shared" si="4"/>
        <v>2</v>
      </c>
      <c r="M12" s="63">
        <f t="shared" si="4"/>
        <v>7</v>
      </c>
      <c r="N12" s="63">
        <f t="shared" si="4"/>
        <v>7</v>
      </c>
      <c r="O12" s="63">
        <f t="shared" si="4"/>
        <v>7</v>
      </c>
      <c r="P12" s="42">
        <v>114.9</v>
      </c>
      <c r="Q12" s="38">
        <v>919.22</v>
      </c>
      <c r="R12" s="64">
        <f t="shared" si="7"/>
        <v>1034.1000000000001</v>
      </c>
      <c r="S12" s="64">
        <f t="shared" si="1"/>
        <v>1149</v>
      </c>
      <c r="T12" s="64">
        <f t="shared" si="1"/>
        <v>1723.5</v>
      </c>
      <c r="U12" s="64">
        <f t="shared" si="1"/>
        <v>1723.5</v>
      </c>
      <c r="V12" s="64">
        <f t="shared" si="1"/>
        <v>1723.5</v>
      </c>
      <c r="W12" s="66">
        <f t="shared" si="8"/>
        <v>57.45</v>
      </c>
      <c r="X12" s="66">
        <f t="shared" si="2"/>
        <v>114.9</v>
      </c>
      <c r="Y12" s="66">
        <f t="shared" si="2"/>
        <v>402.15000000000003</v>
      </c>
      <c r="Z12" s="66">
        <f t="shared" si="2"/>
        <v>402.15000000000003</v>
      </c>
      <c r="AA12" s="66">
        <f t="shared" si="2"/>
        <v>402.15000000000003</v>
      </c>
      <c r="AB12" s="67">
        <f t="shared" si="5"/>
        <v>1091.5500000000002</v>
      </c>
      <c r="AC12" s="67">
        <f t="shared" si="3"/>
        <v>1263.9000000000001</v>
      </c>
      <c r="AD12" s="67">
        <f t="shared" si="3"/>
        <v>2125.65</v>
      </c>
      <c r="AE12" s="67">
        <f t="shared" si="3"/>
        <v>2125.65</v>
      </c>
      <c r="AF12" s="69">
        <f t="shared" si="3"/>
        <v>2125.65</v>
      </c>
      <c r="AG12" s="71">
        <f t="shared" si="6"/>
        <v>8732.4</v>
      </c>
      <c r="AH12" s="8" t="s">
        <v>70</v>
      </c>
      <c r="AI12" s="6"/>
    </row>
    <row r="13" spans="1:36">
      <c r="A13" s="11">
        <v>1</v>
      </c>
      <c r="B13" s="30" t="s">
        <v>23</v>
      </c>
      <c r="C13" s="50">
        <v>23994442</v>
      </c>
      <c r="D13" s="51" t="s">
        <v>24</v>
      </c>
      <c r="E13" s="52" t="s">
        <v>14</v>
      </c>
      <c r="F13" s="58">
        <v>13</v>
      </c>
      <c r="G13" s="59">
        <v>9</v>
      </c>
      <c r="H13" s="59">
        <v>9</v>
      </c>
      <c r="I13" s="58">
        <v>9</v>
      </c>
      <c r="J13" s="58">
        <v>9</v>
      </c>
      <c r="K13" s="63">
        <f t="shared" si="4"/>
        <v>5</v>
      </c>
      <c r="L13" s="63">
        <f t="shared" si="4"/>
        <v>1</v>
      </c>
      <c r="M13" s="63">
        <f t="shared" si="4"/>
        <v>1</v>
      </c>
      <c r="N13" s="63">
        <f t="shared" si="4"/>
        <v>1</v>
      </c>
      <c r="O13" s="63">
        <f t="shared" si="4"/>
        <v>1</v>
      </c>
      <c r="P13" s="43">
        <v>98.86</v>
      </c>
      <c r="Q13" s="43">
        <f t="shared" ref="Q13:Q14" si="10">+P13*8</f>
        <v>790.88</v>
      </c>
      <c r="R13" s="64">
        <f t="shared" si="7"/>
        <v>1285.18</v>
      </c>
      <c r="S13" s="64">
        <f t="shared" si="1"/>
        <v>889.74</v>
      </c>
      <c r="T13" s="64">
        <f t="shared" si="1"/>
        <v>889.74</v>
      </c>
      <c r="U13" s="64">
        <f t="shared" si="1"/>
        <v>889.74</v>
      </c>
      <c r="V13" s="64">
        <f t="shared" si="1"/>
        <v>889.74</v>
      </c>
      <c r="W13" s="66">
        <f t="shared" si="8"/>
        <v>247.15</v>
      </c>
      <c r="X13" s="66">
        <f t="shared" si="2"/>
        <v>49.43</v>
      </c>
      <c r="Y13" s="66">
        <f t="shared" si="2"/>
        <v>49.43</v>
      </c>
      <c r="Z13" s="66">
        <f t="shared" si="2"/>
        <v>49.43</v>
      </c>
      <c r="AA13" s="66">
        <f t="shared" si="2"/>
        <v>49.43</v>
      </c>
      <c r="AB13" s="67">
        <f t="shared" si="5"/>
        <v>1532.3300000000002</v>
      </c>
      <c r="AC13" s="67">
        <f t="shared" si="3"/>
        <v>939.17</v>
      </c>
      <c r="AD13" s="67">
        <f t="shared" si="3"/>
        <v>939.17</v>
      </c>
      <c r="AE13" s="67">
        <f t="shared" si="3"/>
        <v>939.17</v>
      </c>
      <c r="AF13" s="69">
        <f t="shared" si="3"/>
        <v>939.17</v>
      </c>
      <c r="AG13" s="71">
        <f t="shared" si="6"/>
        <v>5289.01</v>
      </c>
    </row>
    <row r="14" spans="1:36" ht="22.5" customHeight="1">
      <c r="A14" s="11">
        <v>2</v>
      </c>
      <c r="B14" s="30" t="s">
        <v>25</v>
      </c>
      <c r="C14" s="50">
        <v>24263048</v>
      </c>
      <c r="D14" s="21" t="s">
        <v>26</v>
      </c>
      <c r="E14" s="25" t="s">
        <v>17</v>
      </c>
      <c r="F14" s="59">
        <v>8</v>
      </c>
      <c r="G14" s="58">
        <v>8</v>
      </c>
      <c r="H14" s="58">
        <v>10</v>
      </c>
      <c r="I14" s="59">
        <v>8</v>
      </c>
      <c r="J14" s="59">
        <v>10</v>
      </c>
      <c r="K14" s="63">
        <f t="shared" si="4"/>
        <v>0</v>
      </c>
      <c r="L14" s="63">
        <f t="shared" si="4"/>
        <v>0</v>
      </c>
      <c r="M14" s="63">
        <f t="shared" si="4"/>
        <v>2</v>
      </c>
      <c r="N14" s="63">
        <f t="shared" si="4"/>
        <v>0</v>
      </c>
      <c r="O14" s="63">
        <f t="shared" si="4"/>
        <v>2</v>
      </c>
      <c r="P14" s="43">
        <v>75</v>
      </c>
      <c r="Q14" s="43">
        <f t="shared" si="10"/>
        <v>600</v>
      </c>
      <c r="R14" s="64">
        <f t="shared" si="7"/>
        <v>600</v>
      </c>
      <c r="S14" s="64">
        <f t="shared" si="1"/>
        <v>600</v>
      </c>
      <c r="T14" s="64">
        <f t="shared" si="1"/>
        <v>750</v>
      </c>
      <c r="U14" s="64">
        <f t="shared" si="1"/>
        <v>600</v>
      </c>
      <c r="V14" s="64">
        <f t="shared" si="1"/>
        <v>750</v>
      </c>
      <c r="W14" s="66">
        <f t="shared" si="8"/>
        <v>0</v>
      </c>
      <c r="X14" s="66">
        <f t="shared" si="2"/>
        <v>0</v>
      </c>
      <c r="Y14" s="66">
        <f t="shared" si="2"/>
        <v>75</v>
      </c>
      <c r="Z14" s="66">
        <f t="shared" si="2"/>
        <v>0</v>
      </c>
      <c r="AA14" s="66">
        <f t="shared" si="2"/>
        <v>75</v>
      </c>
      <c r="AB14" s="67">
        <f t="shared" si="5"/>
        <v>600</v>
      </c>
      <c r="AC14" s="67">
        <f t="shared" si="3"/>
        <v>600</v>
      </c>
      <c r="AD14" s="67">
        <f t="shared" si="3"/>
        <v>825</v>
      </c>
      <c r="AE14" s="67">
        <f t="shared" si="3"/>
        <v>600</v>
      </c>
      <c r="AF14" s="69">
        <f t="shared" si="3"/>
        <v>825</v>
      </c>
      <c r="AG14" s="71">
        <f t="shared" si="6"/>
        <v>3450</v>
      </c>
      <c r="AI14" s="6"/>
      <c r="AJ14" s="6"/>
    </row>
    <row r="15" spans="1:36">
      <c r="A15" s="11">
        <v>3</v>
      </c>
      <c r="B15" s="30" t="s">
        <v>27</v>
      </c>
      <c r="C15" s="50">
        <v>22734348</v>
      </c>
      <c r="D15" s="21" t="s">
        <v>16</v>
      </c>
      <c r="E15" s="25" t="s">
        <v>17</v>
      </c>
      <c r="F15" s="58">
        <v>9</v>
      </c>
      <c r="G15" s="58">
        <v>17</v>
      </c>
      <c r="H15" s="58">
        <v>8</v>
      </c>
      <c r="I15" s="58">
        <v>17</v>
      </c>
      <c r="J15" s="58">
        <v>8</v>
      </c>
      <c r="K15" s="63">
        <f t="shared" si="4"/>
        <v>1</v>
      </c>
      <c r="L15" s="63">
        <f t="shared" si="4"/>
        <v>9</v>
      </c>
      <c r="M15" s="63">
        <f t="shared" si="4"/>
        <v>0</v>
      </c>
      <c r="N15" s="63">
        <f t="shared" si="4"/>
        <v>9</v>
      </c>
      <c r="O15" s="63">
        <f t="shared" si="4"/>
        <v>0</v>
      </c>
      <c r="P15" s="43">
        <v>75</v>
      </c>
      <c r="Q15" s="43">
        <v>600</v>
      </c>
      <c r="R15" s="64">
        <f t="shared" si="7"/>
        <v>675</v>
      </c>
      <c r="S15" s="64">
        <f t="shared" si="1"/>
        <v>1275</v>
      </c>
      <c r="T15" s="64">
        <f t="shared" si="1"/>
        <v>600</v>
      </c>
      <c r="U15" s="64">
        <f t="shared" si="1"/>
        <v>1275</v>
      </c>
      <c r="V15" s="64">
        <f t="shared" si="1"/>
        <v>600</v>
      </c>
      <c r="W15" s="66">
        <f t="shared" si="8"/>
        <v>37.5</v>
      </c>
      <c r="X15" s="66">
        <f t="shared" si="2"/>
        <v>337.5</v>
      </c>
      <c r="Y15" s="66">
        <f t="shared" si="2"/>
        <v>0</v>
      </c>
      <c r="Z15" s="66">
        <f t="shared" si="2"/>
        <v>337.5</v>
      </c>
      <c r="AA15" s="66">
        <f t="shared" si="2"/>
        <v>0</v>
      </c>
      <c r="AB15" s="67">
        <f t="shared" si="5"/>
        <v>712.5</v>
      </c>
      <c r="AC15" s="67">
        <f t="shared" si="3"/>
        <v>1612.5</v>
      </c>
      <c r="AD15" s="67">
        <f t="shared" si="3"/>
        <v>600</v>
      </c>
      <c r="AE15" s="67">
        <f t="shared" si="3"/>
        <v>1612.5</v>
      </c>
      <c r="AF15" s="69">
        <f t="shared" si="3"/>
        <v>600</v>
      </c>
      <c r="AG15" s="71">
        <f t="shared" si="6"/>
        <v>5137.5</v>
      </c>
      <c r="AI15" s="6"/>
      <c r="AJ15" s="6"/>
    </row>
    <row r="16" spans="1:36">
      <c r="A16" s="11">
        <v>4</v>
      </c>
      <c r="B16" s="30" t="s">
        <v>28</v>
      </c>
      <c r="C16" s="50">
        <v>23562463</v>
      </c>
      <c r="D16" s="51" t="s">
        <v>29</v>
      </c>
      <c r="E16" s="52" t="s">
        <v>17</v>
      </c>
      <c r="F16" s="58">
        <v>9</v>
      </c>
      <c r="G16" s="58">
        <v>11</v>
      </c>
      <c r="H16" s="58">
        <v>13</v>
      </c>
      <c r="I16" s="58">
        <v>11</v>
      </c>
      <c r="J16" s="58">
        <v>13</v>
      </c>
      <c r="K16" s="63">
        <f t="shared" si="4"/>
        <v>1</v>
      </c>
      <c r="L16" s="63">
        <f t="shared" si="4"/>
        <v>3</v>
      </c>
      <c r="M16" s="63">
        <f t="shared" si="4"/>
        <v>5</v>
      </c>
      <c r="N16" s="63">
        <f t="shared" si="4"/>
        <v>3</v>
      </c>
      <c r="O16" s="63">
        <f t="shared" si="4"/>
        <v>5</v>
      </c>
      <c r="P16" s="43">
        <v>114.9</v>
      </c>
      <c r="Q16" s="38">
        <f>P16*8</f>
        <v>919.2</v>
      </c>
      <c r="R16" s="64">
        <f t="shared" si="7"/>
        <v>1034.1000000000001</v>
      </c>
      <c r="S16" s="64">
        <f t="shared" si="1"/>
        <v>1263.9000000000001</v>
      </c>
      <c r="T16" s="64">
        <f t="shared" si="1"/>
        <v>1493.7</v>
      </c>
      <c r="U16" s="64">
        <f t="shared" si="1"/>
        <v>1263.9000000000001</v>
      </c>
      <c r="V16" s="64">
        <f t="shared" si="1"/>
        <v>1493.7</v>
      </c>
      <c r="W16" s="66">
        <f t="shared" si="8"/>
        <v>57.45</v>
      </c>
      <c r="X16" s="66">
        <f t="shared" si="2"/>
        <v>172.35000000000002</v>
      </c>
      <c r="Y16" s="66">
        <f t="shared" si="2"/>
        <v>287.25</v>
      </c>
      <c r="Z16" s="66">
        <f t="shared" si="2"/>
        <v>172.35000000000002</v>
      </c>
      <c r="AA16" s="66">
        <f t="shared" si="2"/>
        <v>287.25</v>
      </c>
      <c r="AB16" s="67">
        <f t="shared" si="5"/>
        <v>1091.5500000000002</v>
      </c>
      <c r="AC16" s="67">
        <f t="shared" si="3"/>
        <v>1436.25</v>
      </c>
      <c r="AD16" s="67">
        <f t="shared" si="3"/>
        <v>1780.95</v>
      </c>
      <c r="AE16" s="67">
        <f t="shared" si="3"/>
        <v>1436.25</v>
      </c>
      <c r="AF16" s="69">
        <f t="shared" si="3"/>
        <v>1780.95</v>
      </c>
      <c r="AG16" s="71">
        <f t="shared" si="6"/>
        <v>7525.95</v>
      </c>
    </row>
    <row r="17" spans="1:36">
      <c r="A17" s="11">
        <v>5</v>
      </c>
      <c r="B17" s="30" t="s">
        <v>30</v>
      </c>
      <c r="C17" s="50">
        <v>32277336</v>
      </c>
      <c r="D17" s="21" t="s">
        <v>24</v>
      </c>
      <c r="E17" s="25" t="s">
        <v>17</v>
      </c>
      <c r="F17" s="58">
        <v>11</v>
      </c>
      <c r="G17" s="58">
        <v>8</v>
      </c>
      <c r="H17" s="58">
        <v>9</v>
      </c>
      <c r="I17" s="58">
        <v>8</v>
      </c>
      <c r="J17" s="58">
        <v>9</v>
      </c>
      <c r="K17" s="63">
        <f t="shared" si="4"/>
        <v>3</v>
      </c>
      <c r="L17" s="63">
        <f t="shared" si="4"/>
        <v>0</v>
      </c>
      <c r="M17" s="63">
        <f t="shared" si="4"/>
        <v>1</v>
      </c>
      <c r="N17" s="63">
        <f t="shared" si="4"/>
        <v>0</v>
      </c>
      <c r="O17" s="63">
        <f t="shared" si="4"/>
        <v>1</v>
      </c>
      <c r="P17" s="43">
        <v>98.86</v>
      </c>
      <c r="Q17" s="39">
        <f t="shared" ref="Q17:Q18" si="11">+P17*8</f>
        <v>790.88</v>
      </c>
      <c r="R17" s="64">
        <f t="shared" si="7"/>
        <v>1087.46</v>
      </c>
      <c r="S17" s="64">
        <f t="shared" si="1"/>
        <v>790.88</v>
      </c>
      <c r="T17" s="64">
        <f t="shared" si="1"/>
        <v>889.74</v>
      </c>
      <c r="U17" s="64">
        <f t="shared" si="1"/>
        <v>790.88</v>
      </c>
      <c r="V17" s="64">
        <f t="shared" si="1"/>
        <v>889.74</v>
      </c>
      <c r="W17" s="66">
        <f t="shared" si="8"/>
        <v>148.29</v>
      </c>
      <c r="X17" s="66">
        <f t="shared" si="2"/>
        <v>0</v>
      </c>
      <c r="Y17" s="66">
        <f t="shared" si="2"/>
        <v>49.43</v>
      </c>
      <c r="Z17" s="66">
        <f t="shared" si="2"/>
        <v>0</v>
      </c>
      <c r="AA17" s="66">
        <f t="shared" si="2"/>
        <v>49.43</v>
      </c>
      <c r="AB17" s="67">
        <f t="shared" si="5"/>
        <v>1235.75</v>
      </c>
      <c r="AC17" s="67">
        <f t="shared" si="3"/>
        <v>790.88</v>
      </c>
      <c r="AD17" s="67">
        <f t="shared" si="3"/>
        <v>939.17</v>
      </c>
      <c r="AE17" s="67">
        <f t="shared" si="3"/>
        <v>790.88</v>
      </c>
      <c r="AF17" s="69">
        <f t="shared" si="3"/>
        <v>939.17</v>
      </c>
      <c r="AG17" s="71">
        <f t="shared" si="6"/>
        <v>4695.8500000000004</v>
      </c>
      <c r="AI17" s="6"/>
      <c r="AJ17" s="6"/>
    </row>
    <row r="18" spans="1:36">
      <c r="A18" s="11">
        <v>6</v>
      </c>
      <c r="B18" s="30" t="s">
        <v>31</v>
      </c>
      <c r="C18" s="50">
        <v>13461781</v>
      </c>
      <c r="D18" s="21" t="s">
        <v>16</v>
      </c>
      <c r="E18" s="25" t="s">
        <v>17</v>
      </c>
      <c r="F18" s="58">
        <v>9</v>
      </c>
      <c r="G18" s="58">
        <v>9</v>
      </c>
      <c r="H18" s="58">
        <v>9</v>
      </c>
      <c r="I18" s="58">
        <v>19</v>
      </c>
      <c r="J18" s="58">
        <v>9</v>
      </c>
      <c r="K18" s="63">
        <f t="shared" si="4"/>
        <v>1</v>
      </c>
      <c r="L18" s="63">
        <f t="shared" si="4"/>
        <v>1</v>
      </c>
      <c r="M18" s="63">
        <f t="shared" si="4"/>
        <v>1</v>
      </c>
      <c r="N18" s="63">
        <f t="shared" si="4"/>
        <v>11</v>
      </c>
      <c r="O18" s="63">
        <f t="shared" si="4"/>
        <v>1</v>
      </c>
      <c r="P18" s="43">
        <v>75</v>
      </c>
      <c r="Q18" s="39">
        <f t="shared" si="11"/>
        <v>600</v>
      </c>
      <c r="R18" s="64">
        <f t="shared" si="7"/>
        <v>675</v>
      </c>
      <c r="S18" s="64">
        <f t="shared" si="1"/>
        <v>675</v>
      </c>
      <c r="T18" s="64">
        <f>$P18*H18</f>
        <v>675</v>
      </c>
      <c r="U18" s="64">
        <f t="shared" si="1"/>
        <v>1425</v>
      </c>
      <c r="V18" s="64">
        <f t="shared" si="1"/>
        <v>675</v>
      </c>
      <c r="W18" s="66">
        <f t="shared" si="8"/>
        <v>37.5</v>
      </c>
      <c r="X18" s="66">
        <f t="shared" si="2"/>
        <v>37.5</v>
      </c>
      <c r="Y18" s="66">
        <f t="shared" si="2"/>
        <v>37.5</v>
      </c>
      <c r="Z18" s="66">
        <f t="shared" si="2"/>
        <v>412.5</v>
      </c>
      <c r="AA18" s="66">
        <f t="shared" si="2"/>
        <v>37.5</v>
      </c>
      <c r="AB18" s="67">
        <f t="shared" si="5"/>
        <v>712.5</v>
      </c>
      <c r="AC18" s="67">
        <f t="shared" si="3"/>
        <v>712.5</v>
      </c>
      <c r="AD18" s="67">
        <f t="shared" si="3"/>
        <v>712.5</v>
      </c>
      <c r="AE18" s="67">
        <f t="shared" si="3"/>
        <v>1837.5</v>
      </c>
      <c r="AF18" s="69">
        <f t="shared" si="3"/>
        <v>712.5</v>
      </c>
      <c r="AG18" s="71">
        <f t="shared" si="6"/>
        <v>4687.5</v>
      </c>
      <c r="AH18" s="1"/>
    </row>
    <row r="19" spans="1:36">
      <c r="A19" s="11">
        <v>7</v>
      </c>
      <c r="B19" s="30" t="s">
        <v>32</v>
      </c>
      <c r="C19" s="50">
        <v>22193360</v>
      </c>
      <c r="D19" s="21" t="s">
        <v>16</v>
      </c>
      <c r="E19" s="25" t="s">
        <v>17</v>
      </c>
      <c r="F19" s="58">
        <v>9</v>
      </c>
      <c r="G19" s="58">
        <v>8</v>
      </c>
      <c r="H19" s="58">
        <v>8</v>
      </c>
      <c r="I19" s="58">
        <v>8</v>
      </c>
      <c r="J19" s="58">
        <v>8</v>
      </c>
      <c r="K19" s="63">
        <f t="shared" si="4"/>
        <v>1</v>
      </c>
      <c r="L19" s="63">
        <f t="shared" si="4"/>
        <v>0</v>
      </c>
      <c r="M19" s="63">
        <f t="shared" si="4"/>
        <v>0</v>
      </c>
      <c r="N19" s="63">
        <f t="shared" si="4"/>
        <v>0</v>
      </c>
      <c r="O19" s="63">
        <f t="shared" si="4"/>
        <v>0</v>
      </c>
      <c r="P19" s="43">
        <v>75</v>
      </c>
      <c r="Q19" s="39">
        <f>+P19*8</f>
        <v>600</v>
      </c>
      <c r="R19" s="64">
        <f t="shared" si="7"/>
        <v>675</v>
      </c>
      <c r="S19" s="64">
        <f t="shared" si="1"/>
        <v>600</v>
      </c>
      <c r="T19" s="64">
        <f t="shared" si="1"/>
        <v>600</v>
      </c>
      <c r="U19" s="64">
        <f t="shared" si="1"/>
        <v>600</v>
      </c>
      <c r="V19" s="64">
        <f t="shared" si="1"/>
        <v>600</v>
      </c>
      <c r="W19" s="66">
        <f t="shared" si="8"/>
        <v>37.5</v>
      </c>
      <c r="X19" s="66">
        <f t="shared" si="2"/>
        <v>0</v>
      </c>
      <c r="Y19" s="66">
        <f t="shared" si="2"/>
        <v>0</v>
      </c>
      <c r="Z19" s="66">
        <f t="shared" si="2"/>
        <v>0</v>
      </c>
      <c r="AA19" s="66">
        <f t="shared" si="2"/>
        <v>0</v>
      </c>
      <c r="AB19" s="67">
        <f t="shared" si="5"/>
        <v>712.5</v>
      </c>
      <c r="AC19" s="67">
        <f t="shared" si="3"/>
        <v>600</v>
      </c>
      <c r="AD19" s="67">
        <f t="shared" si="3"/>
        <v>600</v>
      </c>
      <c r="AE19" s="67">
        <f t="shared" si="3"/>
        <v>600</v>
      </c>
      <c r="AF19" s="69">
        <f t="shared" si="3"/>
        <v>600</v>
      </c>
      <c r="AG19" s="71">
        <f t="shared" si="6"/>
        <v>3112.5</v>
      </c>
      <c r="AI19" s="6"/>
      <c r="AJ19" s="6"/>
    </row>
    <row r="20" spans="1:36">
      <c r="A20" s="11">
        <v>1</v>
      </c>
      <c r="B20" s="30" t="s">
        <v>33</v>
      </c>
      <c r="C20" s="50">
        <v>23629737</v>
      </c>
      <c r="D20" s="21" t="s">
        <v>24</v>
      </c>
      <c r="E20" s="25" t="s">
        <v>17</v>
      </c>
      <c r="F20" s="58">
        <v>11</v>
      </c>
      <c r="G20" s="58">
        <v>10</v>
      </c>
      <c r="H20" s="58">
        <v>6</v>
      </c>
      <c r="I20" s="58">
        <v>10</v>
      </c>
      <c r="J20" s="58">
        <v>6</v>
      </c>
      <c r="K20" s="63">
        <f t="shared" si="4"/>
        <v>3</v>
      </c>
      <c r="L20" s="63">
        <f t="shared" si="4"/>
        <v>2</v>
      </c>
      <c r="M20" s="63">
        <f t="shared" si="4"/>
        <v>0</v>
      </c>
      <c r="N20" s="63">
        <f t="shared" si="4"/>
        <v>2</v>
      </c>
      <c r="O20" s="63">
        <f t="shared" si="4"/>
        <v>0</v>
      </c>
      <c r="P20" s="43">
        <v>98.86</v>
      </c>
      <c r="Q20" s="39">
        <f t="shared" ref="Q20:Q24" si="12">+P20*8</f>
        <v>790.88</v>
      </c>
      <c r="R20" s="64">
        <f t="shared" si="7"/>
        <v>1087.46</v>
      </c>
      <c r="S20" s="64">
        <f t="shared" si="1"/>
        <v>988.6</v>
      </c>
      <c r="T20" s="64">
        <f t="shared" si="1"/>
        <v>593.16</v>
      </c>
      <c r="U20" s="64">
        <f t="shared" si="1"/>
        <v>988.6</v>
      </c>
      <c r="V20" s="64">
        <f t="shared" si="1"/>
        <v>593.16</v>
      </c>
      <c r="W20" s="66">
        <f t="shared" si="8"/>
        <v>148.29</v>
      </c>
      <c r="X20" s="66">
        <f t="shared" si="2"/>
        <v>98.86</v>
      </c>
      <c r="Y20" s="66">
        <f t="shared" si="2"/>
        <v>0</v>
      </c>
      <c r="Z20" s="66">
        <f t="shared" si="2"/>
        <v>98.86</v>
      </c>
      <c r="AA20" s="66">
        <f t="shared" si="2"/>
        <v>0</v>
      </c>
      <c r="AB20" s="67">
        <f t="shared" si="5"/>
        <v>1235.75</v>
      </c>
      <c r="AC20" s="67">
        <f t="shared" si="3"/>
        <v>1087.46</v>
      </c>
      <c r="AD20" s="67">
        <f t="shared" si="3"/>
        <v>593.16</v>
      </c>
      <c r="AE20" s="67">
        <f t="shared" si="3"/>
        <v>1087.46</v>
      </c>
      <c r="AF20" s="69">
        <f t="shared" si="3"/>
        <v>593.16</v>
      </c>
      <c r="AG20" s="71">
        <f t="shared" si="6"/>
        <v>4596.99</v>
      </c>
      <c r="AI20" s="6"/>
      <c r="AJ20" s="6"/>
    </row>
    <row r="21" spans="1:36">
      <c r="A21" s="11">
        <v>2</v>
      </c>
      <c r="B21" s="30" t="s">
        <v>34</v>
      </c>
      <c r="C21" s="50"/>
      <c r="D21" s="21" t="s">
        <v>26</v>
      </c>
      <c r="E21" s="25" t="s">
        <v>17</v>
      </c>
      <c r="F21" s="58">
        <v>8</v>
      </c>
      <c r="G21" s="58">
        <v>13</v>
      </c>
      <c r="H21" s="58">
        <v>11</v>
      </c>
      <c r="I21" s="58">
        <v>13</v>
      </c>
      <c r="J21" s="58">
        <v>11</v>
      </c>
      <c r="K21" s="63">
        <f t="shared" si="4"/>
        <v>0</v>
      </c>
      <c r="L21" s="63">
        <f t="shared" si="4"/>
        <v>5</v>
      </c>
      <c r="M21" s="63">
        <f t="shared" si="4"/>
        <v>3</v>
      </c>
      <c r="N21" s="63">
        <f t="shared" si="4"/>
        <v>5</v>
      </c>
      <c r="O21" s="63">
        <f t="shared" si="4"/>
        <v>3</v>
      </c>
      <c r="P21" s="43">
        <v>75</v>
      </c>
      <c r="Q21" s="39">
        <f t="shared" si="12"/>
        <v>600</v>
      </c>
      <c r="R21" s="64">
        <f t="shared" si="7"/>
        <v>600</v>
      </c>
      <c r="S21" s="64">
        <f t="shared" si="1"/>
        <v>975</v>
      </c>
      <c r="T21" s="64">
        <f t="shared" si="1"/>
        <v>825</v>
      </c>
      <c r="U21" s="64">
        <f t="shared" si="1"/>
        <v>975</v>
      </c>
      <c r="V21" s="64">
        <f t="shared" si="1"/>
        <v>825</v>
      </c>
      <c r="W21" s="66">
        <f t="shared" si="8"/>
        <v>0</v>
      </c>
      <c r="X21" s="66">
        <f t="shared" si="2"/>
        <v>187.5</v>
      </c>
      <c r="Y21" s="66">
        <f t="shared" si="2"/>
        <v>112.5</v>
      </c>
      <c r="Z21" s="66">
        <f t="shared" si="2"/>
        <v>187.5</v>
      </c>
      <c r="AA21" s="66">
        <f t="shared" si="2"/>
        <v>112.5</v>
      </c>
      <c r="AB21" s="67">
        <f t="shared" si="5"/>
        <v>600</v>
      </c>
      <c r="AC21" s="67">
        <f t="shared" si="3"/>
        <v>1162.5</v>
      </c>
      <c r="AD21" s="67">
        <f t="shared" si="3"/>
        <v>937.5</v>
      </c>
      <c r="AE21" s="67">
        <f t="shared" si="3"/>
        <v>1162.5</v>
      </c>
      <c r="AF21" s="69">
        <f t="shared" si="3"/>
        <v>937.5</v>
      </c>
      <c r="AG21" s="71">
        <f t="shared" si="6"/>
        <v>4800</v>
      </c>
      <c r="AI21" s="6"/>
      <c r="AJ21" s="6"/>
    </row>
    <row r="22" spans="1:36">
      <c r="A22" s="11">
        <v>3</v>
      </c>
      <c r="B22" s="30" t="s">
        <v>35</v>
      </c>
      <c r="C22" s="50">
        <v>14461038</v>
      </c>
      <c r="D22" s="21" t="s">
        <v>36</v>
      </c>
      <c r="E22" s="25" t="s">
        <v>17</v>
      </c>
      <c r="F22" s="58">
        <v>2</v>
      </c>
      <c r="G22" s="59">
        <v>8</v>
      </c>
      <c r="H22" s="58">
        <v>12</v>
      </c>
      <c r="I22" s="58">
        <v>8</v>
      </c>
      <c r="J22" s="58">
        <v>12</v>
      </c>
      <c r="K22" s="63">
        <f t="shared" si="4"/>
        <v>0</v>
      </c>
      <c r="L22" s="63">
        <f t="shared" si="4"/>
        <v>0</v>
      </c>
      <c r="M22" s="63">
        <f t="shared" si="4"/>
        <v>4</v>
      </c>
      <c r="N22" s="63">
        <f t="shared" si="4"/>
        <v>0</v>
      </c>
      <c r="O22" s="63">
        <f t="shared" si="4"/>
        <v>4</v>
      </c>
      <c r="P22" s="43">
        <v>75</v>
      </c>
      <c r="Q22" s="39">
        <f t="shared" si="12"/>
        <v>600</v>
      </c>
      <c r="R22" s="64">
        <f t="shared" si="7"/>
        <v>150</v>
      </c>
      <c r="S22" s="64">
        <f t="shared" si="1"/>
        <v>600</v>
      </c>
      <c r="T22" s="64">
        <f t="shared" si="1"/>
        <v>900</v>
      </c>
      <c r="U22" s="64">
        <f t="shared" si="1"/>
        <v>600</v>
      </c>
      <c r="V22" s="64">
        <f t="shared" si="1"/>
        <v>900</v>
      </c>
      <c r="W22" s="66">
        <f t="shared" si="8"/>
        <v>0</v>
      </c>
      <c r="X22" s="66">
        <f t="shared" si="2"/>
        <v>0</v>
      </c>
      <c r="Y22" s="66">
        <f t="shared" si="2"/>
        <v>150</v>
      </c>
      <c r="Z22" s="66">
        <f t="shared" si="2"/>
        <v>0</v>
      </c>
      <c r="AA22" s="66">
        <f t="shared" si="2"/>
        <v>150</v>
      </c>
      <c r="AB22" s="67">
        <f t="shared" si="5"/>
        <v>150</v>
      </c>
      <c r="AC22" s="67">
        <f t="shared" si="3"/>
        <v>600</v>
      </c>
      <c r="AD22" s="67">
        <f t="shared" si="3"/>
        <v>1050</v>
      </c>
      <c r="AE22" s="67">
        <f t="shared" si="3"/>
        <v>600</v>
      </c>
      <c r="AF22" s="69">
        <f t="shared" si="3"/>
        <v>1050</v>
      </c>
      <c r="AG22" s="71">
        <f t="shared" si="6"/>
        <v>3450</v>
      </c>
      <c r="AI22" s="6"/>
      <c r="AJ22" s="6"/>
    </row>
    <row r="23" spans="1:36">
      <c r="A23" s="11">
        <v>4</v>
      </c>
      <c r="B23" s="30" t="s">
        <v>37</v>
      </c>
      <c r="C23" s="50">
        <v>32655555</v>
      </c>
      <c r="D23" s="21" t="s">
        <v>36</v>
      </c>
      <c r="E23" s="25" t="s">
        <v>17</v>
      </c>
      <c r="F23" s="58">
        <v>2</v>
      </c>
      <c r="G23" s="59">
        <v>8</v>
      </c>
      <c r="H23" s="59">
        <v>8</v>
      </c>
      <c r="I23" s="58">
        <v>8</v>
      </c>
      <c r="J23" s="58">
        <v>8</v>
      </c>
      <c r="K23" s="63">
        <f t="shared" si="4"/>
        <v>0</v>
      </c>
      <c r="L23" s="63">
        <f t="shared" si="4"/>
        <v>0</v>
      </c>
      <c r="M23" s="63">
        <f t="shared" si="4"/>
        <v>0</v>
      </c>
      <c r="N23" s="63">
        <f t="shared" si="4"/>
        <v>0</v>
      </c>
      <c r="O23" s="63">
        <f t="shared" si="4"/>
        <v>0</v>
      </c>
      <c r="P23" s="43">
        <v>75</v>
      </c>
      <c r="Q23" s="39">
        <f t="shared" si="12"/>
        <v>600</v>
      </c>
      <c r="R23" s="64">
        <f t="shared" si="7"/>
        <v>150</v>
      </c>
      <c r="S23" s="64">
        <f t="shared" ref="S23:S46" si="13">$P23*G23</f>
        <v>600</v>
      </c>
      <c r="T23" s="64">
        <f t="shared" ref="T23:T46" si="14">$P23*H23</f>
        <v>600</v>
      </c>
      <c r="U23" s="64">
        <f t="shared" ref="U23:U46" si="15">$P23*I23</f>
        <v>600</v>
      </c>
      <c r="V23" s="64">
        <f t="shared" ref="V23:V46" si="16">$P23*J23</f>
        <v>600</v>
      </c>
      <c r="W23" s="66">
        <f t="shared" si="8"/>
        <v>0</v>
      </c>
      <c r="X23" s="66">
        <f t="shared" ref="X23:X46" si="17">0.5*$P23*L23</f>
        <v>0</v>
      </c>
      <c r="Y23" s="66">
        <f t="shared" ref="Y23:Y46" si="18">0.5*$P23*M23</f>
        <v>0</v>
      </c>
      <c r="Z23" s="66">
        <f t="shared" ref="Z23:Z46" si="19">0.5*$P23*N23</f>
        <v>0</v>
      </c>
      <c r="AA23" s="66">
        <f t="shared" ref="AA23:AA46" si="20">0.5*$P23*O23</f>
        <v>0</v>
      </c>
      <c r="AB23" s="67">
        <f t="shared" si="5"/>
        <v>150</v>
      </c>
      <c r="AC23" s="67">
        <f t="shared" ref="AC23:AC46" si="21">S23+X23</f>
        <v>600</v>
      </c>
      <c r="AD23" s="67">
        <f t="shared" ref="AD23:AD46" si="22">T23+Y23</f>
        <v>600</v>
      </c>
      <c r="AE23" s="67">
        <f t="shared" ref="AE23:AE46" si="23">U23+Z23</f>
        <v>600</v>
      </c>
      <c r="AF23" s="69">
        <f t="shared" ref="AF23:AF46" si="24">V23+AA23</f>
        <v>600</v>
      </c>
      <c r="AG23" s="71">
        <f t="shared" si="6"/>
        <v>2550</v>
      </c>
      <c r="AI23" s="6"/>
      <c r="AJ23" s="6"/>
    </row>
    <row r="24" spans="1:36">
      <c r="A24" s="11">
        <v>5</v>
      </c>
      <c r="B24" s="30" t="s">
        <v>38</v>
      </c>
      <c r="C24" s="50">
        <v>21807748</v>
      </c>
      <c r="D24" s="21" t="s">
        <v>39</v>
      </c>
      <c r="E24" s="25" t="s">
        <v>17</v>
      </c>
      <c r="F24" s="58">
        <v>12</v>
      </c>
      <c r="G24" s="59">
        <v>13</v>
      </c>
      <c r="H24" s="59">
        <v>11</v>
      </c>
      <c r="I24" s="58">
        <v>13</v>
      </c>
      <c r="J24" s="58">
        <v>11</v>
      </c>
      <c r="K24" s="63">
        <f t="shared" si="4"/>
        <v>4</v>
      </c>
      <c r="L24" s="63">
        <f t="shared" si="4"/>
        <v>5</v>
      </c>
      <c r="M24" s="63">
        <f t="shared" si="4"/>
        <v>3</v>
      </c>
      <c r="N24" s="63">
        <f t="shared" si="4"/>
        <v>5</v>
      </c>
      <c r="O24" s="63">
        <f t="shared" si="4"/>
        <v>3</v>
      </c>
      <c r="P24" s="43">
        <v>75</v>
      </c>
      <c r="Q24" s="39">
        <f t="shared" si="12"/>
        <v>600</v>
      </c>
      <c r="R24" s="64">
        <f t="shared" si="7"/>
        <v>900</v>
      </c>
      <c r="S24" s="64">
        <f t="shared" si="13"/>
        <v>975</v>
      </c>
      <c r="T24" s="64">
        <f t="shared" si="14"/>
        <v>825</v>
      </c>
      <c r="U24" s="64">
        <f t="shared" si="15"/>
        <v>975</v>
      </c>
      <c r="V24" s="64">
        <f t="shared" si="16"/>
        <v>825</v>
      </c>
      <c r="W24" s="66">
        <f t="shared" si="8"/>
        <v>150</v>
      </c>
      <c r="X24" s="66">
        <f t="shared" si="17"/>
        <v>187.5</v>
      </c>
      <c r="Y24" s="66">
        <f t="shared" si="18"/>
        <v>112.5</v>
      </c>
      <c r="Z24" s="66">
        <f t="shared" si="19"/>
        <v>187.5</v>
      </c>
      <c r="AA24" s="66">
        <f t="shared" si="20"/>
        <v>112.5</v>
      </c>
      <c r="AB24" s="67">
        <f t="shared" si="5"/>
        <v>1050</v>
      </c>
      <c r="AC24" s="67">
        <f t="shared" si="21"/>
        <v>1162.5</v>
      </c>
      <c r="AD24" s="67">
        <f t="shared" si="22"/>
        <v>937.5</v>
      </c>
      <c r="AE24" s="67">
        <f t="shared" si="23"/>
        <v>1162.5</v>
      </c>
      <c r="AF24" s="69">
        <f t="shared" si="24"/>
        <v>937.5</v>
      </c>
      <c r="AG24" s="71">
        <f t="shared" si="6"/>
        <v>5250</v>
      </c>
      <c r="AI24" s="6"/>
      <c r="AJ24" s="6"/>
    </row>
    <row r="25" spans="1:36">
      <c r="A25" s="11">
        <v>1</v>
      </c>
      <c r="B25" s="30" t="s">
        <v>40</v>
      </c>
      <c r="C25" s="50">
        <v>29796633</v>
      </c>
      <c r="D25" s="25" t="s">
        <v>41</v>
      </c>
      <c r="E25" s="25" t="s">
        <v>17</v>
      </c>
      <c r="F25" s="59">
        <v>8</v>
      </c>
      <c r="G25" s="59">
        <v>10</v>
      </c>
      <c r="H25" s="59">
        <v>8</v>
      </c>
      <c r="I25" s="59">
        <v>10</v>
      </c>
      <c r="J25" s="59">
        <v>12</v>
      </c>
      <c r="K25" s="63">
        <f t="shared" si="4"/>
        <v>0</v>
      </c>
      <c r="L25" s="63">
        <f t="shared" si="4"/>
        <v>2</v>
      </c>
      <c r="M25" s="63">
        <f t="shared" si="4"/>
        <v>0</v>
      </c>
      <c r="N25" s="63">
        <f t="shared" si="4"/>
        <v>2</v>
      </c>
      <c r="O25" s="63">
        <f t="shared" si="4"/>
        <v>4</v>
      </c>
      <c r="P25" s="38">
        <v>173.43</v>
      </c>
      <c r="Q25" s="38">
        <v>1387.44</v>
      </c>
      <c r="R25" s="64">
        <f t="shared" si="7"/>
        <v>1387.44</v>
      </c>
      <c r="S25" s="64">
        <f t="shared" si="13"/>
        <v>1734.3000000000002</v>
      </c>
      <c r="T25" s="64">
        <f t="shared" si="14"/>
        <v>1387.44</v>
      </c>
      <c r="U25" s="64">
        <f t="shared" si="15"/>
        <v>1734.3000000000002</v>
      </c>
      <c r="V25" s="64">
        <f t="shared" si="16"/>
        <v>2081.16</v>
      </c>
      <c r="W25" s="66">
        <f t="shared" si="8"/>
        <v>0</v>
      </c>
      <c r="X25" s="66">
        <f t="shared" si="17"/>
        <v>173.43</v>
      </c>
      <c r="Y25" s="66">
        <f t="shared" si="18"/>
        <v>0</v>
      </c>
      <c r="Z25" s="66">
        <f t="shared" si="19"/>
        <v>173.43</v>
      </c>
      <c r="AA25" s="66">
        <f t="shared" si="20"/>
        <v>346.86</v>
      </c>
      <c r="AB25" s="67">
        <f t="shared" si="5"/>
        <v>1387.44</v>
      </c>
      <c r="AC25" s="67">
        <f t="shared" si="21"/>
        <v>1907.7300000000002</v>
      </c>
      <c r="AD25" s="67">
        <f t="shared" si="22"/>
        <v>1387.44</v>
      </c>
      <c r="AE25" s="67">
        <f t="shared" si="23"/>
        <v>1907.7300000000002</v>
      </c>
      <c r="AF25" s="69">
        <f t="shared" si="24"/>
        <v>2428.02</v>
      </c>
      <c r="AG25" s="71">
        <f t="shared" si="6"/>
        <v>9018.36</v>
      </c>
      <c r="AH25" s="1"/>
    </row>
    <row r="26" spans="1:36">
      <c r="A26" s="26">
        <v>2</v>
      </c>
      <c r="B26" s="30" t="s">
        <v>42</v>
      </c>
      <c r="C26" s="50">
        <v>26167841</v>
      </c>
      <c r="D26" s="25" t="s">
        <v>41</v>
      </c>
      <c r="E26" s="25" t="s">
        <v>14</v>
      </c>
      <c r="F26" s="59">
        <v>13</v>
      </c>
      <c r="G26" s="59">
        <v>7</v>
      </c>
      <c r="H26" s="59">
        <v>13</v>
      </c>
      <c r="I26" s="59">
        <v>13</v>
      </c>
      <c r="J26" s="59">
        <v>13</v>
      </c>
      <c r="K26" s="63">
        <f t="shared" si="4"/>
        <v>5</v>
      </c>
      <c r="L26" s="63">
        <f t="shared" si="4"/>
        <v>0</v>
      </c>
      <c r="M26" s="63">
        <f t="shared" si="4"/>
        <v>5</v>
      </c>
      <c r="N26" s="63">
        <f t="shared" si="4"/>
        <v>5</v>
      </c>
      <c r="O26" s="63">
        <f t="shared" si="4"/>
        <v>5</v>
      </c>
      <c r="P26" s="38">
        <v>173.43</v>
      </c>
      <c r="Q26" s="38">
        <v>1387.44</v>
      </c>
      <c r="R26" s="64">
        <f t="shared" si="7"/>
        <v>2254.59</v>
      </c>
      <c r="S26" s="64">
        <f t="shared" si="13"/>
        <v>1214.01</v>
      </c>
      <c r="T26" s="64">
        <f t="shared" si="14"/>
        <v>2254.59</v>
      </c>
      <c r="U26" s="64">
        <f t="shared" si="15"/>
        <v>2254.59</v>
      </c>
      <c r="V26" s="64">
        <f t="shared" si="16"/>
        <v>2254.59</v>
      </c>
      <c r="W26" s="66">
        <f t="shared" si="8"/>
        <v>433.57500000000005</v>
      </c>
      <c r="X26" s="66">
        <f t="shared" si="17"/>
        <v>0</v>
      </c>
      <c r="Y26" s="66">
        <f t="shared" si="18"/>
        <v>433.57500000000005</v>
      </c>
      <c r="Z26" s="66">
        <f t="shared" si="19"/>
        <v>433.57500000000005</v>
      </c>
      <c r="AA26" s="66">
        <f t="shared" si="20"/>
        <v>433.57500000000005</v>
      </c>
      <c r="AB26" s="67">
        <f t="shared" si="5"/>
        <v>2688.165</v>
      </c>
      <c r="AC26" s="67">
        <f t="shared" si="21"/>
        <v>1214.01</v>
      </c>
      <c r="AD26" s="67">
        <f t="shared" si="22"/>
        <v>2688.165</v>
      </c>
      <c r="AE26" s="67">
        <f t="shared" si="23"/>
        <v>2688.165</v>
      </c>
      <c r="AF26" s="69">
        <f t="shared" si="24"/>
        <v>2688.165</v>
      </c>
      <c r="AG26" s="71">
        <f t="shared" si="6"/>
        <v>11966.670000000002</v>
      </c>
      <c r="AH26" s="1"/>
    </row>
    <row r="27" spans="1:36">
      <c r="A27" s="11">
        <v>3</v>
      </c>
      <c r="B27" s="30" t="s">
        <v>43</v>
      </c>
      <c r="C27" s="50">
        <v>23396326</v>
      </c>
      <c r="D27" s="25" t="s">
        <v>41</v>
      </c>
      <c r="E27" s="25" t="s">
        <v>17</v>
      </c>
      <c r="F27" s="59">
        <v>10</v>
      </c>
      <c r="G27" s="59">
        <v>8</v>
      </c>
      <c r="H27" s="59">
        <v>10</v>
      </c>
      <c r="I27" s="59">
        <v>8</v>
      </c>
      <c r="J27" s="59">
        <v>10</v>
      </c>
      <c r="K27" s="63">
        <f t="shared" si="4"/>
        <v>2</v>
      </c>
      <c r="L27" s="63">
        <f t="shared" si="4"/>
        <v>0</v>
      </c>
      <c r="M27" s="63">
        <f t="shared" si="4"/>
        <v>2</v>
      </c>
      <c r="N27" s="63">
        <f t="shared" si="4"/>
        <v>0</v>
      </c>
      <c r="O27" s="63">
        <f t="shared" si="4"/>
        <v>2</v>
      </c>
      <c r="P27" s="38">
        <v>173.43</v>
      </c>
      <c r="Q27" s="38">
        <v>1387.44</v>
      </c>
      <c r="R27" s="64">
        <f t="shared" si="7"/>
        <v>1734.3000000000002</v>
      </c>
      <c r="S27" s="64">
        <f t="shared" si="13"/>
        <v>1387.44</v>
      </c>
      <c r="T27" s="64">
        <f t="shared" si="14"/>
        <v>1734.3000000000002</v>
      </c>
      <c r="U27" s="64">
        <f t="shared" si="15"/>
        <v>1387.44</v>
      </c>
      <c r="V27" s="64">
        <f t="shared" si="16"/>
        <v>1734.3000000000002</v>
      </c>
      <c r="W27" s="66">
        <f t="shared" si="8"/>
        <v>173.43</v>
      </c>
      <c r="X27" s="66">
        <f t="shared" si="17"/>
        <v>0</v>
      </c>
      <c r="Y27" s="66">
        <f t="shared" si="18"/>
        <v>173.43</v>
      </c>
      <c r="Z27" s="66">
        <f t="shared" si="19"/>
        <v>0</v>
      </c>
      <c r="AA27" s="66">
        <f t="shared" si="20"/>
        <v>173.43</v>
      </c>
      <c r="AB27" s="67">
        <f t="shared" si="5"/>
        <v>1907.7300000000002</v>
      </c>
      <c r="AC27" s="67">
        <f t="shared" si="21"/>
        <v>1387.44</v>
      </c>
      <c r="AD27" s="67">
        <f t="shared" si="22"/>
        <v>1907.7300000000002</v>
      </c>
      <c r="AE27" s="67">
        <f t="shared" si="23"/>
        <v>1387.44</v>
      </c>
      <c r="AF27" s="69">
        <f t="shared" si="24"/>
        <v>1907.7300000000002</v>
      </c>
      <c r="AG27" s="71">
        <f t="shared" si="6"/>
        <v>8498.07</v>
      </c>
      <c r="AH27" s="1"/>
    </row>
    <row r="28" spans="1:36">
      <c r="A28" s="26">
        <v>4</v>
      </c>
      <c r="B28" s="30" t="s">
        <v>44</v>
      </c>
      <c r="C28" s="50">
        <v>32472554</v>
      </c>
      <c r="D28" s="25" t="s">
        <v>45</v>
      </c>
      <c r="E28" s="25" t="s">
        <v>17</v>
      </c>
      <c r="F28" s="59">
        <v>8</v>
      </c>
      <c r="G28" s="59">
        <v>8</v>
      </c>
      <c r="H28" s="59">
        <v>13</v>
      </c>
      <c r="I28" s="59">
        <v>8</v>
      </c>
      <c r="J28" s="59">
        <v>13</v>
      </c>
      <c r="K28" s="63">
        <f t="shared" si="4"/>
        <v>0</v>
      </c>
      <c r="L28" s="63">
        <f t="shared" si="4"/>
        <v>0</v>
      </c>
      <c r="M28" s="63">
        <f t="shared" si="4"/>
        <v>5</v>
      </c>
      <c r="N28" s="63">
        <f t="shared" si="4"/>
        <v>0</v>
      </c>
      <c r="O28" s="63">
        <f t="shared" si="4"/>
        <v>5</v>
      </c>
      <c r="P28" s="38">
        <v>173.43</v>
      </c>
      <c r="Q28" s="38">
        <v>1387.44</v>
      </c>
      <c r="R28" s="64">
        <f t="shared" si="7"/>
        <v>1387.44</v>
      </c>
      <c r="S28" s="64">
        <f t="shared" si="13"/>
        <v>1387.44</v>
      </c>
      <c r="T28" s="64">
        <f t="shared" si="14"/>
        <v>2254.59</v>
      </c>
      <c r="U28" s="64">
        <f t="shared" si="15"/>
        <v>1387.44</v>
      </c>
      <c r="V28" s="64">
        <f t="shared" si="16"/>
        <v>2254.59</v>
      </c>
      <c r="W28" s="66">
        <f t="shared" si="8"/>
        <v>0</v>
      </c>
      <c r="X28" s="66">
        <f t="shared" si="17"/>
        <v>0</v>
      </c>
      <c r="Y28" s="66">
        <f t="shared" si="18"/>
        <v>433.57500000000005</v>
      </c>
      <c r="Z28" s="66">
        <f t="shared" si="19"/>
        <v>0</v>
      </c>
      <c r="AA28" s="66">
        <f t="shared" si="20"/>
        <v>433.57500000000005</v>
      </c>
      <c r="AB28" s="67">
        <f t="shared" si="5"/>
        <v>1387.44</v>
      </c>
      <c r="AC28" s="67">
        <f t="shared" si="21"/>
        <v>1387.44</v>
      </c>
      <c r="AD28" s="67">
        <f t="shared" si="22"/>
        <v>2688.165</v>
      </c>
      <c r="AE28" s="67">
        <f t="shared" si="23"/>
        <v>1387.44</v>
      </c>
      <c r="AF28" s="69">
        <f t="shared" si="24"/>
        <v>2688.165</v>
      </c>
      <c r="AG28" s="71">
        <f t="shared" si="6"/>
        <v>9538.6500000000015</v>
      </c>
      <c r="AH28" s="1"/>
    </row>
    <row r="29" spans="1:36">
      <c r="A29" s="11">
        <v>5</v>
      </c>
      <c r="B29" s="30" t="s">
        <v>46</v>
      </c>
      <c r="C29" s="50">
        <v>29180794</v>
      </c>
      <c r="D29" s="25" t="s">
        <v>41</v>
      </c>
      <c r="E29" s="25" t="s">
        <v>17</v>
      </c>
      <c r="F29" s="59">
        <v>10</v>
      </c>
      <c r="G29" s="59">
        <v>9.5</v>
      </c>
      <c r="H29" s="59">
        <v>10</v>
      </c>
      <c r="I29" s="59">
        <v>9.5</v>
      </c>
      <c r="J29" s="59">
        <v>10</v>
      </c>
      <c r="K29" s="63">
        <f t="shared" si="4"/>
        <v>2</v>
      </c>
      <c r="L29" s="63">
        <f t="shared" si="4"/>
        <v>1.5</v>
      </c>
      <c r="M29" s="63">
        <f t="shared" si="4"/>
        <v>2</v>
      </c>
      <c r="N29" s="63">
        <f t="shared" si="4"/>
        <v>1.5</v>
      </c>
      <c r="O29" s="63">
        <f t="shared" si="4"/>
        <v>2</v>
      </c>
      <c r="P29" s="38">
        <v>173.43</v>
      </c>
      <c r="Q29" s="38">
        <v>1387.44</v>
      </c>
      <c r="R29" s="64">
        <f t="shared" si="7"/>
        <v>1734.3000000000002</v>
      </c>
      <c r="S29" s="64">
        <f t="shared" si="13"/>
        <v>1647.585</v>
      </c>
      <c r="T29" s="64">
        <f t="shared" si="14"/>
        <v>1734.3000000000002</v>
      </c>
      <c r="U29" s="64">
        <f t="shared" si="15"/>
        <v>1647.585</v>
      </c>
      <c r="V29" s="64">
        <f t="shared" si="16"/>
        <v>1734.3000000000002</v>
      </c>
      <c r="W29" s="66">
        <f t="shared" si="8"/>
        <v>173.43</v>
      </c>
      <c r="X29" s="66">
        <f t="shared" si="17"/>
        <v>130.07249999999999</v>
      </c>
      <c r="Y29" s="66">
        <f t="shared" si="18"/>
        <v>173.43</v>
      </c>
      <c r="Z29" s="66">
        <f t="shared" si="19"/>
        <v>130.07249999999999</v>
      </c>
      <c r="AA29" s="66">
        <f t="shared" si="20"/>
        <v>173.43</v>
      </c>
      <c r="AB29" s="67">
        <f t="shared" si="5"/>
        <v>1907.7300000000002</v>
      </c>
      <c r="AC29" s="67">
        <f t="shared" si="21"/>
        <v>1777.6575</v>
      </c>
      <c r="AD29" s="67">
        <f t="shared" si="22"/>
        <v>1907.7300000000002</v>
      </c>
      <c r="AE29" s="67">
        <f t="shared" si="23"/>
        <v>1777.6575</v>
      </c>
      <c r="AF29" s="69">
        <f t="shared" si="24"/>
        <v>1907.7300000000002</v>
      </c>
      <c r="AG29" s="71">
        <f t="shared" si="6"/>
        <v>9278.505000000001</v>
      </c>
    </row>
    <row r="30" spans="1:36">
      <c r="A30" s="26">
        <v>6</v>
      </c>
      <c r="B30" s="30" t="s">
        <v>47</v>
      </c>
      <c r="C30" s="50">
        <v>32290132</v>
      </c>
      <c r="D30" s="25" t="s">
        <v>48</v>
      </c>
      <c r="E30" s="25" t="s">
        <v>17</v>
      </c>
      <c r="F30" s="59">
        <v>10</v>
      </c>
      <c r="G30" s="59">
        <v>9</v>
      </c>
      <c r="H30" s="59">
        <v>11</v>
      </c>
      <c r="I30" s="59">
        <v>9</v>
      </c>
      <c r="J30" s="59">
        <v>46</v>
      </c>
      <c r="K30" s="63">
        <f t="shared" si="4"/>
        <v>2</v>
      </c>
      <c r="L30" s="63">
        <f t="shared" si="4"/>
        <v>1</v>
      </c>
      <c r="M30" s="63">
        <f t="shared" si="4"/>
        <v>3</v>
      </c>
      <c r="N30" s="63">
        <f t="shared" si="4"/>
        <v>1</v>
      </c>
      <c r="O30" s="63">
        <f t="shared" si="4"/>
        <v>38</v>
      </c>
      <c r="P30" s="38">
        <v>173.43</v>
      </c>
      <c r="Q30" s="38">
        <v>1387.44</v>
      </c>
      <c r="R30" s="64">
        <f t="shared" si="7"/>
        <v>1734.3000000000002</v>
      </c>
      <c r="S30" s="64">
        <f t="shared" si="13"/>
        <v>1560.8700000000001</v>
      </c>
      <c r="T30" s="64">
        <f t="shared" si="14"/>
        <v>1907.73</v>
      </c>
      <c r="U30" s="64">
        <f t="shared" si="15"/>
        <v>1560.8700000000001</v>
      </c>
      <c r="V30" s="64">
        <f t="shared" si="16"/>
        <v>7977.7800000000007</v>
      </c>
      <c r="W30" s="66">
        <f t="shared" si="8"/>
        <v>173.43</v>
      </c>
      <c r="X30" s="66">
        <f t="shared" si="17"/>
        <v>86.715000000000003</v>
      </c>
      <c r="Y30" s="66">
        <f t="shared" si="18"/>
        <v>260.14499999999998</v>
      </c>
      <c r="Z30" s="66">
        <f t="shared" si="19"/>
        <v>86.715000000000003</v>
      </c>
      <c r="AA30" s="66">
        <f t="shared" si="20"/>
        <v>3295.17</v>
      </c>
      <c r="AB30" s="67">
        <f t="shared" si="5"/>
        <v>1907.7300000000002</v>
      </c>
      <c r="AC30" s="67">
        <f t="shared" si="21"/>
        <v>1647.585</v>
      </c>
      <c r="AD30" s="67">
        <f t="shared" si="22"/>
        <v>2167.875</v>
      </c>
      <c r="AE30" s="67">
        <f t="shared" si="23"/>
        <v>1647.585</v>
      </c>
      <c r="AF30" s="69">
        <f t="shared" si="24"/>
        <v>11272.95</v>
      </c>
      <c r="AG30" s="71">
        <f t="shared" si="6"/>
        <v>18643.725000000002</v>
      </c>
    </row>
    <row r="31" spans="1:36">
      <c r="A31" s="11">
        <v>7</v>
      </c>
      <c r="B31" s="30" t="s">
        <v>49</v>
      </c>
      <c r="C31" s="50">
        <v>28528077</v>
      </c>
      <c r="D31" s="25" t="s">
        <v>48</v>
      </c>
      <c r="E31" s="25" t="s">
        <v>14</v>
      </c>
      <c r="F31" s="59">
        <v>13</v>
      </c>
      <c r="G31" s="59">
        <v>14.4</v>
      </c>
      <c r="H31" s="59">
        <v>6</v>
      </c>
      <c r="I31" s="59">
        <v>12</v>
      </c>
      <c r="J31" s="59">
        <v>6</v>
      </c>
      <c r="K31" s="63">
        <f t="shared" si="4"/>
        <v>5</v>
      </c>
      <c r="L31" s="63">
        <f t="shared" si="4"/>
        <v>6.4</v>
      </c>
      <c r="M31" s="63">
        <f t="shared" si="4"/>
        <v>0</v>
      </c>
      <c r="N31" s="63">
        <f t="shared" si="4"/>
        <v>4</v>
      </c>
      <c r="O31" s="63">
        <f t="shared" si="4"/>
        <v>0</v>
      </c>
      <c r="P31" s="38">
        <v>173.43</v>
      </c>
      <c r="Q31" s="38">
        <v>1387.44</v>
      </c>
      <c r="R31" s="64">
        <f t="shared" si="7"/>
        <v>2254.59</v>
      </c>
      <c r="S31" s="64">
        <f t="shared" si="13"/>
        <v>2497.3920000000003</v>
      </c>
      <c r="T31" s="64">
        <f t="shared" si="14"/>
        <v>1040.58</v>
      </c>
      <c r="U31" s="64">
        <f t="shared" si="15"/>
        <v>2081.16</v>
      </c>
      <c r="V31" s="64">
        <f t="shared" si="16"/>
        <v>1040.58</v>
      </c>
      <c r="W31" s="66">
        <f t="shared" si="8"/>
        <v>433.57500000000005</v>
      </c>
      <c r="X31" s="66">
        <f t="shared" si="17"/>
        <v>554.976</v>
      </c>
      <c r="Y31" s="66">
        <f t="shared" si="18"/>
        <v>0</v>
      </c>
      <c r="Z31" s="66">
        <f t="shared" si="19"/>
        <v>346.86</v>
      </c>
      <c r="AA31" s="66">
        <f t="shared" si="20"/>
        <v>0</v>
      </c>
      <c r="AB31" s="67">
        <f t="shared" si="5"/>
        <v>2688.165</v>
      </c>
      <c r="AC31" s="67">
        <f t="shared" si="21"/>
        <v>3052.3680000000004</v>
      </c>
      <c r="AD31" s="67">
        <f t="shared" si="22"/>
        <v>1040.58</v>
      </c>
      <c r="AE31" s="67">
        <f t="shared" si="23"/>
        <v>2428.02</v>
      </c>
      <c r="AF31" s="69">
        <f t="shared" si="24"/>
        <v>1040.58</v>
      </c>
      <c r="AG31" s="71">
        <f t="shared" si="6"/>
        <v>10249.713</v>
      </c>
    </row>
    <row r="32" spans="1:36" s="28" customFormat="1">
      <c r="A32" s="26">
        <v>1</v>
      </c>
      <c r="B32" s="53" t="s">
        <v>50</v>
      </c>
      <c r="C32" s="50">
        <v>28636591</v>
      </c>
      <c r="D32" s="51" t="s">
        <v>16</v>
      </c>
      <c r="E32" s="51" t="s">
        <v>17</v>
      </c>
      <c r="F32" s="59">
        <v>7.5</v>
      </c>
      <c r="G32" s="60">
        <v>8</v>
      </c>
      <c r="H32" s="60">
        <v>6</v>
      </c>
      <c r="I32" s="59">
        <v>8</v>
      </c>
      <c r="J32" s="59">
        <v>6</v>
      </c>
      <c r="K32" s="63">
        <f t="shared" si="4"/>
        <v>0</v>
      </c>
      <c r="L32" s="63">
        <f t="shared" si="4"/>
        <v>0</v>
      </c>
      <c r="M32" s="63">
        <f t="shared" si="4"/>
        <v>0</v>
      </c>
      <c r="N32" s="63">
        <f t="shared" si="4"/>
        <v>0</v>
      </c>
      <c r="O32" s="63">
        <f t="shared" si="4"/>
        <v>0</v>
      </c>
      <c r="P32" s="40">
        <v>75</v>
      </c>
      <c r="Q32" s="40">
        <f>P32*8</f>
        <v>600</v>
      </c>
      <c r="R32" s="64">
        <f t="shared" si="7"/>
        <v>562.5</v>
      </c>
      <c r="S32" s="64">
        <f t="shared" si="13"/>
        <v>600</v>
      </c>
      <c r="T32" s="64">
        <f t="shared" si="14"/>
        <v>450</v>
      </c>
      <c r="U32" s="64">
        <f t="shared" si="15"/>
        <v>600</v>
      </c>
      <c r="V32" s="64">
        <f t="shared" si="16"/>
        <v>450</v>
      </c>
      <c r="W32" s="66">
        <f t="shared" si="8"/>
        <v>0</v>
      </c>
      <c r="X32" s="66">
        <f t="shared" si="17"/>
        <v>0</v>
      </c>
      <c r="Y32" s="66">
        <f t="shared" si="18"/>
        <v>0</v>
      </c>
      <c r="Z32" s="66">
        <f t="shared" si="19"/>
        <v>0</v>
      </c>
      <c r="AA32" s="66">
        <f t="shared" si="20"/>
        <v>0</v>
      </c>
      <c r="AB32" s="67">
        <f t="shared" si="5"/>
        <v>562.5</v>
      </c>
      <c r="AC32" s="67">
        <f t="shared" si="21"/>
        <v>600</v>
      </c>
      <c r="AD32" s="67">
        <f t="shared" si="22"/>
        <v>450</v>
      </c>
      <c r="AE32" s="67">
        <f t="shared" si="23"/>
        <v>600</v>
      </c>
      <c r="AF32" s="69">
        <f t="shared" si="24"/>
        <v>450</v>
      </c>
      <c r="AG32" s="71">
        <f t="shared" si="6"/>
        <v>2662.5</v>
      </c>
      <c r="AH32" s="29"/>
    </row>
    <row r="33" spans="1:34" s="28" customFormat="1">
      <c r="A33" s="26">
        <v>2</v>
      </c>
      <c r="B33" s="53" t="s">
        <v>51</v>
      </c>
      <c r="C33" s="50">
        <v>25544700</v>
      </c>
      <c r="D33" s="51" t="s">
        <v>52</v>
      </c>
      <c r="E33" s="51" t="s">
        <v>17</v>
      </c>
      <c r="F33" s="59">
        <v>2</v>
      </c>
      <c r="G33" s="60">
        <v>8</v>
      </c>
      <c r="H33" s="60">
        <v>5</v>
      </c>
      <c r="I33" s="59">
        <v>8</v>
      </c>
      <c r="J33" s="59">
        <v>5</v>
      </c>
      <c r="K33" s="63">
        <f t="shared" si="4"/>
        <v>0</v>
      </c>
      <c r="L33" s="63">
        <f t="shared" si="4"/>
        <v>0</v>
      </c>
      <c r="M33" s="63">
        <f t="shared" si="4"/>
        <v>0</v>
      </c>
      <c r="N33" s="63">
        <f t="shared" si="4"/>
        <v>0</v>
      </c>
      <c r="O33" s="63">
        <f t="shared" si="4"/>
        <v>0</v>
      </c>
      <c r="P33" s="40">
        <v>75</v>
      </c>
      <c r="Q33" s="40">
        <f>P33*8</f>
        <v>600</v>
      </c>
      <c r="R33" s="64">
        <f t="shared" si="7"/>
        <v>150</v>
      </c>
      <c r="S33" s="64">
        <f t="shared" si="13"/>
        <v>600</v>
      </c>
      <c r="T33" s="64">
        <f t="shared" si="14"/>
        <v>375</v>
      </c>
      <c r="U33" s="64">
        <f t="shared" si="15"/>
        <v>600</v>
      </c>
      <c r="V33" s="64">
        <f t="shared" si="16"/>
        <v>375</v>
      </c>
      <c r="W33" s="66">
        <f t="shared" si="8"/>
        <v>0</v>
      </c>
      <c r="X33" s="66">
        <f t="shared" si="17"/>
        <v>0</v>
      </c>
      <c r="Y33" s="66">
        <f t="shared" si="18"/>
        <v>0</v>
      </c>
      <c r="Z33" s="66">
        <f t="shared" si="19"/>
        <v>0</v>
      </c>
      <c r="AA33" s="66">
        <f t="shared" si="20"/>
        <v>0</v>
      </c>
      <c r="AB33" s="67">
        <f t="shared" si="5"/>
        <v>150</v>
      </c>
      <c r="AC33" s="67">
        <f t="shared" si="21"/>
        <v>600</v>
      </c>
      <c r="AD33" s="67">
        <f t="shared" si="22"/>
        <v>375</v>
      </c>
      <c r="AE33" s="67">
        <f t="shared" si="23"/>
        <v>600</v>
      </c>
      <c r="AF33" s="69">
        <f t="shared" si="24"/>
        <v>375</v>
      </c>
      <c r="AG33" s="71">
        <f t="shared" si="6"/>
        <v>2100</v>
      </c>
      <c r="AH33" s="29"/>
    </row>
    <row r="34" spans="1:34" s="28" customFormat="1">
      <c r="A34" s="26">
        <v>3</v>
      </c>
      <c r="B34" s="53" t="s">
        <v>53</v>
      </c>
      <c r="C34" s="50">
        <v>30329666</v>
      </c>
      <c r="D34" s="51" t="s">
        <v>52</v>
      </c>
      <c r="E34" s="51" t="s">
        <v>17</v>
      </c>
      <c r="F34" s="59">
        <v>2</v>
      </c>
      <c r="G34" s="60">
        <v>16</v>
      </c>
      <c r="H34" s="60">
        <v>5</v>
      </c>
      <c r="I34" s="59">
        <v>16</v>
      </c>
      <c r="J34" s="59">
        <v>5</v>
      </c>
      <c r="K34" s="63">
        <f t="shared" si="4"/>
        <v>0</v>
      </c>
      <c r="L34" s="63">
        <f t="shared" si="4"/>
        <v>8</v>
      </c>
      <c r="M34" s="63">
        <f t="shared" si="4"/>
        <v>0</v>
      </c>
      <c r="N34" s="63">
        <f t="shared" si="4"/>
        <v>8</v>
      </c>
      <c r="O34" s="63">
        <f t="shared" si="4"/>
        <v>0</v>
      </c>
      <c r="P34" s="40">
        <v>75</v>
      </c>
      <c r="Q34" s="40">
        <f t="shared" ref="Q34:Q36" si="25">P34*8</f>
        <v>600</v>
      </c>
      <c r="R34" s="64">
        <f t="shared" si="7"/>
        <v>150</v>
      </c>
      <c r="S34" s="64">
        <f t="shared" si="13"/>
        <v>1200</v>
      </c>
      <c r="T34" s="64">
        <f t="shared" si="14"/>
        <v>375</v>
      </c>
      <c r="U34" s="64">
        <f t="shared" si="15"/>
        <v>1200</v>
      </c>
      <c r="V34" s="64">
        <f t="shared" si="16"/>
        <v>375</v>
      </c>
      <c r="W34" s="66">
        <f t="shared" si="8"/>
        <v>0</v>
      </c>
      <c r="X34" s="66">
        <f t="shared" si="17"/>
        <v>300</v>
      </c>
      <c r="Y34" s="66">
        <f t="shared" si="18"/>
        <v>0</v>
      </c>
      <c r="Z34" s="66">
        <f t="shared" si="19"/>
        <v>300</v>
      </c>
      <c r="AA34" s="66">
        <f t="shared" si="20"/>
        <v>0</v>
      </c>
      <c r="AB34" s="67">
        <f t="shared" si="5"/>
        <v>150</v>
      </c>
      <c r="AC34" s="67">
        <f t="shared" si="21"/>
        <v>1500</v>
      </c>
      <c r="AD34" s="67">
        <f t="shared" si="22"/>
        <v>375</v>
      </c>
      <c r="AE34" s="67">
        <f t="shared" si="23"/>
        <v>1500</v>
      </c>
      <c r="AF34" s="69">
        <f t="shared" si="24"/>
        <v>375</v>
      </c>
      <c r="AG34" s="71">
        <f t="shared" si="6"/>
        <v>3900</v>
      </c>
      <c r="AH34" s="29"/>
    </row>
    <row r="35" spans="1:34" s="28" customFormat="1">
      <c r="A35" s="26">
        <v>4</v>
      </c>
      <c r="B35" s="53" t="s">
        <v>54</v>
      </c>
      <c r="C35" s="50">
        <v>12971841</v>
      </c>
      <c r="D35" s="51" t="s">
        <v>52</v>
      </c>
      <c r="E35" s="51" t="s">
        <v>17</v>
      </c>
      <c r="F35" s="59">
        <v>2</v>
      </c>
      <c r="G35" s="58">
        <v>9.5</v>
      </c>
      <c r="H35" s="59">
        <v>10</v>
      </c>
      <c r="I35" s="59">
        <v>9.5</v>
      </c>
      <c r="J35" s="59">
        <v>10</v>
      </c>
      <c r="K35" s="63">
        <f>IF(F35&gt;8,F35-8,0)</f>
        <v>0</v>
      </c>
      <c r="L35" s="63">
        <f t="shared" ref="L35:O38" si="26">IF(G35&gt;8,G35-8,0)</f>
        <v>1.5</v>
      </c>
      <c r="M35" s="63">
        <f t="shared" si="26"/>
        <v>2</v>
      </c>
      <c r="N35" s="63">
        <f t="shared" si="26"/>
        <v>1.5</v>
      </c>
      <c r="O35" s="63">
        <f t="shared" si="26"/>
        <v>2</v>
      </c>
      <c r="P35" s="40">
        <v>75</v>
      </c>
      <c r="Q35" s="40">
        <f t="shared" si="25"/>
        <v>600</v>
      </c>
      <c r="R35" s="64">
        <f t="shared" si="7"/>
        <v>150</v>
      </c>
      <c r="S35" s="64">
        <f t="shared" si="13"/>
        <v>712.5</v>
      </c>
      <c r="T35" s="64">
        <f t="shared" si="14"/>
        <v>750</v>
      </c>
      <c r="U35" s="64">
        <f t="shared" si="15"/>
        <v>712.5</v>
      </c>
      <c r="V35" s="64">
        <f t="shared" si="16"/>
        <v>750</v>
      </c>
      <c r="W35" s="66">
        <f t="shared" si="8"/>
        <v>0</v>
      </c>
      <c r="X35" s="66">
        <f t="shared" si="17"/>
        <v>56.25</v>
      </c>
      <c r="Y35" s="66">
        <f t="shared" si="18"/>
        <v>75</v>
      </c>
      <c r="Z35" s="66">
        <f t="shared" si="19"/>
        <v>56.25</v>
      </c>
      <c r="AA35" s="66">
        <f t="shared" si="20"/>
        <v>75</v>
      </c>
      <c r="AB35" s="67">
        <f t="shared" si="5"/>
        <v>150</v>
      </c>
      <c r="AC35" s="67">
        <f t="shared" si="21"/>
        <v>768.75</v>
      </c>
      <c r="AD35" s="67">
        <f t="shared" si="22"/>
        <v>825</v>
      </c>
      <c r="AE35" s="67">
        <f t="shared" si="23"/>
        <v>768.75</v>
      </c>
      <c r="AF35" s="69">
        <f t="shared" si="24"/>
        <v>825</v>
      </c>
      <c r="AG35" s="71">
        <f t="shared" si="6"/>
        <v>3337.5</v>
      </c>
      <c r="AH35" s="29"/>
    </row>
    <row r="36" spans="1:34">
      <c r="A36" s="26">
        <v>5</v>
      </c>
      <c r="B36" s="30" t="s">
        <v>55</v>
      </c>
      <c r="C36" s="50">
        <v>26511345</v>
      </c>
      <c r="D36" s="51" t="s">
        <v>16</v>
      </c>
      <c r="E36" s="51" t="s">
        <v>17</v>
      </c>
      <c r="F36" s="60">
        <v>8.5</v>
      </c>
      <c r="G36" s="58">
        <v>9.5</v>
      </c>
      <c r="H36" s="59">
        <v>11</v>
      </c>
      <c r="I36" s="60">
        <v>9.5</v>
      </c>
      <c r="J36" s="60">
        <v>11</v>
      </c>
      <c r="K36" s="63">
        <f>IF(F36&gt;8,F36-8,0)</f>
        <v>0.5</v>
      </c>
      <c r="L36" s="63">
        <f t="shared" si="26"/>
        <v>1.5</v>
      </c>
      <c r="M36" s="63">
        <f t="shared" si="26"/>
        <v>3</v>
      </c>
      <c r="N36" s="63">
        <f t="shared" si="26"/>
        <v>1.5</v>
      </c>
      <c r="O36" s="63">
        <f t="shared" si="26"/>
        <v>3</v>
      </c>
      <c r="P36" s="40">
        <v>75</v>
      </c>
      <c r="Q36" s="40">
        <f t="shared" si="25"/>
        <v>600</v>
      </c>
      <c r="R36" s="64">
        <f t="shared" si="7"/>
        <v>637.5</v>
      </c>
      <c r="S36" s="64">
        <f t="shared" si="13"/>
        <v>712.5</v>
      </c>
      <c r="T36" s="64">
        <f t="shared" si="14"/>
        <v>825</v>
      </c>
      <c r="U36" s="64">
        <f t="shared" si="15"/>
        <v>712.5</v>
      </c>
      <c r="V36" s="64">
        <f t="shared" si="16"/>
        <v>825</v>
      </c>
      <c r="W36" s="66">
        <f t="shared" si="8"/>
        <v>18.75</v>
      </c>
      <c r="X36" s="66">
        <f t="shared" si="17"/>
        <v>56.25</v>
      </c>
      <c r="Y36" s="66">
        <f t="shared" si="18"/>
        <v>112.5</v>
      </c>
      <c r="Z36" s="66">
        <f t="shared" si="19"/>
        <v>56.25</v>
      </c>
      <c r="AA36" s="66">
        <f t="shared" si="20"/>
        <v>112.5</v>
      </c>
      <c r="AB36" s="67">
        <f t="shared" si="5"/>
        <v>656.25</v>
      </c>
      <c r="AC36" s="67">
        <f t="shared" si="21"/>
        <v>768.75</v>
      </c>
      <c r="AD36" s="67">
        <f t="shared" si="22"/>
        <v>937.5</v>
      </c>
      <c r="AE36" s="67">
        <f t="shared" si="23"/>
        <v>768.75</v>
      </c>
      <c r="AF36" s="69">
        <f t="shared" si="24"/>
        <v>937.5</v>
      </c>
      <c r="AG36" s="71">
        <f t="shared" si="6"/>
        <v>4068.75</v>
      </c>
    </row>
    <row r="37" spans="1:34">
      <c r="A37" s="26">
        <v>6</v>
      </c>
      <c r="B37" s="30" t="s">
        <v>56</v>
      </c>
      <c r="C37" s="50">
        <v>11658138</v>
      </c>
      <c r="D37" s="25" t="s">
        <v>57</v>
      </c>
      <c r="E37" s="51" t="s">
        <v>17</v>
      </c>
      <c r="F37" s="60">
        <v>8.5</v>
      </c>
      <c r="G37" s="58">
        <v>19</v>
      </c>
      <c r="H37" s="58">
        <v>8</v>
      </c>
      <c r="I37" s="60">
        <v>19</v>
      </c>
      <c r="J37" s="60">
        <v>8</v>
      </c>
      <c r="K37" s="63">
        <f>IF(F37&gt;8,F37-8,0)</f>
        <v>0.5</v>
      </c>
      <c r="L37" s="63">
        <f t="shared" si="26"/>
        <v>11</v>
      </c>
      <c r="M37" s="63">
        <f t="shared" si="26"/>
        <v>0</v>
      </c>
      <c r="N37" s="63">
        <f t="shared" si="26"/>
        <v>11</v>
      </c>
      <c r="O37" s="63">
        <f t="shared" si="26"/>
        <v>0</v>
      </c>
      <c r="P37" s="39">
        <v>98.86</v>
      </c>
      <c r="Q37" s="40">
        <f>P37*8</f>
        <v>790.88</v>
      </c>
      <c r="R37" s="64">
        <f t="shared" si="7"/>
        <v>840.31</v>
      </c>
      <c r="S37" s="64">
        <f t="shared" si="13"/>
        <v>1878.34</v>
      </c>
      <c r="T37" s="64">
        <f t="shared" si="14"/>
        <v>790.88</v>
      </c>
      <c r="U37" s="64">
        <f t="shared" si="15"/>
        <v>1878.34</v>
      </c>
      <c r="V37" s="64">
        <f t="shared" si="16"/>
        <v>790.88</v>
      </c>
      <c r="W37" s="66">
        <f t="shared" si="8"/>
        <v>24.715</v>
      </c>
      <c r="X37" s="66">
        <f t="shared" si="17"/>
        <v>543.73</v>
      </c>
      <c r="Y37" s="66">
        <f t="shared" si="18"/>
        <v>0</v>
      </c>
      <c r="Z37" s="66">
        <f t="shared" si="19"/>
        <v>543.73</v>
      </c>
      <c r="AA37" s="66">
        <f t="shared" si="20"/>
        <v>0</v>
      </c>
      <c r="AB37" s="67">
        <f t="shared" si="5"/>
        <v>865.02499999999998</v>
      </c>
      <c r="AC37" s="67">
        <f t="shared" si="21"/>
        <v>2422.0699999999997</v>
      </c>
      <c r="AD37" s="67">
        <f t="shared" si="22"/>
        <v>790.88</v>
      </c>
      <c r="AE37" s="67">
        <f t="shared" si="23"/>
        <v>2422.0699999999997</v>
      </c>
      <c r="AF37" s="69">
        <f t="shared" si="24"/>
        <v>790.88</v>
      </c>
      <c r="AG37" s="71">
        <f t="shared" si="6"/>
        <v>7290.9250000000002</v>
      </c>
    </row>
    <row r="38" spans="1:34" s="28" customFormat="1">
      <c r="A38" s="11">
        <v>1</v>
      </c>
      <c r="B38" s="30" t="s">
        <v>58</v>
      </c>
      <c r="C38" s="50">
        <v>25648332</v>
      </c>
      <c r="D38" s="25" t="s">
        <v>16</v>
      </c>
      <c r="E38" s="25" t="s">
        <v>17</v>
      </c>
      <c r="F38" s="60">
        <v>8</v>
      </c>
      <c r="G38" s="61">
        <v>11.5</v>
      </c>
      <c r="H38" s="58">
        <v>6</v>
      </c>
      <c r="I38" s="60">
        <v>11.5</v>
      </c>
      <c r="J38" s="60">
        <v>6</v>
      </c>
      <c r="K38" s="63">
        <f>IF(F38&gt;8,F38-8,0)</f>
        <v>0</v>
      </c>
      <c r="L38" s="63">
        <f t="shared" si="26"/>
        <v>3.5</v>
      </c>
      <c r="M38" s="63">
        <f t="shared" si="26"/>
        <v>0</v>
      </c>
      <c r="N38" s="63">
        <f t="shared" si="26"/>
        <v>3.5</v>
      </c>
      <c r="O38" s="63">
        <f t="shared" si="26"/>
        <v>0</v>
      </c>
      <c r="P38" s="40">
        <v>75</v>
      </c>
      <c r="Q38" s="40">
        <v>600</v>
      </c>
      <c r="R38" s="64">
        <f t="shared" si="7"/>
        <v>600</v>
      </c>
      <c r="S38" s="64">
        <f t="shared" si="13"/>
        <v>862.5</v>
      </c>
      <c r="T38" s="64">
        <f t="shared" si="14"/>
        <v>450</v>
      </c>
      <c r="U38" s="64">
        <f t="shared" si="15"/>
        <v>862.5</v>
      </c>
      <c r="V38" s="64">
        <f t="shared" si="16"/>
        <v>450</v>
      </c>
      <c r="W38" s="66">
        <f t="shared" si="8"/>
        <v>0</v>
      </c>
      <c r="X38" s="66">
        <f t="shared" si="17"/>
        <v>131.25</v>
      </c>
      <c r="Y38" s="66">
        <f t="shared" si="18"/>
        <v>0</v>
      </c>
      <c r="Z38" s="66">
        <f t="shared" si="19"/>
        <v>131.25</v>
      </c>
      <c r="AA38" s="66">
        <f t="shared" si="20"/>
        <v>0</v>
      </c>
      <c r="AB38" s="67">
        <f t="shared" si="5"/>
        <v>600</v>
      </c>
      <c r="AC38" s="67">
        <f t="shared" si="21"/>
        <v>993.75</v>
      </c>
      <c r="AD38" s="67">
        <f t="shared" si="22"/>
        <v>450</v>
      </c>
      <c r="AE38" s="67">
        <f t="shared" si="23"/>
        <v>993.75</v>
      </c>
      <c r="AF38" s="69">
        <f t="shared" si="24"/>
        <v>450</v>
      </c>
      <c r="AG38" s="71">
        <f t="shared" si="6"/>
        <v>3487.5</v>
      </c>
      <c r="AH38" s="8"/>
    </row>
    <row r="39" spans="1:34">
      <c r="A39" s="11">
        <v>2</v>
      </c>
      <c r="B39" s="30" t="s">
        <v>59</v>
      </c>
      <c r="C39" s="50">
        <v>23134409</v>
      </c>
      <c r="D39" s="25" t="s">
        <v>16</v>
      </c>
      <c r="E39" s="25" t="s">
        <v>17</v>
      </c>
      <c r="F39" s="60">
        <v>8</v>
      </c>
      <c r="G39" s="61">
        <v>11.5</v>
      </c>
      <c r="H39" s="58">
        <v>6</v>
      </c>
      <c r="I39" s="60">
        <v>11.5</v>
      </c>
      <c r="J39" s="60">
        <v>6</v>
      </c>
      <c r="K39" s="63">
        <f t="shared" si="4"/>
        <v>0</v>
      </c>
      <c r="L39" s="63">
        <f t="shared" si="4"/>
        <v>3.5</v>
      </c>
      <c r="M39" s="63">
        <f t="shared" si="4"/>
        <v>0</v>
      </c>
      <c r="N39" s="63">
        <f t="shared" si="4"/>
        <v>3.5</v>
      </c>
      <c r="O39" s="63">
        <f t="shared" si="4"/>
        <v>0</v>
      </c>
      <c r="P39" s="40">
        <v>75</v>
      </c>
      <c r="Q39" s="40">
        <f>P39*8</f>
        <v>600</v>
      </c>
      <c r="R39" s="64">
        <f t="shared" si="7"/>
        <v>600</v>
      </c>
      <c r="S39" s="64">
        <f t="shared" si="13"/>
        <v>862.5</v>
      </c>
      <c r="T39" s="64">
        <f t="shared" si="14"/>
        <v>450</v>
      </c>
      <c r="U39" s="64">
        <f t="shared" si="15"/>
        <v>862.5</v>
      </c>
      <c r="V39" s="64">
        <f t="shared" si="16"/>
        <v>450</v>
      </c>
      <c r="W39" s="66">
        <f t="shared" si="8"/>
        <v>0</v>
      </c>
      <c r="X39" s="66">
        <f t="shared" si="17"/>
        <v>131.25</v>
      </c>
      <c r="Y39" s="66">
        <f t="shared" si="18"/>
        <v>0</v>
      </c>
      <c r="Z39" s="66">
        <f t="shared" si="19"/>
        <v>131.25</v>
      </c>
      <c r="AA39" s="66">
        <f t="shared" si="20"/>
        <v>0</v>
      </c>
      <c r="AB39" s="67">
        <f t="shared" si="5"/>
        <v>600</v>
      </c>
      <c r="AC39" s="67">
        <f t="shared" si="21"/>
        <v>993.75</v>
      </c>
      <c r="AD39" s="67">
        <f t="shared" si="22"/>
        <v>450</v>
      </c>
      <c r="AE39" s="67">
        <f t="shared" si="23"/>
        <v>993.75</v>
      </c>
      <c r="AF39" s="69">
        <f t="shared" si="24"/>
        <v>450</v>
      </c>
      <c r="AG39" s="71">
        <f t="shared" si="6"/>
        <v>3487.5</v>
      </c>
    </row>
    <row r="40" spans="1:34">
      <c r="A40" s="27">
        <v>1</v>
      </c>
      <c r="B40" s="30" t="s">
        <v>60</v>
      </c>
      <c r="C40" s="50">
        <v>31691974</v>
      </c>
      <c r="D40" s="52" t="s">
        <v>61</v>
      </c>
      <c r="E40" s="52" t="s">
        <v>17</v>
      </c>
      <c r="F40" s="60">
        <v>8</v>
      </c>
      <c r="G40" s="58">
        <v>9</v>
      </c>
      <c r="H40" s="59">
        <v>14</v>
      </c>
      <c r="I40" s="59">
        <v>9</v>
      </c>
      <c r="J40" s="59">
        <v>46</v>
      </c>
      <c r="K40" s="63">
        <f t="shared" si="4"/>
        <v>0</v>
      </c>
      <c r="L40" s="63">
        <f t="shared" si="4"/>
        <v>1</v>
      </c>
      <c r="M40" s="63">
        <f t="shared" si="4"/>
        <v>6</v>
      </c>
      <c r="N40" s="63">
        <f t="shared" si="4"/>
        <v>1</v>
      </c>
      <c r="O40" s="63">
        <f t="shared" si="4"/>
        <v>38</v>
      </c>
      <c r="P40" s="43">
        <v>114.9</v>
      </c>
      <c r="Q40" s="43">
        <v>919.22</v>
      </c>
      <c r="R40" s="64">
        <f t="shared" si="7"/>
        <v>919.2</v>
      </c>
      <c r="S40" s="64">
        <f t="shared" si="13"/>
        <v>1034.1000000000001</v>
      </c>
      <c r="T40" s="64">
        <f t="shared" si="14"/>
        <v>1608.6000000000001</v>
      </c>
      <c r="U40" s="64">
        <f t="shared" si="15"/>
        <v>1034.1000000000001</v>
      </c>
      <c r="V40" s="64">
        <f t="shared" si="16"/>
        <v>5285.4000000000005</v>
      </c>
      <c r="W40" s="66">
        <f t="shared" si="8"/>
        <v>0</v>
      </c>
      <c r="X40" s="66">
        <f t="shared" si="17"/>
        <v>57.45</v>
      </c>
      <c r="Y40" s="66">
        <f t="shared" si="18"/>
        <v>344.70000000000005</v>
      </c>
      <c r="Z40" s="66">
        <f t="shared" si="19"/>
        <v>57.45</v>
      </c>
      <c r="AA40" s="66">
        <f t="shared" si="20"/>
        <v>2183.1</v>
      </c>
      <c r="AB40" s="67">
        <f t="shared" si="5"/>
        <v>919.2</v>
      </c>
      <c r="AC40" s="67">
        <f t="shared" si="21"/>
        <v>1091.5500000000002</v>
      </c>
      <c r="AD40" s="67">
        <f t="shared" si="22"/>
        <v>1953.3000000000002</v>
      </c>
      <c r="AE40" s="67">
        <f t="shared" si="23"/>
        <v>1091.5500000000002</v>
      </c>
      <c r="AF40" s="69">
        <f t="shared" si="24"/>
        <v>7468.5</v>
      </c>
      <c r="AG40" s="71">
        <f t="shared" si="6"/>
        <v>12524.1</v>
      </c>
    </row>
    <row r="41" spans="1:34">
      <c r="A41" s="11">
        <v>1</v>
      </c>
      <c r="B41" s="54" t="s">
        <v>62</v>
      </c>
      <c r="C41" s="50">
        <v>34443384</v>
      </c>
      <c r="D41" s="55" t="s">
        <v>63</v>
      </c>
      <c r="E41" s="55" t="s">
        <v>17</v>
      </c>
      <c r="F41" s="59">
        <v>9.5</v>
      </c>
      <c r="G41" s="58">
        <v>9</v>
      </c>
      <c r="H41" s="59">
        <v>6</v>
      </c>
      <c r="I41" s="59">
        <v>9</v>
      </c>
      <c r="J41" s="59">
        <v>6</v>
      </c>
      <c r="K41" s="63">
        <f t="shared" si="4"/>
        <v>1.5</v>
      </c>
      <c r="L41" s="63">
        <f t="shared" si="4"/>
        <v>1</v>
      </c>
      <c r="M41" s="63">
        <f t="shared" si="4"/>
        <v>0</v>
      </c>
      <c r="N41" s="63">
        <f t="shared" si="4"/>
        <v>1</v>
      </c>
      <c r="O41" s="63">
        <f t="shared" si="4"/>
        <v>0</v>
      </c>
      <c r="P41" s="40">
        <v>173.43</v>
      </c>
      <c r="Q41" s="41">
        <v>1387.44</v>
      </c>
      <c r="R41" s="64">
        <f t="shared" si="7"/>
        <v>1647.585</v>
      </c>
      <c r="S41" s="64">
        <f t="shared" si="13"/>
        <v>1560.8700000000001</v>
      </c>
      <c r="T41" s="64">
        <f t="shared" si="14"/>
        <v>1040.58</v>
      </c>
      <c r="U41" s="64">
        <f t="shared" si="15"/>
        <v>1560.8700000000001</v>
      </c>
      <c r="V41" s="64">
        <f t="shared" si="16"/>
        <v>1040.58</v>
      </c>
      <c r="W41" s="66">
        <f t="shared" si="8"/>
        <v>130.07249999999999</v>
      </c>
      <c r="X41" s="66">
        <f t="shared" si="17"/>
        <v>86.715000000000003</v>
      </c>
      <c r="Y41" s="66">
        <f t="shared" si="18"/>
        <v>0</v>
      </c>
      <c r="Z41" s="66">
        <f t="shared" si="19"/>
        <v>86.715000000000003</v>
      </c>
      <c r="AA41" s="66">
        <f t="shared" si="20"/>
        <v>0</v>
      </c>
      <c r="AB41" s="67">
        <f t="shared" si="5"/>
        <v>1777.6575</v>
      </c>
      <c r="AC41" s="67">
        <f t="shared" si="21"/>
        <v>1647.585</v>
      </c>
      <c r="AD41" s="67">
        <f t="shared" si="22"/>
        <v>1040.58</v>
      </c>
      <c r="AE41" s="67">
        <f t="shared" si="23"/>
        <v>1647.585</v>
      </c>
      <c r="AF41" s="69">
        <f t="shared" si="24"/>
        <v>1040.58</v>
      </c>
      <c r="AG41" s="71">
        <f t="shared" si="6"/>
        <v>7153.9875000000002</v>
      </c>
      <c r="AH41" s="1"/>
    </row>
    <row r="42" spans="1:34">
      <c r="A42" s="11">
        <v>2</v>
      </c>
      <c r="B42" s="54" t="s">
        <v>64</v>
      </c>
      <c r="C42" s="50">
        <v>34374113</v>
      </c>
      <c r="D42" s="55" t="s">
        <v>63</v>
      </c>
      <c r="E42" s="55" t="s">
        <v>17</v>
      </c>
      <c r="F42" s="59">
        <v>9.5</v>
      </c>
      <c r="G42" s="58">
        <v>10</v>
      </c>
      <c r="H42" s="60">
        <v>6</v>
      </c>
      <c r="I42" s="59">
        <v>10</v>
      </c>
      <c r="J42" s="59">
        <v>6</v>
      </c>
      <c r="K42" s="63">
        <f t="shared" si="4"/>
        <v>1.5</v>
      </c>
      <c r="L42" s="63">
        <f t="shared" si="4"/>
        <v>2</v>
      </c>
      <c r="M42" s="63">
        <f t="shared" si="4"/>
        <v>0</v>
      </c>
      <c r="N42" s="63">
        <f t="shared" si="4"/>
        <v>2</v>
      </c>
      <c r="O42" s="63">
        <f t="shared" si="4"/>
        <v>0</v>
      </c>
      <c r="P42" s="40">
        <v>173.43</v>
      </c>
      <c r="Q42" s="41">
        <v>1387.44</v>
      </c>
      <c r="R42" s="64">
        <f t="shared" si="7"/>
        <v>1647.585</v>
      </c>
      <c r="S42" s="64">
        <f t="shared" si="13"/>
        <v>1734.3000000000002</v>
      </c>
      <c r="T42" s="64">
        <f t="shared" si="14"/>
        <v>1040.58</v>
      </c>
      <c r="U42" s="64">
        <f t="shared" si="15"/>
        <v>1734.3000000000002</v>
      </c>
      <c r="V42" s="64">
        <f t="shared" si="16"/>
        <v>1040.58</v>
      </c>
      <c r="W42" s="66">
        <f t="shared" si="8"/>
        <v>130.07249999999999</v>
      </c>
      <c r="X42" s="66">
        <f t="shared" si="17"/>
        <v>173.43</v>
      </c>
      <c r="Y42" s="66">
        <f t="shared" si="18"/>
        <v>0</v>
      </c>
      <c r="Z42" s="66">
        <f t="shared" si="19"/>
        <v>173.43</v>
      </c>
      <c r="AA42" s="66">
        <f t="shared" si="20"/>
        <v>0</v>
      </c>
      <c r="AB42" s="67">
        <f t="shared" si="5"/>
        <v>1777.6575</v>
      </c>
      <c r="AC42" s="67">
        <f t="shared" si="21"/>
        <v>1907.7300000000002</v>
      </c>
      <c r="AD42" s="67">
        <f t="shared" si="22"/>
        <v>1040.58</v>
      </c>
      <c r="AE42" s="67">
        <f t="shared" si="23"/>
        <v>1907.7300000000002</v>
      </c>
      <c r="AF42" s="69">
        <f t="shared" si="24"/>
        <v>1040.58</v>
      </c>
      <c r="AG42" s="71">
        <f t="shared" si="6"/>
        <v>7674.2775000000011</v>
      </c>
      <c r="AH42" s="1"/>
    </row>
    <row r="43" spans="1:34">
      <c r="A43" s="27">
        <v>1</v>
      </c>
      <c r="B43" s="30" t="s">
        <v>65</v>
      </c>
      <c r="C43" s="50">
        <v>25482367</v>
      </c>
      <c r="D43" s="21" t="s">
        <v>66</v>
      </c>
      <c r="E43" s="25" t="s">
        <v>17</v>
      </c>
      <c r="F43" s="58">
        <v>9</v>
      </c>
      <c r="G43" s="59">
        <v>8</v>
      </c>
      <c r="H43" s="60">
        <v>5</v>
      </c>
      <c r="I43" s="58">
        <v>8</v>
      </c>
      <c r="J43" s="58">
        <v>5</v>
      </c>
      <c r="K43" s="63">
        <f t="shared" si="4"/>
        <v>1</v>
      </c>
      <c r="L43" s="63">
        <f t="shared" si="4"/>
        <v>0</v>
      </c>
      <c r="M43" s="63">
        <f t="shared" si="4"/>
        <v>0</v>
      </c>
      <c r="N43" s="63">
        <f t="shared" si="4"/>
        <v>0</v>
      </c>
      <c r="O43" s="63">
        <f t="shared" si="4"/>
        <v>0</v>
      </c>
      <c r="P43" s="40">
        <v>98.86</v>
      </c>
      <c r="Q43" s="42">
        <f>+P43*8</f>
        <v>790.88</v>
      </c>
      <c r="R43" s="64">
        <f t="shared" si="7"/>
        <v>889.74</v>
      </c>
      <c r="S43" s="64">
        <f t="shared" si="13"/>
        <v>790.88</v>
      </c>
      <c r="T43" s="64">
        <f t="shared" si="14"/>
        <v>494.3</v>
      </c>
      <c r="U43" s="64">
        <f t="shared" si="15"/>
        <v>790.88</v>
      </c>
      <c r="V43" s="64">
        <f t="shared" si="16"/>
        <v>494.3</v>
      </c>
      <c r="W43" s="66">
        <f t="shared" si="8"/>
        <v>49.43</v>
      </c>
      <c r="X43" s="66">
        <f t="shared" si="17"/>
        <v>0</v>
      </c>
      <c r="Y43" s="66">
        <f t="shared" si="18"/>
        <v>0</v>
      </c>
      <c r="Z43" s="66">
        <f t="shared" si="19"/>
        <v>0</v>
      </c>
      <c r="AA43" s="66">
        <f t="shared" si="20"/>
        <v>0</v>
      </c>
      <c r="AB43" s="67">
        <f t="shared" si="5"/>
        <v>939.17</v>
      </c>
      <c r="AC43" s="67">
        <f t="shared" si="21"/>
        <v>790.88</v>
      </c>
      <c r="AD43" s="67">
        <f t="shared" si="22"/>
        <v>494.3</v>
      </c>
      <c r="AE43" s="67">
        <f t="shared" si="23"/>
        <v>790.88</v>
      </c>
      <c r="AF43" s="69">
        <f t="shared" si="24"/>
        <v>494.3</v>
      </c>
      <c r="AG43" s="71">
        <f t="shared" si="6"/>
        <v>3509.53</v>
      </c>
    </row>
    <row r="44" spans="1:34">
      <c r="A44" s="27">
        <v>2</v>
      </c>
      <c r="B44" s="30" t="s">
        <v>67</v>
      </c>
      <c r="C44" s="50">
        <v>28842785</v>
      </c>
      <c r="D44" s="21" t="s">
        <v>66</v>
      </c>
      <c r="E44" s="25" t="s">
        <v>17</v>
      </c>
      <c r="F44" s="58">
        <v>10.5</v>
      </c>
      <c r="G44" s="59">
        <v>10</v>
      </c>
      <c r="H44" s="60">
        <v>6</v>
      </c>
      <c r="I44" s="58">
        <v>10</v>
      </c>
      <c r="J44" s="58">
        <v>6</v>
      </c>
      <c r="K44" s="63">
        <f t="shared" si="4"/>
        <v>2.5</v>
      </c>
      <c r="L44" s="63">
        <f t="shared" si="4"/>
        <v>2</v>
      </c>
      <c r="M44" s="63">
        <f t="shared" si="4"/>
        <v>0</v>
      </c>
      <c r="N44" s="63">
        <f t="shared" si="4"/>
        <v>2</v>
      </c>
      <c r="O44" s="63">
        <f t="shared" si="4"/>
        <v>0</v>
      </c>
      <c r="P44" s="40">
        <v>98.86</v>
      </c>
      <c r="Q44" s="42">
        <f>+P44*8</f>
        <v>790.88</v>
      </c>
      <c r="R44" s="64">
        <f t="shared" si="7"/>
        <v>1038.03</v>
      </c>
      <c r="S44" s="64">
        <f t="shared" si="13"/>
        <v>988.6</v>
      </c>
      <c r="T44" s="64">
        <f t="shared" si="14"/>
        <v>593.16</v>
      </c>
      <c r="U44" s="64">
        <f t="shared" si="15"/>
        <v>988.6</v>
      </c>
      <c r="V44" s="64">
        <f t="shared" si="16"/>
        <v>593.16</v>
      </c>
      <c r="W44" s="66">
        <f t="shared" si="8"/>
        <v>123.575</v>
      </c>
      <c r="X44" s="66">
        <f t="shared" si="17"/>
        <v>98.86</v>
      </c>
      <c r="Y44" s="66">
        <f t="shared" si="18"/>
        <v>0</v>
      </c>
      <c r="Z44" s="66">
        <f t="shared" si="19"/>
        <v>98.86</v>
      </c>
      <c r="AA44" s="66">
        <f t="shared" si="20"/>
        <v>0</v>
      </c>
      <c r="AB44" s="67">
        <f t="shared" si="5"/>
        <v>1161.605</v>
      </c>
      <c r="AC44" s="67">
        <f t="shared" si="21"/>
        <v>1087.46</v>
      </c>
      <c r="AD44" s="67">
        <f t="shared" si="22"/>
        <v>593.16</v>
      </c>
      <c r="AE44" s="67">
        <f t="shared" si="23"/>
        <v>1087.46</v>
      </c>
      <c r="AF44" s="69">
        <f t="shared" si="24"/>
        <v>593.16</v>
      </c>
      <c r="AG44" s="71">
        <f t="shared" si="6"/>
        <v>4522.8450000000003</v>
      </c>
    </row>
    <row r="45" spans="1:34">
      <c r="A45" s="27">
        <v>3</v>
      </c>
      <c r="B45" s="30" t="s">
        <v>68</v>
      </c>
      <c r="C45" s="50">
        <v>29892286</v>
      </c>
      <c r="D45" s="21" t="s">
        <v>16</v>
      </c>
      <c r="E45" s="25" t="s">
        <v>17</v>
      </c>
      <c r="F45" s="58">
        <v>9</v>
      </c>
      <c r="G45" s="59">
        <v>10</v>
      </c>
      <c r="H45" s="60">
        <v>5</v>
      </c>
      <c r="I45" s="58">
        <v>10</v>
      </c>
      <c r="J45" s="58">
        <v>5</v>
      </c>
      <c r="K45" s="63">
        <f t="shared" si="4"/>
        <v>1</v>
      </c>
      <c r="L45" s="63">
        <f t="shared" si="4"/>
        <v>2</v>
      </c>
      <c r="M45" s="63">
        <f t="shared" si="4"/>
        <v>0</v>
      </c>
      <c r="N45" s="63">
        <f t="shared" si="4"/>
        <v>2</v>
      </c>
      <c r="O45" s="63">
        <f t="shared" si="4"/>
        <v>0</v>
      </c>
      <c r="P45" s="40">
        <v>75</v>
      </c>
      <c r="Q45" s="42">
        <f>+P45*8</f>
        <v>600</v>
      </c>
      <c r="R45" s="64">
        <f t="shared" si="7"/>
        <v>675</v>
      </c>
      <c r="S45" s="64">
        <f t="shared" si="13"/>
        <v>750</v>
      </c>
      <c r="T45" s="64">
        <f t="shared" si="14"/>
        <v>375</v>
      </c>
      <c r="U45" s="64">
        <f t="shared" si="15"/>
        <v>750</v>
      </c>
      <c r="V45" s="64">
        <f t="shared" si="16"/>
        <v>375</v>
      </c>
      <c r="W45" s="66">
        <f t="shared" si="8"/>
        <v>37.5</v>
      </c>
      <c r="X45" s="66">
        <f t="shared" si="17"/>
        <v>75</v>
      </c>
      <c r="Y45" s="66">
        <f t="shared" si="18"/>
        <v>0</v>
      </c>
      <c r="Z45" s="66">
        <f t="shared" si="19"/>
        <v>75</v>
      </c>
      <c r="AA45" s="66">
        <f t="shared" si="20"/>
        <v>0</v>
      </c>
      <c r="AB45" s="67">
        <f t="shared" si="5"/>
        <v>712.5</v>
      </c>
      <c r="AC45" s="67">
        <f t="shared" si="21"/>
        <v>825</v>
      </c>
      <c r="AD45" s="67">
        <f t="shared" si="22"/>
        <v>375</v>
      </c>
      <c r="AE45" s="67">
        <f t="shared" si="23"/>
        <v>825</v>
      </c>
      <c r="AF45" s="69">
        <f t="shared" si="24"/>
        <v>375</v>
      </c>
      <c r="AG45" s="71">
        <f t="shared" si="6"/>
        <v>3112.5</v>
      </c>
    </row>
    <row r="46" spans="1:34">
      <c r="A46" s="45">
        <v>4</v>
      </c>
      <c r="B46" s="30" t="s">
        <v>69</v>
      </c>
      <c r="C46" s="50">
        <v>12640148</v>
      </c>
      <c r="D46" s="21" t="s">
        <v>16</v>
      </c>
      <c r="E46" s="25" t="s">
        <v>17</v>
      </c>
      <c r="F46" s="58">
        <v>9</v>
      </c>
      <c r="G46" s="59">
        <v>13</v>
      </c>
      <c r="H46" s="60">
        <v>5</v>
      </c>
      <c r="I46" s="58">
        <v>13</v>
      </c>
      <c r="J46" s="58">
        <v>5</v>
      </c>
      <c r="K46" s="63">
        <f t="shared" si="4"/>
        <v>1</v>
      </c>
      <c r="L46" s="63">
        <f t="shared" si="4"/>
        <v>5</v>
      </c>
      <c r="M46" s="63">
        <f t="shared" si="4"/>
        <v>0</v>
      </c>
      <c r="N46" s="63">
        <f t="shared" si="4"/>
        <v>5</v>
      </c>
      <c r="O46" s="63">
        <f t="shared" si="4"/>
        <v>0</v>
      </c>
      <c r="P46" s="40">
        <v>75</v>
      </c>
      <c r="Q46" s="42">
        <f>+P46*8</f>
        <v>600</v>
      </c>
      <c r="R46" s="64">
        <f t="shared" si="7"/>
        <v>675</v>
      </c>
      <c r="S46" s="64">
        <f t="shared" si="13"/>
        <v>975</v>
      </c>
      <c r="T46" s="64">
        <f t="shared" si="14"/>
        <v>375</v>
      </c>
      <c r="U46" s="64">
        <f t="shared" si="15"/>
        <v>975</v>
      </c>
      <c r="V46" s="64">
        <f t="shared" si="16"/>
        <v>375</v>
      </c>
      <c r="W46" s="66">
        <f t="shared" si="8"/>
        <v>37.5</v>
      </c>
      <c r="X46" s="66">
        <f t="shared" si="17"/>
        <v>187.5</v>
      </c>
      <c r="Y46" s="66">
        <f t="shared" si="18"/>
        <v>0</v>
      </c>
      <c r="Z46" s="66">
        <f t="shared" si="19"/>
        <v>187.5</v>
      </c>
      <c r="AA46" s="66">
        <f t="shared" si="20"/>
        <v>0</v>
      </c>
      <c r="AB46" s="67">
        <f t="shared" si="5"/>
        <v>712.5</v>
      </c>
      <c r="AC46" s="67">
        <f t="shared" si="21"/>
        <v>1162.5</v>
      </c>
      <c r="AD46" s="67">
        <f t="shared" si="22"/>
        <v>375</v>
      </c>
      <c r="AE46" s="67">
        <f t="shared" si="23"/>
        <v>1162.5</v>
      </c>
      <c r="AF46" s="69">
        <f t="shared" si="24"/>
        <v>375</v>
      </c>
      <c r="AG46" s="71">
        <f t="shared" si="6"/>
        <v>3787.5</v>
      </c>
    </row>
    <row r="47" spans="1:34">
      <c r="A47" s="36"/>
      <c r="B47" s="31"/>
      <c r="C47" s="46" t="s">
        <v>75</v>
      </c>
      <c r="E47" s="47"/>
      <c r="F47" s="48">
        <f t="shared" ref="F47:AG47" si="27">MIN(F7:F46)</f>
        <v>2</v>
      </c>
      <c r="G47" s="48">
        <f t="shared" si="27"/>
        <v>7</v>
      </c>
      <c r="H47" s="48">
        <f t="shared" si="27"/>
        <v>5</v>
      </c>
      <c r="I47" s="48">
        <f t="shared" si="27"/>
        <v>8</v>
      </c>
      <c r="J47" s="48">
        <f t="shared" si="27"/>
        <v>5</v>
      </c>
      <c r="K47" s="48">
        <f t="shared" si="27"/>
        <v>0</v>
      </c>
      <c r="L47" s="48">
        <f t="shared" si="27"/>
        <v>0</v>
      </c>
      <c r="M47" s="48">
        <f t="shared" si="27"/>
        <v>0</v>
      </c>
      <c r="N47" s="48">
        <f t="shared" si="27"/>
        <v>0</v>
      </c>
      <c r="O47" s="48">
        <f t="shared" si="27"/>
        <v>0</v>
      </c>
      <c r="P47" s="48">
        <f t="shared" si="27"/>
        <v>75</v>
      </c>
      <c r="Q47" s="48">
        <f t="shared" si="27"/>
        <v>600</v>
      </c>
      <c r="R47" s="48">
        <f t="shared" si="27"/>
        <v>150</v>
      </c>
      <c r="S47" s="48">
        <f t="shared" si="27"/>
        <v>600</v>
      </c>
      <c r="T47" s="48">
        <f t="shared" si="27"/>
        <v>375</v>
      </c>
      <c r="U47" s="48">
        <f t="shared" si="27"/>
        <v>600</v>
      </c>
      <c r="V47" s="48">
        <f t="shared" si="27"/>
        <v>375</v>
      </c>
      <c r="W47" s="48">
        <f t="shared" si="27"/>
        <v>0</v>
      </c>
      <c r="X47" s="48">
        <f t="shared" si="27"/>
        <v>0</v>
      </c>
      <c r="Y47" s="48">
        <f t="shared" si="27"/>
        <v>0</v>
      </c>
      <c r="Z47" s="48">
        <f t="shared" si="27"/>
        <v>0</v>
      </c>
      <c r="AA47" s="48">
        <f t="shared" si="27"/>
        <v>0</v>
      </c>
      <c r="AB47" s="48">
        <f t="shared" si="27"/>
        <v>150</v>
      </c>
      <c r="AC47" s="48">
        <f t="shared" si="27"/>
        <v>600</v>
      </c>
      <c r="AD47" s="48">
        <f t="shared" si="27"/>
        <v>375</v>
      </c>
      <c r="AE47" s="48">
        <f t="shared" si="27"/>
        <v>600</v>
      </c>
      <c r="AF47" s="48">
        <f t="shared" si="27"/>
        <v>375</v>
      </c>
      <c r="AG47" s="72">
        <f t="shared" si="27"/>
        <v>2100</v>
      </c>
    </row>
    <row r="48" spans="1:34">
      <c r="A48" s="36"/>
      <c r="B48" s="24"/>
      <c r="C48" s="37" t="s">
        <v>76</v>
      </c>
      <c r="D48" s="22"/>
      <c r="E48" s="25"/>
      <c r="F48" s="44">
        <f t="shared" ref="F48:AG48" si="28">MAX(F8:F46)</f>
        <v>14</v>
      </c>
      <c r="G48" s="44">
        <f t="shared" si="28"/>
        <v>19</v>
      </c>
      <c r="H48" s="44">
        <f t="shared" si="28"/>
        <v>15</v>
      </c>
      <c r="I48" s="44">
        <f t="shared" si="28"/>
        <v>19</v>
      </c>
      <c r="J48" s="44">
        <f t="shared" si="28"/>
        <v>46</v>
      </c>
      <c r="K48" s="44">
        <f t="shared" si="28"/>
        <v>6</v>
      </c>
      <c r="L48" s="44">
        <f t="shared" si="28"/>
        <v>11</v>
      </c>
      <c r="M48" s="44">
        <f t="shared" si="28"/>
        <v>7</v>
      </c>
      <c r="N48" s="44">
        <f t="shared" si="28"/>
        <v>11</v>
      </c>
      <c r="O48" s="44">
        <f t="shared" si="28"/>
        <v>38</v>
      </c>
      <c r="P48" s="44">
        <f t="shared" si="28"/>
        <v>173.43</v>
      </c>
      <c r="Q48" s="44">
        <f t="shared" si="28"/>
        <v>1387.44</v>
      </c>
      <c r="R48" s="44">
        <f t="shared" si="28"/>
        <v>2254.59</v>
      </c>
      <c r="S48" s="44">
        <f t="shared" si="28"/>
        <v>2497.3920000000003</v>
      </c>
      <c r="T48" s="44">
        <f t="shared" si="28"/>
        <v>2254.59</v>
      </c>
      <c r="U48" s="44">
        <f t="shared" si="28"/>
        <v>2254.59</v>
      </c>
      <c r="V48" s="44">
        <f t="shared" si="28"/>
        <v>7977.7800000000007</v>
      </c>
      <c r="W48" s="44">
        <f t="shared" si="28"/>
        <v>433.57500000000005</v>
      </c>
      <c r="X48" s="44">
        <f t="shared" si="28"/>
        <v>554.976</v>
      </c>
      <c r="Y48" s="44">
        <f t="shared" si="28"/>
        <v>433.57500000000005</v>
      </c>
      <c r="Z48" s="44">
        <f t="shared" si="28"/>
        <v>543.73</v>
      </c>
      <c r="AA48" s="44">
        <f t="shared" si="28"/>
        <v>3295.17</v>
      </c>
      <c r="AB48" s="44">
        <f t="shared" si="28"/>
        <v>2688.165</v>
      </c>
      <c r="AC48" s="44">
        <f t="shared" si="28"/>
        <v>3052.3680000000004</v>
      </c>
      <c r="AD48" s="44">
        <f t="shared" si="28"/>
        <v>2688.165</v>
      </c>
      <c r="AE48" s="44">
        <f t="shared" si="28"/>
        <v>2688.165</v>
      </c>
      <c r="AF48" s="44">
        <f t="shared" si="28"/>
        <v>11272.95</v>
      </c>
      <c r="AG48" s="72">
        <f t="shared" si="28"/>
        <v>18643.725000000002</v>
      </c>
    </row>
    <row r="49" spans="1:34">
      <c r="A49" s="36"/>
      <c r="B49" s="24"/>
      <c r="C49" s="37" t="s">
        <v>77</v>
      </c>
      <c r="D49" s="22"/>
      <c r="E49" s="25"/>
      <c r="F49" s="44">
        <f t="shared" ref="F49:AG49" si="29">AVERAGE(F9:F46)</f>
        <v>8.75</v>
      </c>
      <c r="G49" s="44">
        <f t="shared" si="29"/>
        <v>10.326315789473684</v>
      </c>
      <c r="H49" s="44">
        <f t="shared" si="29"/>
        <v>8.9868421052631575</v>
      </c>
      <c r="I49" s="44">
        <f t="shared" si="29"/>
        <v>10.815789473684211</v>
      </c>
      <c r="J49" s="44">
        <f t="shared" si="29"/>
        <v>10.855263157894736</v>
      </c>
      <c r="K49" s="44">
        <f t="shared" si="29"/>
        <v>1.5526315789473684</v>
      </c>
      <c r="L49" s="44">
        <f t="shared" si="29"/>
        <v>2.3526315789473684</v>
      </c>
      <c r="M49" s="44">
        <f t="shared" si="29"/>
        <v>1.8026315789473684</v>
      </c>
      <c r="N49" s="44">
        <f t="shared" si="29"/>
        <v>2.8157894736842106</v>
      </c>
      <c r="O49" s="44">
        <f t="shared" si="29"/>
        <v>3.6710526315789473</v>
      </c>
      <c r="P49" s="44">
        <f t="shared" si="29"/>
        <v>105.22973684210527</v>
      </c>
      <c r="Q49" s="44">
        <f t="shared" si="29"/>
        <v>841.83894736842103</v>
      </c>
      <c r="R49" s="44">
        <f t="shared" si="29"/>
        <v>958.82131578947372</v>
      </c>
      <c r="S49" s="44">
        <f t="shared" si="29"/>
        <v>1066.0722894736841</v>
      </c>
      <c r="T49" s="44">
        <f t="shared" si="29"/>
        <v>960.1044736842108</v>
      </c>
      <c r="U49" s="44">
        <f t="shared" si="29"/>
        <v>1117.3577631578946</v>
      </c>
      <c r="V49" s="44">
        <f t="shared" si="29"/>
        <v>1234.8563157894739</v>
      </c>
      <c r="W49" s="44">
        <f t="shared" si="29"/>
        <v>88.5903947368421</v>
      </c>
      <c r="X49" s="44">
        <f t="shared" si="29"/>
        <v>114.39917105263157</v>
      </c>
      <c r="Y49" s="44">
        <f t="shared" si="29"/>
        <v>99.693815789473675</v>
      </c>
      <c r="Z49" s="44">
        <f t="shared" si="29"/>
        <v>137.75993421052632</v>
      </c>
      <c r="AA49" s="44">
        <f t="shared" si="29"/>
        <v>237.06973684210524</v>
      </c>
      <c r="AB49" s="44">
        <f t="shared" si="29"/>
        <v>1047.4117105263158</v>
      </c>
      <c r="AC49" s="44">
        <f t="shared" si="29"/>
        <v>1180.4714605263157</v>
      </c>
      <c r="AD49" s="44">
        <f t="shared" si="29"/>
        <v>1059.7982894736845</v>
      </c>
      <c r="AE49" s="44">
        <f t="shared" si="29"/>
        <v>1255.117697368421</v>
      </c>
      <c r="AF49" s="44">
        <f t="shared" si="29"/>
        <v>1471.9260526315793</v>
      </c>
      <c r="AG49" s="72">
        <f t="shared" si="29"/>
        <v>6014.7252105263151</v>
      </c>
    </row>
    <row r="50" spans="1:34">
      <c r="A50" s="36"/>
      <c r="B50" s="24"/>
      <c r="C50" s="37" t="s">
        <v>78</v>
      </c>
      <c r="D50" s="22"/>
      <c r="E50" s="25"/>
      <c r="F50" s="44">
        <f t="shared" ref="F50:AG50" si="30">SUM(F10:F46)</f>
        <v>318.5</v>
      </c>
      <c r="G50" s="44">
        <f t="shared" si="30"/>
        <v>378.4</v>
      </c>
      <c r="H50" s="44">
        <f t="shared" si="30"/>
        <v>332</v>
      </c>
      <c r="I50" s="44">
        <f t="shared" si="30"/>
        <v>397</v>
      </c>
      <c r="J50" s="44">
        <f t="shared" si="30"/>
        <v>403</v>
      </c>
      <c r="K50" s="44">
        <f t="shared" si="30"/>
        <v>53</v>
      </c>
      <c r="L50" s="44">
        <f t="shared" si="30"/>
        <v>83.4</v>
      </c>
      <c r="M50" s="44">
        <f t="shared" si="30"/>
        <v>67</v>
      </c>
      <c r="N50" s="44">
        <f t="shared" si="30"/>
        <v>101</v>
      </c>
      <c r="O50" s="44">
        <f t="shared" si="30"/>
        <v>138</v>
      </c>
      <c r="P50" s="44">
        <f t="shared" si="30"/>
        <v>3923.73</v>
      </c>
      <c r="Q50" s="44">
        <f t="shared" si="30"/>
        <v>31389.88</v>
      </c>
      <c r="R50" s="44">
        <f t="shared" si="30"/>
        <v>35385.21</v>
      </c>
      <c r="S50" s="44">
        <f t="shared" si="30"/>
        <v>39460.746999999996</v>
      </c>
      <c r="T50" s="44">
        <f t="shared" si="30"/>
        <v>35771.470000000008</v>
      </c>
      <c r="U50" s="44">
        <f t="shared" si="30"/>
        <v>41409.595000000001</v>
      </c>
      <c r="V50" s="44">
        <f t="shared" si="30"/>
        <v>46212.040000000008</v>
      </c>
      <c r="W50" s="44">
        <f t="shared" si="30"/>
        <v>3141.4350000000009</v>
      </c>
      <c r="X50" s="44">
        <f t="shared" si="30"/>
        <v>4122.1684999999998</v>
      </c>
      <c r="Y50" s="44">
        <f t="shared" si="30"/>
        <v>3732.1149999999998</v>
      </c>
      <c r="Z50" s="44">
        <f t="shared" si="30"/>
        <v>5009.8775000000005</v>
      </c>
      <c r="AA50" s="44">
        <f t="shared" si="30"/>
        <v>8952.4</v>
      </c>
      <c r="AB50" s="44">
        <f t="shared" si="30"/>
        <v>38526.645000000004</v>
      </c>
      <c r="AC50" s="44">
        <f t="shared" si="30"/>
        <v>43582.915499999996</v>
      </c>
      <c r="AD50" s="44">
        <f t="shared" si="30"/>
        <v>39503.585000000021</v>
      </c>
      <c r="AE50" s="44">
        <f t="shared" si="30"/>
        <v>46419.472499999996</v>
      </c>
      <c r="AF50" s="44">
        <f t="shared" si="30"/>
        <v>55164.44000000001</v>
      </c>
      <c r="AG50" s="72">
        <f t="shared" si="30"/>
        <v>223197.05799999996</v>
      </c>
    </row>
    <row r="51" spans="1:34">
      <c r="C51" s="6"/>
      <c r="E51" s="32"/>
      <c r="G51" s="1"/>
      <c r="Q51" s="6"/>
      <c r="AH51" s="1"/>
    </row>
    <row r="52" spans="1:34">
      <c r="G52" s="1"/>
      <c r="H52" s="1"/>
    </row>
    <row r="53" spans="1:34">
      <c r="B53" s="33" t="s">
        <v>71</v>
      </c>
      <c r="C53" s="33"/>
      <c r="D53" s="33"/>
      <c r="E53" s="33"/>
      <c r="G53" s="1"/>
      <c r="H53" s="1"/>
      <c r="AH53" s="1"/>
    </row>
    <row r="54" spans="1:34">
      <c r="B54" s="33"/>
      <c r="C54" s="33"/>
      <c r="D54" s="33"/>
      <c r="E54" s="33"/>
      <c r="H54" s="1"/>
      <c r="AH54" s="1"/>
    </row>
    <row r="55" spans="1:34">
      <c r="B55" s="33"/>
      <c r="C55" s="33"/>
      <c r="D55" s="33"/>
      <c r="E55" s="33"/>
      <c r="H55" s="1"/>
      <c r="AH55" s="1"/>
    </row>
    <row r="56" spans="1:34">
      <c r="B56" s="33" t="s">
        <v>72</v>
      </c>
      <c r="C56" s="33"/>
      <c r="D56" s="33"/>
      <c r="E56" s="33"/>
      <c r="H56" s="1"/>
      <c r="AH56" s="1"/>
    </row>
    <row r="57" spans="1:34">
      <c r="B57" s="33"/>
      <c r="C57" s="33"/>
      <c r="D57" s="33"/>
      <c r="E57" s="33"/>
      <c r="H57" s="1"/>
      <c r="AH57" s="1"/>
    </row>
    <row r="58" spans="1:34">
      <c r="B58" s="33"/>
      <c r="C58" s="33"/>
      <c r="D58" s="33"/>
      <c r="E58" s="33"/>
      <c r="F58" s="1"/>
      <c r="I58" s="1"/>
      <c r="J58" s="1"/>
      <c r="K58" s="1"/>
      <c r="L58" s="1"/>
      <c r="M58" s="1"/>
      <c r="N58" s="1"/>
      <c r="O58" s="1"/>
      <c r="AH58" s="1"/>
    </row>
    <row r="59" spans="1:34">
      <c r="B59" s="33" t="s">
        <v>73</v>
      </c>
      <c r="C59" s="33"/>
      <c r="D59" s="33"/>
      <c r="E59" s="33"/>
      <c r="F59" s="1"/>
      <c r="I59" s="1"/>
      <c r="J59" s="1"/>
      <c r="K59" s="1"/>
      <c r="L59" s="1"/>
      <c r="M59" s="1"/>
      <c r="N59" s="1"/>
      <c r="O59" s="1"/>
      <c r="AH59" s="1"/>
    </row>
    <row r="60" spans="1:34">
      <c r="B60" s="33"/>
      <c r="C60" s="33"/>
      <c r="D60" s="33"/>
      <c r="E60" s="33"/>
      <c r="F60" s="1"/>
      <c r="I60" s="1"/>
      <c r="J60" s="1"/>
      <c r="K60" s="1"/>
      <c r="L60" s="1"/>
      <c r="M60" s="1"/>
      <c r="N60" s="1"/>
      <c r="O60" s="1"/>
      <c r="AH60" s="1"/>
    </row>
    <row r="61" spans="1:34">
      <c r="B61" s="33"/>
      <c r="C61" s="33"/>
      <c r="D61" s="33"/>
      <c r="E61" s="33"/>
      <c r="F61" s="1"/>
      <c r="I61" s="1"/>
      <c r="J61" s="1"/>
      <c r="K61" s="1"/>
      <c r="L61" s="1"/>
      <c r="M61" s="1"/>
      <c r="N61" s="1"/>
      <c r="O61" s="1"/>
      <c r="AH61" s="1"/>
    </row>
    <row r="62" spans="1:34">
      <c r="B62" s="33" t="s">
        <v>74</v>
      </c>
      <c r="C62" s="33"/>
      <c r="D62" s="33"/>
      <c r="E62" s="33"/>
      <c r="F62" s="1"/>
      <c r="I62" s="1"/>
      <c r="J62" s="1"/>
      <c r="K62" s="1"/>
      <c r="L62" s="1"/>
      <c r="M62" s="1"/>
      <c r="N62" s="1"/>
      <c r="O62" s="1"/>
      <c r="AH62" s="1"/>
    </row>
    <row r="63" spans="1:34">
      <c r="B63" s="34"/>
      <c r="C63" s="34"/>
      <c r="D63" s="34"/>
      <c r="F63" s="1"/>
      <c r="I63" s="1"/>
      <c r="J63" s="1"/>
      <c r="K63" s="1"/>
      <c r="L63" s="1"/>
      <c r="M63" s="1"/>
      <c r="N63" s="1"/>
      <c r="O63" s="1"/>
      <c r="AH63" s="1"/>
    </row>
    <row r="72" spans="7:8">
      <c r="G72" s="1"/>
    </row>
    <row r="76" spans="7:8">
      <c r="H76" s="1"/>
    </row>
    <row r="82" spans="6:34">
      <c r="F82" s="1"/>
      <c r="I82" s="1"/>
      <c r="J82" s="1"/>
      <c r="K82" s="1"/>
      <c r="L82" s="1"/>
      <c r="M82" s="1"/>
      <c r="N82" s="1"/>
      <c r="O82" s="1"/>
      <c r="AG82" s="35"/>
      <c r="AH82" s="1"/>
    </row>
  </sheetData>
  <mergeCells count="6">
    <mergeCell ref="AB5:AF5"/>
    <mergeCell ref="B3:E3"/>
    <mergeCell ref="F5:J5"/>
    <mergeCell ref="K5:O5"/>
    <mergeCell ref="R5:V5"/>
    <mergeCell ref="W5:A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D58" sqref="D58"/>
    </sheetView>
  </sheetViews>
  <sheetFormatPr defaultRowHeight="15"/>
  <cols>
    <col min="1" max="1" width="13.5703125" bestFit="1" customWidth="1"/>
    <col min="2" max="2" width="5.85546875" bestFit="1" customWidth="1"/>
    <col min="3" max="3" width="14.85546875" bestFit="1" customWidth="1"/>
    <col min="4" max="4" width="6.7109375" bestFit="1" customWidth="1"/>
    <col min="5" max="5" width="9.85546875" bestFit="1" customWidth="1"/>
    <col min="6" max="6" width="12.5703125" customWidth="1"/>
    <col min="7" max="7" width="4.42578125" bestFit="1" customWidth="1"/>
    <col min="8" max="8" width="9" bestFit="1" customWidth="1"/>
    <col min="9" max="9" width="7.140625" bestFit="1" customWidth="1"/>
    <col min="10" max="10" width="6.42578125" bestFit="1" customWidth="1"/>
    <col min="11" max="11" width="9.85546875" bestFit="1" customWidth="1"/>
    <col min="12" max="12" width="8.5703125" bestFit="1" customWidth="1"/>
    <col min="13" max="13" width="12.140625" bestFit="1" customWidth="1"/>
    <col min="14" max="14" width="16.85546875" bestFit="1" customWidth="1"/>
  </cols>
  <sheetData>
    <row r="1" spans="1:14" s="133" customFormat="1" ht="45">
      <c r="A1" s="133" t="s">
        <v>442</v>
      </c>
      <c r="B1" s="133" t="s">
        <v>441</v>
      </c>
      <c r="C1" s="133" t="s">
        <v>440</v>
      </c>
      <c r="D1" s="133" t="s">
        <v>439</v>
      </c>
      <c r="E1" s="133" t="s">
        <v>438</v>
      </c>
      <c r="F1" s="133" t="s">
        <v>437</v>
      </c>
      <c r="G1" s="133" t="s">
        <v>436</v>
      </c>
      <c r="H1" s="133" t="s">
        <v>435</v>
      </c>
      <c r="I1" s="133" t="s">
        <v>434</v>
      </c>
      <c r="J1" s="133" t="s">
        <v>433</v>
      </c>
      <c r="K1" s="133" t="s">
        <v>432</v>
      </c>
      <c r="L1" s="133" t="s">
        <v>431</v>
      </c>
      <c r="M1" s="133" t="s">
        <v>430</v>
      </c>
      <c r="N1" s="133" t="s">
        <v>429</v>
      </c>
    </row>
    <row r="2" spans="1:14">
      <c r="A2" t="s">
        <v>428</v>
      </c>
      <c r="B2" t="str">
        <f t="shared" ref="B2:B33" si="0">LEFT(A2,2)</f>
        <v>TY</v>
      </c>
      <c r="C2" t="str">
        <f t="shared" ref="C2:C33" si="1">VLOOKUP(B2,B$57:C$62,2)</f>
        <v>Toyota</v>
      </c>
      <c r="D2" t="str">
        <f t="shared" ref="D2:D33" si="2">MID(A2,5,3)</f>
        <v>CAM</v>
      </c>
      <c r="E2" t="str">
        <f t="shared" ref="E2:E53" si="3">VLOOKUP(D2,D$57:E$67,2,TRUE)</f>
        <v>Camrey</v>
      </c>
      <c r="F2" t="str">
        <f t="shared" ref="F2:F33" si="4">MID(A2,3,2)</f>
        <v>96</v>
      </c>
      <c r="G2">
        <f t="shared" ref="G2:G33" si="5">IF(23-F2&lt;0,100-F2+23,23-F2)</f>
        <v>27</v>
      </c>
      <c r="H2">
        <v>114660.6</v>
      </c>
      <c r="I2">
        <f t="shared" ref="I2:I33" si="6">H2/(G2+0.5)</f>
        <v>4169.4763636363641</v>
      </c>
      <c r="J2" t="s">
        <v>399</v>
      </c>
      <c r="K2" t="s">
        <v>361</v>
      </c>
      <c r="L2">
        <v>100000</v>
      </c>
      <c r="M2" t="str">
        <f t="shared" ref="M2:M33" si="7">IF(H2&lt;=L2,"Y","Not Covered")</f>
        <v>Not Covered</v>
      </c>
      <c r="N2" t="str">
        <f t="shared" ref="N2:N33" si="8">CONCATENATE(B2,F2,D2,UPPER(LEFT(J2,3)),RIGHT(A2,3))</f>
        <v>TY96CAMGRE020</v>
      </c>
    </row>
    <row r="3" spans="1:14">
      <c r="A3" t="s">
        <v>427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>
        <v>72527.199999999997</v>
      </c>
      <c r="I3">
        <f t="shared" si="6"/>
        <v>3719.3435897435897</v>
      </c>
      <c r="J3" t="s">
        <v>364</v>
      </c>
      <c r="K3" t="s">
        <v>370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>
      <c r="A4" t="s">
        <v>426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98</v>
      </c>
      <c r="G4">
        <f t="shared" si="5"/>
        <v>25</v>
      </c>
      <c r="H4">
        <v>93382.6</v>
      </c>
      <c r="I4">
        <f t="shared" si="6"/>
        <v>3662.0627450980396</v>
      </c>
      <c r="J4" t="s">
        <v>357</v>
      </c>
      <c r="K4" t="s">
        <v>396</v>
      </c>
      <c r="L4">
        <v>100000</v>
      </c>
      <c r="M4" t="str">
        <f t="shared" si="7"/>
        <v>Y</v>
      </c>
      <c r="N4" t="str">
        <f t="shared" si="8"/>
        <v>TY98CAMBLA021</v>
      </c>
    </row>
    <row r="5" spans="1:14">
      <c r="A5" t="s">
        <v>425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00</v>
      </c>
      <c r="G5">
        <f t="shared" si="5"/>
        <v>23</v>
      </c>
      <c r="H5">
        <v>85928</v>
      </c>
      <c r="I5">
        <f t="shared" si="6"/>
        <v>3656.5106382978724</v>
      </c>
      <c r="J5" t="s">
        <v>399</v>
      </c>
      <c r="K5" t="s">
        <v>379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>
      <c r="A6" t="s">
        <v>424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Corolla</v>
      </c>
      <c r="F6" t="str">
        <f t="shared" si="4"/>
        <v>03</v>
      </c>
      <c r="G6">
        <f t="shared" si="5"/>
        <v>20</v>
      </c>
      <c r="H6">
        <v>73444.399999999994</v>
      </c>
      <c r="I6">
        <f t="shared" si="6"/>
        <v>3582.6536585365852</v>
      </c>
      <c r="J6" t="s">
        <v>357</v>
      </c>
      <c r="K6" t="s">
        <v>398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>
      <c r="A7" t="s">
        <v>423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>
        <v>80685.8</v>
      </c>
      <c r="I7">
        <f t="shared" si="6"/>
        <v>3433.4382978723406</v>
      </c>
      <c r="J7" t="s">
        <v>366</v>
      </c>
      <c r="K7" t="s">
        <v>383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>
      <c r="A8" t="s">
        <v>422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24</v>
      </c>
      <c r="H8">
        <v>82374</v>
      </c>
      <c r="I8">
        <f t="shared" si="6"/>
        <v>3362.204081632653</v>
      </c>
      <c r="J8" t="s">
        <v>364</v>
      </c>
      <c r="K8" t="s">
        <v>359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>
      <c r="A9" t="s">
        <v>421</v>
      </c>
      <c r="B9" t="str">
        <f t="shared" si="0"/>
        <v>TY</v>
      </c>
      <c r="C9" t="str">
        <f t="shared" si="1"/>
        <v>Toyota</v>
      </c>
      <c r="D9" t="str">
        <f t="shared" si="2"/>
        <v>CAM</v>
      </c>
      <c r="E9" t="str">
        <f t="shared" si="3"/>
        <v>Camrey</v>
      </c>
      <c r="F9" t="str">
        <f t="shared" si="4"/>
        <v>09</v>
      </c>
      <c r="G9">
        <f t="shared" si="5"/>
        <v>14</v>
      </c>
      <c r="H9">
        <v>48114.2</v>
      </c>
      <c r="I9">
        <f t="shared" si="6"/>
        <v>3318.220689655172</v>
      </c>
      <c r="J9" t="s">
        <v>364</v>
      </c>
      <c r="K9" t="s">
        <v>392</v>
      </c>
      <c r="L9">
        <v>100000</v>
      </c>
      <c r="M9" t="str">
        <f t="shared" si="7"/>
        <v>Y</v>
      </c>
      <c r="N9" t="str">
        <f t="shared" si="8"/>
        <v>TY09CAMWHI024</v>
      </c>
    </row>
    <row r="10" spans="1:14">
      <c r="A10" t="s">
        <v>420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19</v>
      </c>
      <c r="H10">
        <v>64542</v>
      </c>
      <c r="I10">
        <f t="shared" si="6"/>
        <v>3309.8461538461538</v>
      </c>
      <c r="J10" t="s">
        <v>366</v>
      </c>
      <c r="K10" t="s">
        <v>169</v>
      </c>
      <c r="L10">
        <v>75000</v>
      </c>
      <c r="M10" t="str">
        <f t="shared" si="7"/>
        <v>Y</v>
      </c>
      <c r="N10" t="str">
        <f t="shared" si="8"/>
        <v>CR04PTCBLU042</v>
      </c>
    </row>
    <row r="11" spans="1:14">
      <c r="A11" t="s">
        <v>419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>
        <v>77243.100000000006</v>
      </c>
      <c r="I11">
        <f t="shared" si="6"/>
        <v>3286.940425531915</v>
      </c>
      <c r="J11" t="s">
        <v>357</v>
      </c>
      <c r="K11" t="s">
        <v>390</v>
      </c>
      <c r="L11">
        <v>75000</v>
      </c>
      <c r="M11" t="str">
        <f t="shared" si="7"/>
        <v>Not Covered</v>
      </c>
      <c r="N11" t="str">
        <f t="shared" si="8"/>
        <v>CR00CARBLA046</v>
      </c>
    </row>
    <row r="12" spans="1:14">
      <c r="A12" t="s">
        <v>418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>
        <v>60389.5</v>
      </c>
      <c r="I12">
        <f t="shared" si="6"/>
        <v>3264.2972972972975</v>
      </c>
      <c r="J12" t="s">
        <v>364</v>
      </c>
      <c r="K12" t="s">
        <v>392</v>
      </c>
      <c r="L12">
        <v>100000</v>
      </c>
      <c r="M12" t="str">
        <f t="shared" si="7"/>
        <v>Y</v>
      </c>
      <c r="N12" t="str">
        <f t="shared" si="8"/>
        <v>HO05ODYWHI037</v>
      </c>
    </row>
    <row r="13" spans="1:14">
      <c r="A13" t="s">
        <v>417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>
        <v>83162.7</v>
      </c>
      <c r="I13">
        <f t="shared" si="6"/>
        <v>3261.2823529411762</v>
      </c>
      <c r="J13" t="s">
        <v>357</v>
      </c>
      <c r="K13" t="s">
        <v>377</v>
      </c>
      <c r="L13">
        <v>100000</v>
      </c>
      <c r="M13" t="str">
        <f t="shared" si="7"/>
        <v>Y</v>
      </c>
      <c r="N13" t="str">
        <f t="shared" si="8"/>
        <v>GM98SLVBLA018</v>
      </c>
    </row>
    <row r="14" spans="1:14">
      <c r="A14" t="s">
        <v>416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>
        <v>79420.600000000006</v>
      </c>
      <c r="I14">
        <f t="shared" si="6"/>
        <v>3241.6571428571433</v>
      </c>
      <c r="J14" t="s">
        <v>399</v>
      </c>
      <c r="K14" t="s">
        <v>381</v>
      </c>
      <c r="L14">
        <v>75000</v>
      </c>
      <c r="M14" t="str">
        <f t="shared" si="7"/>
        <v>Not Covered</v>
      </c>
      <c r="N14" t="str">
        <f t="shared" si="8"/>
        <v>CR99CARGRE045</v>
      </c>
    </row>
    <row r="15" spans="1:14">
      <c r="A15" t="s">
        <v>415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21</v>
      </c>
      <c r="H15">
        <v>67829.100000000006</v>
      </c>
      <c r="I15">
        <f t="shared" si="6"/>
        <v>3154.8418604651165</v>
      </c>
      <c r="J15" t="s">
        <v>357</v>
      </c>
      <c r="K15" t="s">
        <v>169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>
      <c r="A16" t="s">
        <v>414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22</v>
      </c>
      <c r="H16">
        <v>69891.899999999994</v>
      </c>
      <c r="I16">
        <f t="shared" si="6"/>
        <v>3106.3066666666664</v>
      </c>
      <c r="J16" t="s">
        <v>366</v>
      </c>
      <c r="K16" t="s">
        <v>390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>
      <c r="A17" t="s">
        <v>413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07</v>
      </c>
      <c r="G17">
        <f t="shared" si="5"/>
        <v>16</v>
      </c>
      <c r="H17">
        <v>50854.1</v>
      </c>
      <c r="I17">
        <f t="shared" si="6"/>
        <v>3082.0666666666666</v>
      </c>
      <c r="J17" t="s">
        <v>357</v>
      </c>
      <c r="K17" t="s">
        <v>396</v>
      </c>
      <c r="L17">
        <v>100000</v>
      </c>
      <c r="M17" t="str">
        <f t="shared" si="7"/>
        <v>Y</v>
      </c>
      <c r="N17" t="str">
        <f t="shared" si="8"/>
        <v>HO07ODYBLA038</v>
      </c>
    </row>
    <row r="18" spans="1:14">
      <c r="A18" t="s">
        <v>412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>
        <v>68658.899999999994</v>
      </c>
      <c r="I18">
        <f t="shared" si="6"/>
        <v>3051.5066666666662</v>
      </c>
      <c r="J18" t="s">
        <v>357</v>
      </c>
      <c r="K18" t="s">
        <v>169</v>
      </c>
      <c r="L18">
        <v>100000</v>
      </c>
      <c r="M18" t="str">
        <f t="shared" si="7"/>
        <v>Y</v>
      </c>
      <c r="N18" t="str">
        <f t="shared" si="8"/>
        <v>HO01ODYBLA040</v>
      </c>
    </row>
    <row r="19" spans="1:14">
      <c r="A19" t="s">
        <v>411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Corolla</v>
      </c>
      <c r="F19" t="str">
        <f t="shared" si="4"/>
        <v>02</v>
      </c>
      <c r="G19">
        <f t="shared" si="5"/>
        <v>21</v>
      </c>
      <c r="H19">
        <v>64467.4</v>
      </c>
      <c r="I19">
        <f t="shared" si="6"/>
        <v>2998.4837209302327</v>
      </c>
      <c r="J19" t="s">
        <v>406</v>
      </c>
      <c r="K19" t="s">
        <v>398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>
      <c r="A20" t="s">
        <v>410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17</v>
      </c>
      <c r="H20">
        <v>52229.5</v>
      </c>
      <c r="I20">
        <f t="shared" si="6"/>
        <v>2984.542857142857</v>
      </c>
      <c r="J20" t="s">
        <v>399</v>
      </c>
      <c r="K20" t="s">
        <v>394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>
      <c r="A21" t="s">
        <v>409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>
        <v>44946.5</v>
      </c>
      <c r="I21">
        <f t="shared" si="6"/>
        <v>2899.7741935483873</v>
      </c>
      <c r="J21" t="s">
        <v>399</v>
      </c>
      <c r="K21" t="s">
        <v>394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>
      <c r="A22" t="s">
        <v>408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>
        <v>42504.6</v>
      </c>
      <c r="I22">
        <f t="shared" si="6"/>
        <v>2742.2322580645159</v>
      </c>
      <c r="J22" t="s">
        <v>364</v>
      </c>
      <c r="K22" t="s">
        <v>359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>
      <c r="A23" t="s">
        <v>407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>
        <v>52699.4</v>
      </c>
      <c r="I23">
        <f t="shared" si="6"/>
        <v>2702.5333333333333</v>
      </c>
      <c r="J23" t="s">
        <v>406</v>
      </c>
      <c r="K23" t="s">
        <v>370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>
      <c r="A24" t="s">
        <v>405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17</v>
      </c>
      <c r="H24">
        <v>46311.4</v>
      </c>
      <c r="I24">
        <f t="shared" si="6"/>
        <v>2646.3657142857141</v>
      </c>
      <c r="J24" t="s">
        <v>399</v>
      </c>
      <c r="K24" t="s">
        <v>379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>
      <c r="A25" t="s">
        <v>404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>
        <v>27637.1</v>
      </c>
      <c r="I25">
        <f t="shared" si="6"/>
        <v>2632.1047619047617</v>
      </c>
      <c r="J25" t="s">
        <v>357</v>
      </c>
      <c r="K25" t="s">
        <v>169</v>
      </c>
      <c r="L25">
        <v>75000</v>
      </c>
      <c r="M25" t="str">
        <f t="shared" si="7"/>
        <v>Y</v>
      </c>
      <c r="N25" t="str">
        <f t="shared" si="8"/>
        <v>FD13FCSBLA009</v>
      </c>
    </row>
    <row r="26" spans="1:14">
      <c r="A26" t="s">
        <v>403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13</v>
      </c>
      <c r="G26">
        <f t="shared" si="5"/>
        <v>10</v>
      </c>
      <c r="H26">
        <v>27534.799999999999</v>
      </c>
      <c r="I26">
        <f t="shared" si="6"/>
        <v>2622.3619047619045</v>
      </c>
      <c r="J26" t="s">
        <v>364</v>
      </c>
      <c r="K26" t="s">
        <v>372</v>
      </c>
      <c r="L26">
        <v>75000</v>
      </c>
      <c r="M26" t="str">
        <f t="shared" si="7"/>
        <v>Y</v>
      </c>
      <c r="N26" t="str">
        <f t="shared" si="8"/>
        <v>FD13FCSWHI010</v>
      </c>
    </row>
    <row r="27" spans="1:14">
      <c r="A27" t="s">
        <v>402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12</v>
      </c>
      <c r="G27">
        <f t="shared" si="5"/>
        <v>11</v>
      </c>
      <c r="H27">
        <v>29601.9</v>
      </c>
      <c r="I27">
        <f t="shared" si="6"/>
        <v>2574.0782608695654</v>
      </c>
      <c r="J27" t="s">
        <v>357</v>
      </c>
      <c r="K27" t="s">
        <v>377</v>
      </c>
      <c r="L27">
        <v>100000</v>
      </c>
      <c r="M27" t="str">
        <f t="shared" si="7"/>
        <v>Y</v>
      </c>
      <c r="N27" t="str">
        <f t="shared" si="8"/>
        <v>TY12CORBLA028</v>
      </c>
    </row>
    <row r="28" spans="1:14">
      <c r="A28" t="s">
        <v>401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>
        <v>44974.8</v>
      </c>
      <c r="I28">
        <f t="shared" si="6"/>
        <v>2569.9885714285715</v>
      </c>
      <c r="J28" t="s">
        <v>364</v>
      </c>
      <c r="K28" t="s">
        <v>356</v>
      </c>
      <c r="L28">
        <v>50000</v>
      </c>
      <c r="M28" t="str">
        <f t="shared" si="7"/>
        <v>Y</v>
      </c>
      <c r="N28" t="str">
        <f t="shared" si="8"/>
        <v>FD06MTGWHI002</v>
      </c>
    </row>
    <row r="29" spans="1:14">
      <c r="A29" t="s">
        <v>400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>
        <v>42074.2</v>
      </c>
      <c r="I29">
        <f t="shared" si="6"/>
        <v>2549.9515151515152</v>
      </c>
      <c r="J29" t="s">
        <v>399</v>
      </c>
      <c r="K29" t="s">
        <v>398</v>
      </c>
      <c r="L29">
        <v>75000</v>
      </c>
      <c r="M29" t="str">
        <f t="shared" si="7"/>
        <v>Y</v>
      </c>
      <c r="N29" t="str">
        <f t="shared" si="8"/>
        <v>CR07PTCGRE043</v>
      </c>
    </row>
    <row r="30" spans="1:14">
      <c r="A30" t="s">
        <v>397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>
        <v>33477.199999999997</v>
      </c>
      <c r="I30">
        <f t="shared" si="6"/>
        <v>2479.7925925925924</v>
      </c>
      <c r="J30" t="s">
        <v>357</v>
      </c>
      <c r="K30" t="s">
        <v>396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>
      <c r="A31" t="s">
        <v>395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>
        <v>30555.3</v>
      </c>
      <c r="I31">
        <f t="shared" si="6"/>
        <v>2444.424</v>
      </c>
      <c r="J31" t="s">
        <v>357</v>
      </c>
      <c r="K31" t="s">
        <v>394</v>
      </c>
      <c r="L31">
        <v>75000</v>
      </c>
      <c r="M31" t="str">
        <f t="shared" si="7"/>
        <v>Y</v>
      </c>
      <c r="N31" t="str">
        <f t="shared" si="8"/>
        <v>HO11CIVBLA034</v>
      </c>
    </row>
    <row r="32" spans="1:14">
      <c r="A32" t="s">
        <v>393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>
        <v>35137</v>
      </c>
      <c r="I32">
        <f t="shared" si="6"/>
        <v>2423.2413793103447</v>
      </c>
      <c r="J32" t="s">
        <v>357</v>
      </c>
      <c r="K32" t="s">
        <v>392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>
      <c r="A33" t="s">
        <v>391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>
        <v>37558.800000000003</v>
      </c>
      <c r="I33">
        <f t="shared" si="6"/>
        <v>2423.1483870967745</v>
      </c>
      <c r="J33" t="s">
        <v>357</v>
      </c>
      <c r="K33" t="s">
        <v>390</v>
      </c>
      <c r="L33">
        <v>50000</v>
      </c>
      <c r="M33" t="str">
        <f t="shared" si="7"/>
        <v>Y</v>
      </c>
      <c r="N33" t="str">
        <f t="shared" si="8"/>
        <v>FD08MTGBLA004</v>
      </c>
    </row>
    <row r="34" spans="1:14">
      <c r="A34" t="s">
        <v>389</v>
      </c>
      <c r="B34" t="str">
        <f t="shared" ref="B34:B65" si="9">LEFT(A34,2)</f>
        <v>FD</v>
      </c>
      <c r="C34" t="str">
        <f t="shared" ref="C34:C65" si="10">VLOOKUP(B34,B$57:C$62,2)</f>
        <v>Ford</v>
      </c>
      <c r="D34" t="str">
        <f t="shared" ref="D34:D53" si="11">MID(A34,5,3)</f>
        <v>MTG</v>
      </c>
      <c r="E34" t="str">
        <f t="shared" si="3"/>
        <v>Mustang</v>
      </c>
      <c r="F34" t="str">
        <f t="shared" ref="F34:F53" si="12">MID(A34,3,2)</f>
        <v>08</v>
      </c>
      <c r="G34">
        <f t="shared" ref="G34:G65" si="13">IF(23-F34&lt;0,100-F34+23,23-F34)</f>
        <v>15</v>
      </c>
      <c r="H34">
        <v>36438.5</v>
      </c>
      <c r="I34">
        <f t="shared" ref="I34:I65" si="14">H34/(G34+0.5)</f>
        <v>2350.8709677419356</v>
      </c>
      <c r="J34" t="s">
        <v>364</v>
      </c>
      <c r="K34" t="s">
        <v>169</v>
      </c>
      <c r="L34">
        <v>50000</v>
      </c>
      <c r="M34" t="str">
        <f t="shared" ref="M34:M65" si="15">IF(H34&lt;=L34,"Y","Not Covered")</f>
        <v>Y</v>
      </c>
      <c r="N34" t="str">
        <f t="shared" ref="N34:N53" si="16">CONCATENATE(B34,F34,D34,UPPER(LEFT(J34,3)),RIGHT(A34,3))</f>
        <v>FD08MTGWHI005</v>
      </c>
    </row>
    <row r="35" spans="1:14">
      <c r="A35" t="s">
        <v>388</v>
      </c>
      <c r="B35" t="str">
        <f t="shared" si="9"/>
        <v>HY</v>
      </c>
      <c r="C35" t="str">
        <f t="shared" si="10"/>
        <v>Hyundai</v>
      </c>
      <c r="D35" t="str">
        <f t="shared" si="11"/>
        <v>ELA</v>
      </c>
      <c r="E35" t="str">
        <f t="shared" si="3"/>
        <v>Elantra</v>
      </c>
      <c r="F35" t="str">
        <f t="shared" si="12"/>
        <v>11</v>
      </c>
      <c r="G35">
        <f t="shared" si="13"/>
        <v>12</v>
      </c>
      <c r="H35">
        <v>29102.3</v>
      </c>
      <c r="I35">
        <f t="shared" si="14"/>
        <v>2328.1839999999997</v>
      </c>
      <c r="J35" t="s">
        <v>357</v>
      </c>
      <c r="K35" t="s">
        <v>363</v>
      </c>
      <c r="L35">
        <v>100000</v>
      </c>
      <c r="M35" t="str">
        <f t="shared" si="15"/>
        <v>Y</v>
      </c>
      <c r="N35" t="str">
        <f t="shared" si="16"/>
        <v>HY11ELABLA049</v>
      </c>
    </row>
    <row r="36" spans="1:14">
      <c r="A36" t="s">
        <v>387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3"/>
        <v>Silverado</v>
      </c>
      <c r="F36" t="str">
        <f t="shared" si="12"/>
        <v>10</v>
      </c>
      <c r="G36">
        <f t="shared" si="13"/>
        <v>13</v>
      </c>
      <c r="H36">
        <v>31144.400000000001</v>
      </c>
      <c r="I36">
        <f t="shared" si="14"/>
        <v>2306.9925925925927</v>
      </c>
      <c r="J36" t="s">
        <v>357</v>
      </c>
      <c r="K36" t="s">
        <v>381</v>
      </c>
      <c r="L36">
        <v>100000</v>
      </c>
      <c r="M36" t="str">
        <f t="shared" si="15"/>
        <v>Y</v>
      </c>
      <c r="N36" t="str">
        <f t="shared" si="16"/>
        <v>GM10SLVBLA017</v>
      </c>
    </row>
    <row r="37" spans="1:14">
      <c r="A37" t="s">
        <v>386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3"/>
        <v>Mustang</v>
      </c>
      <c r="F37" t="str">
        <f t="shared" si="12"/>
        <v>06</v>
      </c>
      <c r="G37">
        <f t="shared" si="13"/>
        <v>17</v>
      </c>
      <c r="H37">
        <v>40326.800000000003</v>
      </c>
      <c r="I37">
        <f t="shared" si="14"/>
        <v>2304.3885714285716</v>
      </c>
      <c r="J37" t="s">
        <v>357</v>
      </c>
      <c r="K37" t="s">
        <v>169</v>
      </c>
      <c r="L37">
        <v>50000</v>
      </c>
      <c r="M37" t="str">
        <f t="shared" si="15"/>
        <v>Y</v>
      </c>
      <c r="N37" t="str">
        <f t="shared" si="16"/>
        <v>FD06MTGBLA001</v>
      </c>
    </row>
    <row r="38" spans="1:14">
      <c r="A38" t="s">
        <v>385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3"/>
        <v>PT Cruiser</v>
      </c>
      <c r="F38" t="str">
        <f t="shared" si="12"/>
        <v>11</v>
      </c>
      <c r="G38">
        <f t="shared" si="13"/>
        <v>12</v>
      </c>
      <c r="H38">
        <v>27394.2</v>
      </c>
      <c r="I38">
        <f t="shared" si="14"/>
        <v>2191.5360000000001</v>
      </c>
      <c r="J38" t="s">
        <v>357</v>
      </c>
      <c r="K38" t="s">
        <v>383</v>
      </c>
      <c r="L38">
        <v>75000</v>
      </c>
      <c r="M38" t="str">
        <f t="shared" si="15"/>
        <v>Y</v>
      </c>
      <c r="N38" t="str">
        <f t="shared" si="16"/>
        <v>CR11PTCBLA044</v>
      </c>
    </row>
    <row r="39" spans="1:14">
      <c r="A39" t="s">
        <v>384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3"/>
        <v>Focus</v>
      </c>
      <c r="F39" t="str">
        <f t="shared" si="12"/>
        <v>13</v>
      </c>
      <c r="G39">
        <f t="shared" si="13"/>
        <v>10</v>
      </c>
      <c r="H39">
        <v>22521.599999999999</v>
      </c>
      <c r="I39">
        <f t="shared" si="14"/>
        <v>2144.9142857142856</v>
      </c>
      <c r="J39" t="s">
        <v>357</v>
      </c>
      <c r="K39" t="s">
        <v>383</v>
      </c>
      <c r="L39">
        <v>75000</v>
      </c>
      <c r="M39" t="str">
        <f t="shared" si="15"/>
        <v>Y</v>
      </c>
      <c r="N39" t="str">
        <f t="shared" si="16"/>
        <v>FD13FCSBLA012</v>
      </c>
    </row>
    <row r="40" spans="1:14">
      <c r="A40" t="s">
        <v>382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3"/>
        <v>Civic</v>
      </c>
      <c r="F40" t="str">
        <f t="shared" si="12"/>
        <v>12</v>
      </c>
      <c r="G40">
        <f t="shared" si="13"/>
        <v>11</v>
      </c>
      <c r="H40">
        <v>24513.200000000001</v>
      </c>
      <c r="I40">
        <f t="shared" si="14"/>
        <v>2131.5826086956522</v>
      </c>
      <c r="J40" t="s">
        <v>357</v>
      </c>
      <c r="K40" t="s">
        <v>381</v>
      </c>
      <c r="L40">
        <v>75000</v>
      </c>
      <c r="M40" t="str">
        <f t="shared" si="15"/>
        <v>Y</v>
      </c>
      <c r="N40" t="str">
        <f t="shared" si="16"/>
        <v>HO12CIVBLA035</v>
      </c>
    </row>
    <row r="41" spans="1:14">
      <c r="A41" t="s">
        <v>380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3"/>
        <v>Elantra</v>
      </c>
      <c r="F41" t="str">
        <f t="shared" si="12"/>
        <v>13</v>
      </c>
      <c r="G41">
        <f t="shared" si="13"/>
        <v>10</v>
      </c>
      <c r="H41">
        <v>22188.5</v>
      </c>
      <c r="I41">
        <f t="shared" si="14"/>
        <v>2113.1904761904761</v>
      </c>
      <c r="J41" t="s">
        <v>366</v>
      </c>
      <c r="K41" t="s">
        <v>379</v>
      </c>
      <c r="L41">
        <v>100000</v>
      </c>
      <c r="M41" t="str">
        <f t="shared" si="15"/>
        <v>Y</v>
      </c>
      <c r="N41" t="str">
        <f t="shared" si="16"/>
        <v>HY13ELABLU052</v>
      </c>
    </row>
    <row r="42" spans="1:14">
      <c r="A42" t="s">
        <v>378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3"/>
        <v>Camero</v>
      </c>
      <c r="F42" t="str">
        <f t="shared" si="12"/>
        <v>09</v>
      </c>
      <c r="G42">
        <f t="shared" si="13"/>
        <v>14</v>
      </c>
      <c r="H42">
        <v>28464.799999999999</v>
      </c>
      <c r="I42">
        <f t="shared" si="14"/>
        <v>1963.0896551724138</v>
      </c>
      <c r="J42" t="s">
        <v>364</v>
      </c>
      <c r="K42" t="s">
        <v>377</v>
      </c>
      <c r="L42">
        <v>100000</v>
      </c>
      <c r="M42" t="str">
        <f t="shared" si="15"/>
        <v>Y</v>
      </c>
      <c r="N42" t="str">
        <f t="shared" si="16"/>
        <v>GM09CMRWHI014</v>
      </c>
    </row>
    <row r="43" spans="1:14">
      <c r="A43" t="s">
        <v>376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3"/>
        <v>Elantra</v>
      </c>
      <c r="F43" t="str">
        <f t="shared" si="12"/>
        <v>12</v>
      </c>
      <c r="G43">
        <f t="shared" si="13"/>
        <v>11</v>
      </c>
      <c r="H43">
        <v>22282</v>
      </c>
      <c r="I43">
        <f t="shared" si="14"/>
        <v>1937.5652173913043</v>
      </c>
      <c r="J43" t="s">
        <v>366</v>
      </c>
      <c r="K43" t="s">
        <v>356</v>
      </c>
      <c r="L43">
        <v>100000</v>
      </c>
      <c r="M43" t="str">
        <f t="shared" si="15"/>
        <v>Y</v>
      </c>
      <c r="N43" t="str">
        <f t="shared" si="16"/>
        <v>HY12ELABLU050</v>
      </c>
    </row>
    <row r="44" spans="1:14">
      <c r="A44" t="s">
        <v>375</v>
      </c>
      <c r="B44" t="str">
        <f t="shared" si="9"/>
        <v>HY</v>
      </c>
      <c r="C44" t="str">
        <f t="shared" si="10"/>
        <v>Hyundai</v>
      </c>
      <c r="D44" t="str">
        <f t="shared" si="11"/>
        <v>ELA</v>
      </c>
      <c r="E44" t="str">
        <f t="shared" si="3"/>
        <v>Elantra</v>
      </c>
      <c r="F44" t="str">
        <f t="shared" si="12"/>
        <v>13</v>
      </c>
      <c r="G44">
        <f t="shared" si="13"/>
        <v>10</v>
      </c>
      <c r="H44">
        <v>20223.900000000001</v>
      </c>
      <c r="I44">
        <f t="shared" si="14"/>
        <v>1926.0857142857144</v>
      </c>
      <c r="J44" t="s">
        <v>357</v>
      </c>
      <c r="K44" t="s">
        <v>372</v>
      </c>
      <c r="L44">
        <v>100000</v>
      </c>
      <c r="M44" t="str">
        <f t="shared" si="15"/>
        <v>Y</v>
      </c>
      <c r="N44" t="str">
        <f t="shared" si="16"/>
        <v>HY13ELABLA051</v>
      </c>
    </row>
    <row r="45" spans="1:14">
      <c r="A45" t="s">
        <v>374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3"/>
        <v>Camrey</v>
      </c>
      <c r="F45" t="str">
        <f t="shared" si="12"/>
        <v>12</v>
      </c>
      <c r="G45">
        <f t="shared" si="13"/>
        <v>11</v>
      </c>
      <c r="H45">
        <v>22128.2</v>
      </c>
      <c r="I45">
        <f t="shared" si="14"/>
        <v>1924.1913043478262</v>
      </c>
      <c r="J45" t="s">
        <v>366</v>
      </c>
      <c r="K45" t="s">
        <v>361</v>
      </c>
      <c r="L45">
        <v>100000</v>
      </c>
      <c r="M45" t="str">
        <f t="shared" si="15"/>
        <v>Y</v>
      </c>
      <c r="N45" t="str">
        <f t="shared" si="16"/>
        <v>TY12CAMBLU029</v>
      </c>
    </row>
    <row r="46" spans="1:14">
      <c r="A46" t="s">
        <v>373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3"/>
        <v>Corolla</v>
      </c>
      <c r="F46" t="str">
        <f t="shared" si="12"/>
        <v>14</v>
      </c>
      <c r="G46">
        <f t="shared" si="13"/>
        <v>9</v>
      </c>
      <c r="H46">
        <v>17556.3</v>
      </c>
      <c r="I46">
        <f t="shared" si="14"/>
        <v>1848.0315789473684</v>
      </c>
      <c r="J46" t="s">
        <v>366</v>
      </c>
      <c r="K46" t="s">
        <v>372</v>
      </c>
      <c r="L46">
        <v>100000</v>
      </c>
      <c r="M46" t="str">
        <f t="shared" si="15"/>
        <v>Y</v>
      </c>
      <c r="N46" t="str">
        <f t="shared" si="16"/>
        <v>TY14CORBLU027</v>
      </c>
    </row>
    <row r="47" spans="1:14">
      <c r="A47" t="s">
        <v>371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3"/>
        <v>Camero</v>
      </c>
      <c r="F47" t="str">
        <f t="shared" si="12"/>
        <v>12</v>
      </c>
      <c r="G47">
        <f t="shared" si="13"/>
        <v>11</v>
      </c>
      <c r="H47">
        <v>19421.099999999999</v>
      </c>
      <c r="I47">
        <f t="shared" si="14"/>
        <v>1688.7913043478259</v>
      </c>
      <c r="J47" t="s">
        <v>357</v>
      </c>
      <c r="K47" t="s">
        <v>370</v>
      </c>
      <c r="L47">
        <v>100000</v>
      </c>
      <c r="M47" t="str">
        <f t="shared" si="15"/>
        <v>Y</v>
      </c>
      <c r="N47" t="str">
        <f t="shared" si="16"/>
        <v>GM12CMRBLA015</v>
      </c>
    </row>
    <row r="48" spans="1:14">
      <c r="A48" t="s">
        <v>369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3"/>
        <v>Focus</v>
      </c>
      <c r="F48" t="str">
        <f t="shared" si="12"/>
        <v>12</v>
      </c>
      <c r="G48">
        <f t="shared" si="13"/>
        <v>11</v>
      </c>
      <c r="H48">
        <v>19341.7</v>
      </c>
      <c r="I48">
        <f t="shared" si="14"/>
        <v>1681.8869565217392</v>
      </c>
      <c r="J48" t="s">
        <v>364</v>
      </c>
      <c r="K48" t="s">
        <v>368</v>
      </c>
      <c r="L48">
        <v>75000</v>
      </c>
      <c r="M48" t="str">
        <f t="shared" si="15"/>
        <v>Y</v>
      </c>
      <c r="N48" t="str">
        <f t="shared" si="16"/>
        <v>FD12FCSWHI011</v>
      </c>
    </row>
    <row r="49" spans="1:14">
      <c r="A49" t="s">
        <v>367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3"/>
        <v>Civic</v>
      </c>
      <c r="F49" t="str">
        <f t="shared" si="12"/>
        <v>10</v>
      </c>
      <c r="G49">
        <f t="shared" si="13"/>
        <v>13</v>
      </c>
      <c r="H49">
        <v>22573</v>
      </c>
      <c r="I49">
        <f t="shared" si="14"/>
        <v>1672.0740740740741</v>
      </c>
      <c r="J49" t="s">
        <v>366</v>
      </c>
      <c r="K49" t="s">
        <v>363</v>
      </c>
      <c r="L49">
        <v>75000</v>
      </c>
      <c r="M49" t="str">
        <f t="shared" si="15"/>
        <v>Y</v>
      </c>
      <c r="N49" t="str">
        <f t="shared" si="16"/>
        <v>HO10CIVBLU032</v>
      </c>
    </row>
    <row r="50" spans="1:14">
      <c r="A50" t="s">
        <v>365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3"/>
        <v>Camero</v>
      </c>
      <c r="F50" t="str">
        <f t="shared" si="12"/>
        <v>14</v>
      </c>
      <c r="G50">
        <f t="shared" si="13"/>
        <v>9</v>
      </c>
      <c r="H50">
        <v>14289.6</v>
      </c>
      <c r="I50">
        <f t="shared" si="14"/>
        <v>1504.1684210526316</v>
      </c>
      <c r="J50" t="s">
        <v>364</v>
      </c>
      <c r="K50" t="s">
        <v>363</v>
      </c>
      <c r="L50">
        <v>100000</v>
      </c>
      <c r="M50" t="str">
        <f t="shared" si="15"/>
        <v>Y</v>
      </c>
      <c r="N50" t="str">
        <f t="shared" si="16"/>
        <v>GM14CMRWHI016</v>
      </c>
    </row>
    <row r="51" spans="1:14">
      <c r="A51" t="s">
        <v>362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3"/>
        <v>Civic</v>
      </c>
      <c r="F51" t="str">
        <f t="shared" si="12"/>
        <v>13</v>
      </c>
      <c r="G51">
        <f t="shared" si="13"/>
        <v>10</v>
      </c>
      <c r="H51">
        <v>13867.6</v>
      </c>
      <c r="I51">
        <f t="shared" si="14"/>
        <v>1320.7238095238095</v>
      </c>
      <c r="J51" t="s">
        <v>357</v>
      </c>
      <c r="K51" t="s">
        <v>361</v>
      </c>
      <c r="L51">
        <v>75000</v>
      </c>
      <c r="M51" t="str">
        <f t="shared" si="15"/>
        <v>Y</v>
      </c>
      <c r="N51" t="str">
        <f t="shared" si="16"/>
        <v>HO13CIVBLA036</v>
      </c>
    </row>
    <row r="52" spans="1:14">
      <c r="A52" t="s">
        <v>360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3"/>
        <v>Focus</v>
      </c>
      <c r="F52" t="str">
        <f t="shared" si="12"/>
        <v>13</v>
      </c>
      <c r="G52">
        <f t="shared" si="13"/>
        <v>10</v>
      </c>
      <c r="H52">
        <v>13682.9</v>
      </c>
      <c r="I52">
        <f t="shared" si="14"/>
        <v>1303.1333333333332</v>
      </c>
      <c r="J52" t="s">
        <v>357</v>
      </c>
      <c r="K52" t="s">
        <v>359</v>
      </c>
      <c r="L52">
        <v>75000</v>
      </c>
      <c r="M52" t="str">
        <f t="shared" si="15"/>
        <v>Y</v>
      </c>
      <c r="N52" t="str">
        <f t="shared" si="16"/>
        <v>FD13FCSBLA013</v>
      </c>
    </row>
    <row r="53" spans="1:14">
      <c r="A53" t="s">
        <v>358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3"/>
        <v>Odyssey</v>
      </c>
      <c r="F53" t="str">
        <f t="shared" si="12"/>
        <v>14</v>
      </c>
      <c r="G53">
        <f t="shared" si="13"/>
        <v>9</v>
      </c>
      <c r="H53">
        <v>3708.1</v>
      </c>
      <c r="I53">
        <f t="shared" si="14"/>
        <v>390.32631578947365</v>
      </c>
      <c r="J53" t="s">
        <v>357</v>
      </c>
      <c r="K53" t="s">
        <v>356</v>
      </c>
      <c r="L53">
        <v>100000</v>
      </c>
      <c r="M53" t="str">
        <f t="shared" si="15"/>
        <v>Y</v>
      </c>
      <c r="N53" t="str">
        <f t="shared" si="16"/>
        <v>HO14ODYBLA041</v>
      </c>
    </row>
    <row r="57" spans="1:14">
      <c r="B57" t="s">
        <v>355</v>
      </c>
      <c r="C57" t="s">
        <v>354</v>
      </c>
      <c r="D57" t="s">
        <v>353</v>
      </c>
      <c r="E57" t="s">
        <v>352</v>
      </c>
    </row>
    <row r="58" spans="1:14">
      <c r="B58" t="s">
        <v>351</v>
      </c>
      <c r="C58" t="s">
        <v>350</v>
      </c>
      <c r="D58" t="s">
        <v>349</v>
      </c>
      <c r="E58" t="s">
        <v>348</v>
      </c>
    </row>
    <row r="59" spans="1:14">
      <c r="B59" t="s">
        <v>347</v>
      </c>
      <c r="C59" t="s">
        <v>346</v>
      </c>
      <c r="D59" t="s">
        <v>345</v>
      </c>
      <c r="E59" t="s">
        <v>344</v>
      </c>
    </row>
    <row r="60" spans="1:14">
      <c r="B60" t="s">
        <v>343</v>
      </c>
      <c r="C60" t="s">
        <v>342</v>
      </c>
      <c r="D60" t="s">
        <v>341</v>
      </c>
      <c r="E60" t="s">
        <v>340</v>
      </c>
    </row>
    <row r="61" spans="1:14">
      <c r="B61" t="s">
        <v>339</v>
      </c>
      <c r="C61" t="s">
        <v>338</v>
      </c>
      <c r="D61" t="s">
        <v>337</v>
      </c>
      <c r="E61" t="s">
        <v>336</v>
      </c>
      <c r="F61" t="s">
        <v>70</v>
      </c>
    </row>
    <row r="62" spans="1:14">
      <c r="B62" t="s">
        <v>335</v>
      </c>
      <c r="C62" t="s">
        <v>334</v>
      </c>
      <c r="D62" t="s">
        <v>333</v>
      </c>
      <c r="E62" t="s">
        <v>332</v>
      </c>
    </row>
    <row r="63" spans="1:14">
      <c r="D63" t="s">
        <v>331</v>
      </c>
      <c r="E63" t="s">
        <v>330</v>
      </c>
    </row>
    <row r="64" spans="1:14">
      <c r="D64" t="s">
        <v>329</v>
      </c>
      <c r="E64" t="s">
        <v>321</v>
      </c>
    </row>
    <row r="65" spans="4:5">
      <c r="D65" t="s">
        <v>328</v>
      </c>
      <c r="E65" t="s">
        <v>327</v>
      </c>
    </row>
    <row r="66" spans="4:5">
      <c r="D66" t="s">
        <v>326</v>
      </c>
      <c r="E66" t="s">
        <v>325</v>
      </c>
    </row>
    <row r="67" spans="4:5">
      <c r="D67" t="s">
        <v>324</v>
      </c>
      <c r="E67" t="s">
        <v>323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12" sqref="D12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135" t="s">
        <v>216</v>
      </c>
      <c r="B3" t="s">
        <v>443</v>
      </c>
    </row>
    <row r="4" spans="1:2">
      <c r="A4" s="134" t="s">
        <v>370</v>
      </c>
      <c r="B4" s="100">
        <v>144647.69999999998</v>
      </c>
    </row>
    <row r="5" spans="1:2">
      <c r="A5" s="134" t="s">
        <v>361</v>
      </c>
      <c r="B5" s="100">
        <v>150656.40000000002</v>
      </c>
    </row>
    <row r="6" spans="1:2">
      <c r="A6" s="134" t="s">
        <v>379</v>
      </c>
      <c r="B6" s="100">
        <v>154427.9</v>
      </c>
    </row>
    <row r="7" spans="1:2">
      <c r="A7" s="134" t="s">
        <v>398</v>
      </c>
      <c r="B7" s="100">
        <v>179986</v>
      </c>
    </row>
    <row r="8" spans="1:2">
      <c r="A8" s="134" t="s">
        <v>392</v>
      </c>
      <c r="B8" s="100">
        <v>143640.70000000001</v>
      </c>
    </row>
    <row r="9" spans="1:2">
      <c r="A9" s="134" t="s">
        <v>381</v>
      </c>
      <c r="B9" s="100">
        <v>135078.20000000001</v>
      </c>
    </row>
    <row r="10" spans="1:2">
      <c r="A10" s="134" t="s">
        <v>390</v>
      </c>
      <c r="B10" s="100">
        <v>184693.8</v>
      </c>
    </row>
    <row r="11" spans="1:2">
      <c r="A11" s="134" t="s">
        <v>394</v>
      </c>
      <c r="B11" s="100">
        <v>127731.3</v>
      </c>
    </row>
    <row r="12" spans="1:2">
      <c r="A12" s="134" t="s">
        <v>356</v>
      </c>
      <c r="B12" s="100">
        <v>70964.899999999994</v>
      </c>
    </row>
    <row r="13" spans="1:2">
      <c r="A13" s="134" t="s">
        <v>372</v>
      </c>
      <c r="B13" s="100">
        <v>65315</v>
      </c>
    </row>
    <row r="14" spans="1:2">
      <c r="A14" s="134" t="s">
        <v>359</v>
      </c>
      <c r="B14" s="100">
        <v>138561.5</v>
      </c>
    </row>
    <row r="15" spans="1:2">
      <c r="A15" s="134" t="s">
        <v>377</v>
      </c>
      <c r="B15" s="100">
        <v>141229.4</v>
      </c>
    </row>
    <row r="16" spans="1:2">
      <c r="A16" s="134" t="s">
        <v>169</v>
      </c>
      <c r="B16" s="100">
        <v>305432.40000000002</v>
      </c>
    </row>
    <row r="17" spans="1:2">
      <c r="A17" s="134" t="s">
        <v>396</v>
      </c>
      <c r="B17" s="100">
        <v>177713.9</v>
      </c>
    </row>
    <row r="18" spans="1:2">
      <c r="A18" s="134" t="s">
        <v>363</v>
      </c>
      <c r="B18" s="100">
        <v>65964.899999999994</v>
      </c>
    </row>
    <row r="19" spans="1:2">
      <c r="A19" s="134" t="s">
        <v>383</v>
      </c>
      <c r="B19" s="100">
        <v>130601.59999999999</v>
      </c>
    </row>
    <row r="20" spans="1:2">
      <c r="A20" s="134" t="s">
        <v>368</v>
      </c>
      <c r="B20" s="100">
        <v>19341.7</v>
      </c>
    </row>
    <row r="21" spans="1:2">
      <c r="A21" s="134" t="s">
        <v>214</v>
      </c>
      <c r="B21" s="100">
        <v>2335987.2999999998</v>
      </c>
    </row>
  </sheetData>
  <conditionalFormatting pivot="1" sqref="B4:B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4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opLeftCell="A4" workbookViewId="0">
      <selection activeCell="N12" sqref="N11:N12"/>
    </sheetView>
  </sheetViews>
  <sheetFormatPr defaultRowHeight="15"/>
  <cols>
    <col min="1" max="1" width="13.7109375" bestFit="1" customWidth="1"/>
    <col min="2" max="3" width="11.5703125" bestFit="1" customWidth="1"/>
  </cols>
  <sheetData>
    <row r="2" spans="1:3">
      <c r="A2" s="156" t="s">
        <v>110</v>
      </c>
      <c r="B2" s="154" t="s">
        <v>109</v>
      </c>
      <c r="C2" s="159" t="s">
        <v>108</v>
      </c>
    </row>
    <row r="3" spans="1:3">
      <c r="A3" s="156" t="s">
        <v>107</v>
      </c>
      <c r="B3" s="155">
        <v>90</v>
      </c>
      <c r="C3" s="160">
        <v>50</v>
      </c>
    </row>
    <row r="4" spans="1:3">
      <c r="A4" s="156" t="s">
        <v>106</v>
      </c>
      <c r="B4" s="155">
        <v>2</v>
      </c>
      <c r="C4" s="160">
        <v>2.5</v>
      </c>
    </row>
    <row r="5" spans="1:3">
      <c r="A5" s="156" t="s">
        <v>105</v>
      </c>
      <c r="B5" s="155">
        <v>4.5</v>
      </c>
      <c r="C5" s="160">
        <v>5.5</v>
      </c>
    </row>
    <row r="6" spans="1:3">
      <c r="A6" s="156" t="s">
        <v>104</v>
      </c>
      <c r="B6" s="155">
        <v>7</v>
      </c>
      <c r="C6" s="160">
        <v>7</v>
      </c>
    </row>
    <row r="7" spans="1:3">
      <c r="A7" s="156" t="s">
        <v>103</v>
      </c>
      <c r="B7" s="155" t="s">
        <v>98</v>
      </c>
      <c r="C7" s="160">
        <v>3</v>
      </c>
    </row>
    <row r="8" spans="1:3">
      <c r="A8" s="156" t="s">
        <v>78</v>
      </c>
      <c r="B8" s="155">
        <f>SUM(B3:B7)</f>
        <v>103.5</v>
      </c>
      <c r="C8" s="160">
        <f>SUM(C3:C7)</f>
        <v>68</v>
      </c>
    </row>
    <row r="10" spans="1:3">
      <c r="A10" s="153" t="s">
        <v>102</v>
      </c>
      <c r="B10" s="157"/>
      <c r="C10" s="162"/>
    </row>
    <row r="11" spans="1:3">
      <c r="A11" s="153" t="s">
        <v>101</v>
      </c>
      <c r="B11" s="158">
        <v>11</v>
      </c>
      <c r="C11" s="163">
        <v>21</v>
      </c>
    </row>
    <row r="12" spans="1:3">
      <c r="A12" s="153" t="s">
        <v>100</v>
      </c>
      <c r="B12" s="158">
        <v>8</v>
      </c>
      <c r="C12" s="163" t="s">
        <v>98</v>
      </c>
    </row>
    <row r="13" spans="1:3">
      <c r="A13" s="153" t="s">
        <v>99</v>
      </c>
      <c r="B13" s="158" t="s">
        <v>98</v>
      </c>
      <c r="C13" s="163">
        <v>3</v>
      </c>
    </row>
    <row r="14" spans="1:3">
      <c r="A14" s="153" t="s">
        <v>97</v>
      </c>
      <c r="B14" s="158">
        <f>SUM(B11:B13)</f>
        <v>19</v>
      </c>
      <c r="C14" s="163">
        <f>SUM(C11:C13)</f>
        <v>24</v>
      </c>
    </row>
    <row r="15" spans="1:3">
      <c r="A15" s="153" t="s">
        <v>96</v>
      </c>
      <c r="B15" s="158">
        <f>B14*2</f>
        <v>38</v>
      </c>
      <c r="C15" s="163">
        <f>C14*2</f>
        <v>48</v>
      </c>
    </row>
    <row r="16" spans="1:3">
      <c r="A16" s="153" t="s">
        <v>95</v>
      </c>
      <c r="B16" s="158">
        <f>B15*12</f>
        <v>456</v>
      </c>
      <c r="C16" s="163">
        <f>C15*12</f>
        <v>576</v>
      </c>
    </row>
    <row r="17" spans="1:3" s="74" customFormat="1"/>
    <row r="18" spans="1:3" ht="30">
      <c r="A18" s="164" t="s">
        <v>94</v>
      </c>
      <c r="B18" s="161">
        <f>B16+B8</f>
        <v>559.5</v>
      </c>
      <c r="C18" s="161">
        <f>C16+C8</f>
        <v>644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="85" zoomScaleNormal="85" workbookViewId="0">
      <selection activeCell="B16" sqref="B16"/>
    </sheetView>
  </sheetViews>
  <sheetFormatPr defaultRowHeight="15"/>
  <cols>
    <col min="1" max="1" width="29.42578125" bestFit="1" customWidth="1"/>
    <col min="2" max="4" width="16.85546875" style="139" bestFit="1" customWidth="1"/>
    <col min="7" max="7" width="29.42578125" bestFit="1" customWidth="1"/>
    <col min="8" max="10" width="16.85546875" style="139" bestFit="1" customWidth="1"/>
  </cols>
  <sheetData>
    <row r="1" spans="1:10">
      <c r="A1" t="s">
        <v>130</v>
      </c>
      <c r="B1" s="139" t="s">
        <v>322</v>
      </c>
      <c r="C1" s="139" t="s">
        <v>321</v>
      </c>
      <c r="D1" s="139" t="s">
        <v>320</v>
      </c>
      <c r="G1" t="s">
        <v>129</v>
      </c>
      <c r="H1" s="139" t="s">
        <v>322</v>
      </c>
      <c r="I1" s="139" t="s">
        <v>321</v>
      </c>
      <c r="J1" s="139" t="s">
        <v>320</v>
      </c>
    </row>
    <row r="2" spans="1:10">
      <c r="A2" s="137" t="s">
        <v>319</v>
      </c>
      <c r="B2" s="140"/>
      <c r="C2" s="140"/>
      <c r="D2" s="140"/>
      <c r="G2" s="137" t="s">
        <v>319</v>
      </c>
      <c r="H2" s="140"/>
      <c r="I2" s="140"/>
      <c r="J2" s="140"/>
    </row>
    <row r="3" spans="1:10">
      <c r="A3" s="132" t="s">
        <v>318</v>
      </c>
      <c r="B3" s="141">
        <v>14500</v>
      </c>
      <c r="C3" s="141">
        <v>31000</v>
      </c>
      <c r="D3" s="141">
        <v>72000</v>
      </c>
      <c r="G3" s="136" t="s">
        <v>318</v>
      </c>
      <c r="H3" s="148">
        <f>14500*1.4</f>
        <v>20300</v>
      </c>
      <c r="I3" s="148">
        <f>31000*1.4</f>
        <v>43400</v>
      </c>
      <c r="J3" s="148">
        <f>72000*1.4</f>
        <v>100800</v>
      </c>
    </row>
    <row r="4" spans="1:10">
      <c r="A4" s="132" t="s">
        <v>317</v>
      </c>
      <c r="B4" s="141">
        <v>1450</v>
      </c>
      <c r="C4" s="141">
        <v>3100</v>
      </c>
      <c r="D4" s="141">
        <v>7200</v>
      </c>
      <c r="G4" s="136" t="s">
        <v>317</v>
      </c>
      <c r="H4" s="148">
        <v>1450</v>
      </c>
      <c r="I4" s="148">
        <v>3100</v>
      </c>
      <c r="J4" s="148">
        <v>7200</v>
      </c>
    </row>
    <row r="6" spans="1:10">
      <c r="A6" s="137" t="s">
        <v>316</v>
      </c>
      <c r="B6" s="140"/>
      <c r="C6" s="140"/>
      <c r="D6" s="140"/>
      <c r="G6" s="137" t="s">
        <v>316</v>
      </c>
      <c r="H6" s="140"/>
      <c r="I6" s="140"/>
      <c r="J6" s="140"/>
    </row>
    <row r="7" spans="1:10">
      <c r="A7" s="121" t="s">
        <v>315</v>
      </c>
      <c r="B7" s="142">
        <v>1500</v>
      </c>
      <c r="C7" s="142">
        <v>2500</v>
      </c>
      <c r="D7" s="142">
        <v>3100</v>
      </c>
      <c r="G7" s="150" t="s">
        <v>315</v>
      </c>
      <c r="H7" s="151">
        <v>1500</v>
      </c>
      <c r="I7" s="151">
        <v>2500</v>
      </c>
      <c r="J7" s="151">
        <v>3100</v>
      </c>
    </row>
    <row r="8" spans="1:10">
      <c r="A8" s="121" t="s">
        <v>314</v>
      </c>
      <c r="B8" s="142">
        <v>210</v>
      </c>
      <c r="C8" s="142">
        <v>300</v>
      </c>
      <c r="D8" s="142">
        <v>450</v>
      </c>
      <c r="G8" s="150" t="s">
        <v>314</v>
      </c>
      <c r="H8" s="151">
        <v>210</v>
      </c>
      <c r="I8" s="151">
        <v>300</v>
      </c>
      <c r="J8" s="151">
        <v>450</v>
      </c>
    </row>
    <row r="9" spans="1:10">
      <c r="A9" s="121" t="s">
        <v>313</v>
      </c>
      <c r="B9" s="142">
        <f>IFERROR(B14*B12/B13,"-")</f>
        <v>341914.28571428574</v>
      </c>
      <c r="C9" s="142">
        <f>IFERROR(C14*C12/C13,"-")</f>
        <v>629842.10526315786</v>
      </c>
      <c r="D9" s="142">
        <f>IFERROR(D14*D12/D13,"-")</f>
        <v>703941.17647058819</v>
      </c>
      <c r="G9" s="150" t="s">
        <v>313</v>
      </c>
      <c r="H9" s="151">
        <f>IFERROR(H14*H12/H13,"-")</f>
        <v>341914.28571428574</v>
      </c>
      <c r="I9" s="151">
        <f>IFERROR(I14*I12/I13,"-")</f>
        <v>629842.10526315786</v>
      </c>
      <c r="J9" s="151">
        <f>IFERROR(J14*J12/J13,"-")</f>
        <v>703941.17647058819</v>
      </c>
    </row>
    <row r="11" spans="1:10">
      <c r="A11" s="137" t="s">
        <v>312</v>
      </c>
      <c r="B11" s="140"/>
      <c r="C11" s="140"/>
      <c r="D11" s="140"/>
      <c r="G11" s="137" t="s">
        <v>312</v>
      </c>
      <c r="H11" s="140"/>
      <c r="I11" s="140"/>
      <c r="J11" s="140"/>
    </row>
    <row r="12" spans="1:10">
      <c r="A12" s="82" t="s">
        <v>311</v>
      </c>
      <c r="B12" s="138">
        <v>30000</v>
      </c>
      <c r="C12" s="138">
        <v>30000</v>
      </c>
      <c r="D12" s="138">
        <v>30000</v>
      </c>
      <c r="G12" s="130" t="s">
        <v>311</v>
      </c>
      <c r="H12" s="152">
        <v>30000</v>
      </c>
      <c r="I12" s="152">
        <v>30000</v>
      </c>
      <c r="J12" s="152">
        <v>30000</v>
      </c>
    </row>
    <row r="13" spans="1:10">
      <c r="A13" s="82" t="s">
        <v>310</v>
      </c>
      <c r="B13" s="143">
        <v>35</v>
      </c>
      <c r="C13" s="143">
        <v>19</v>
      </c>
      <c r="D13" s="143">
        <v>17</v>
      </c>
      <c r="G13" s="130" t="s">
        <v>310</v>
      </c>
      <c r="H13" s="147">
        <v>35</v>
      </c>
      <c r="I13" s="147">
        <v>19</v>
      </c>
      <c r="J13" s="147">
        <v>17</v>
      </c>
    </row>
    <row r="14" spans="1:10">
      <c r="A14" s="82" t="s">
        <v>309</v>
      </c>
      <c r="B14" s="143">
        <v>398.9</v>
      </c>
      <c r="C14" s="143">
        <v>398.9</v>
      </c>
      <c r="D14" s="143">
        <v>398.9</v>
      </c>
      <c r="G14" s="130" t="s">
        <v>309</v>
      </c>
      <c r="H14" s="147">
        <v>398.9</v>
      </c>
      <c r="I14" s="147">
        <v>398.9</v>
      </c>
      <c r="J14" s="147">
        <v>398.9</v>
      </c>
    </row>
    <row r="15" spans="1:10">
      <c r="A15" s="82" t="s">
        <v>308</v>
      </c>
      <c r="B15" s="138">
        <f>IFERROR((B12/B13)*B14,"-")</f>
        <v>341914.28571428568</v>
      </c>
      <c r="C15" s="138">
        <f t="shared" ref="C15:D15" si="0">IFERROR((C12/C13)*C14,"-")</f>
        <v>629842.10526315786</v>
      </c>
      <c r="D15" s="138">
        <f t="shared" si="0"/>
        <v>703941.17647058819</v>
      </c>
      <c r="G15" s="130" t="s">
        <v>308</v>
      </c>
      <c r="H15" s="152">
        <f>IFERROR((H12/H13)*H14,"-")</f>
        <v>341914.28571428568</v>
      </c>
      <c r="I15" s="152">
        <f t="shared" ref="I15" si="1">IFERROR((I12/I13)*I14,"-")</f>
        <v>629842.10526315786</v>
      </c>
      <c r="J15" s="152">
        <f t="shared" ref="J15" si="2">IFERROR((J12/J13)*J14,"-")</f>
        <v>703941.17647058819</v>
      </c>
    </row>
    <row r="17" spans="1:10">
      <c r="A17" s="121" t="s">
        <v>307</v>
      </c>
      <c r="B17" s="142">
        <f>SUM(B3:B4,B7:B9)</f>
        <v>359574.28571428574</v>
      </c>
      <c r="C17" s="142">
        <f t="shared" ref="C17:D17" si="3">SUM(C3:C4,C7:C9)</f>
        <v>666742.10526315786</v>
      </c>
      <c r="D17" s="142">
        <f t="shared" si="3"/>
        <v>786691.17647058819</v>
      </c>
      <c r="G17" s="121" t="s">
        <v>307</v>
      </c>
      <c r="H17" s="142">
        <f>SUM(H3:H4,H7:H9)</f>
        <v>365374.28571428574</v>
      </c>
      <c r="I17" s="142">
        <f t="shared" ref="I17:J17" si="4">SUM(I3:I4,I7:I9)</f>
        <v>679142.10526315786</v>
      </c>
      <c r="J17" s="142">
        <f t="shared" si="4"/>
        <v>815491.17647058819</v>
      </c>
    </row>
    <row r="19" spans="1:10">
      <c r="A19" s="123" t="s">
        <v>306</v>
      </c>
      <c r="B19" s="144">
        <v>30000</v>
      </c>
      <c r="C19" s="144">
        <v>30000</v>
      </c>
      <c r="D19" s="144">
        <v>30000</v>
      </c>
      <c r="G19" s="123" t="s">
        <v>306</v>
      </c>
      <c r="H19" s="144">
        <v>30000</v>
      </c>
      <c r="I19" s="144">
        <v>30000</v>
      </c>
      <c r="J19" s="144">
        <v>30000</v>
      </c>
    </row>
    <row r="20" spans="1:10">
      <c r="A20" s="123" t="s">
        <v>305</v>
      </c>
      <c r="B20" s="144">
        <v>250000</v>
      </c>
      <c r="C20" s="144">
        <v>250000</v>
      </c>
      <c r="D20" s="144">
        <v>250000</v>
      </c>
      <c r="G20" s="123" t="s">
        <v>305</v>
      </c>
      <c r="H20" s="144">
        <v>250000</v>
      </c>
      <c r="I20" s="144">
        <v>250000</v>
      </c>
      <c r="J20" s="144">
        <v>250000</v>
      </c>
    </row>
    <row r="21" spans="1:10">
      <c r="A21" s="123" t="s">
        <v>304</v>
      </c>
      <c r="B21" s="145">
        <f>B20/B19</f>
        <v>8.3333333333333339</v>
      </c>
      <c r="C21" s="145">
        <f t="shared" ref="C21:D21" si="5">C20/C19</f>
        <v>8.3333333333333339</v>
      </c>
      <c r="D21" s="145">
        <f t="shared" si="5"/>
        <v>8.3333333333333339</v>
      </c>
      <c r="G21" s="123" t="s">
        <v>304</v>
      </c>
      <c r="H21" s="145">
        <f>H20/H19</f>
        <v>8.3333333333333339</v>
      </c>
      <c r="I21" s="145">
        <f t="shared" ref="I21" si="6">I20/I19</f>
        <v>8.3333333333333339</v>
      </c>
      <c r="J21" s="145">
        <f t="shared" ref="J21" si="7">J20/J19</f>
        <v>8.3333333333333339</v>
      </c>
    </row>
    <row r="23" spans="1:10">
      <c r="A23" s="131" t="s">
        <v>303</v>
      </c>
      <c r="B23" s="146">
        <f>B17*B21</f>
        <v>2996452.3809523815</v>
      </c>
      <c r="C23" s="146">
        <f t="shared" ref="C23:D23" si="8">C17*C21</f>
        <v>5556184.2105263155</v>
      </c>
      <c r="D23" s="146">
        <f t="shared" si="8"/>
        <v>6555759.8039215691</v>
      </c>
      <c r="G23" s="131" t="s">
        <v>303</v>
      </c>
      <c r="H23" s="146">
        <f>H17*H21</f>
        <v>3044785.7142857146</v>
      </c>
      <c r="I23" s="146">
        <f t="shared" ref="I23:J23" si="9">I17*I21</f>
        <v>5659517.5438596494</v>
      </c>
      <c r="J23" s="146">
        <f t="shared" si="9"/>
        <v>6795759.8039215691</v>
      </c>
    </row>
    <row r="25" spans="1:10">
      <c r="A25" s="130" t="s">
        <v>302</v>
      </c>
      <c r="B25" s="147">
        <f>B23/B21</f>
        <v>359574.28571428574</v>
      </c>
      <c r="C25" s="147">
        <f t="shared" ref="C25:D25" si="10">C23/C21</f>
        <v>666742.10526315786</v>
      </c>
      <c r="D25" s="147">
        <f t="shared" si="10"/>
        <v>786691.17647058819</v>
      </c>
      <c r="G25" s="130" t="s">
        <v>302</v>
      </c>
      <c r="H25" s="147">
        <f>H23/H21</f>
        <v>365374.28571428574</v>
      </c>
      <c r="I25" s="147">
        <f t="shared" ref="I25:J25" si="11">I23/I21</f>
        <v>679142.10526315786</v>
      </c>
      <c r="J25" s="147">
        <f t="shared" si="11"/>
        <v>815491.17647058819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E11"/>
    </sheetView>
  </sheetViews>
  <sheetFormatPr defaultRowHeight="15"/>
  <sheetData>
    <row r="1" spans="1:7">
      <c r="A1">
        <f>ROW(A1)</f>
        <v>1</v>
      </c>
      <c r="B1">
        <f t="shared" ref="B1:E1" si="0">ROW(B1)</f>
        <v>1</v>
      </c>
      <c r="C1">
        <f t="shared" si="0"/>
        <v>1</v>
      </c>
      <c r="D1">
        <f t="shared" si="0"/>
        <v>1</v>
      </c>
      <c r="E1">
        <f t="shared" si="0"/>
        <v>1</v>
      </c>
    </row>
    <row r="2" spans="1:7">
      <c r="A2">
        <f t="shared" ref="A2:E11" si="1">ROW(A2)</f>
        <v>2</v>
      </c>
      <c r="B2">
        <f t="shared" si="1"/>
        <v>2</v>
      </c>
      <c r="C2">
        <f t="shared" si="1"/>
        <v>2</v>
      </c>
      <c r="D2">
        <f t="shared" si="1"/>
        <v>2</v>
      </c>
      <c r="E2">
        <f t="shared" si="1"/>
        <v>2</v>
      </c>
    </row>
    <row r="3" spans="1:7">
      <c r="A3">
        <f t="shared" si="1"/>
        <v>3</v>
      </c>
      <c r="B3">
        <f t="shared" si="1"/>
        <v>3</v>
      </c>
      <c r="C3">
        <f t="shared" si="1"/>
        <v>3</v>
      </c>
      <c r="D3">
        <f t="shared" si="1"/>
        <v>3</v>
      </c>
      <c r="E3">
        <f t="shared" si="1"/>
        <v>3</v>
      </c>
    </row>
    <row r="4" spans="1:7">
      <c r="A4">
        <f t="shared" si="1"/>
        <v>4</v>
      </c>
      <c r="B4">
        <f t="shared" si="1"/>
        <v>4</v>
      </c>
      <c r="C4">
        <f t="shared" si="1"/>
        <v>4</v>
      </c>
      <c r="D4">
        <f t="shared" si="1"/>
        <v>4</v>
      </c>
      <c r="E4">
        <f t="shared" si="1"/>
        <v>4</v>
      </c>
    </row>
    <row r="5" spans="1:7">
      <c r="A5">
        <f t="shared" si="1"/>
        <v>5</v>
      </c>
      <c r="B5">
        <f t="shared" si="1"/>
        <v>5</v>
      </c>
      <c r="C5">
        <f t="shared" si="1"/>
        <v>5</v>
      </c>
      <c r="D5">
        <f t="shared" si="1"/>
        <v>5</v>
      </c>
      <c r="E5">
        <f t="shared" si="1"/>
        <v>5</v>
      </c>
      <c r="F5">
        <v>5</v>
      </c>
      <c r="G5">
        <v>1</v>
      </c>
    </row>
    <row r="6" spans="1:7">
      <c r="A6">
        <f t="shared" si="1"/>
        <v>6</v>
      </c>
      <c r="B6">
        <f t="shared" si="1"/>
        <v>6</v>
      </c>
      <c r="C6">
        <f t="shared" si="1"/>
        <v>6</v>
      </c>
      <c r="D6">
        <f t="shared" si="1"/>
        <v>6</v>
      </c>
      <c r="E6">
        <f t="shared" si="1"/>
        <v>6</v>
      </c>
      <c r="F6">
        <v>8</v>
      </c>
      <c r="G6">
        <v>2</v>
      </c>
    </row>
    <row r="7" spans="1:7">
      <c r="A7">
        <f t="shared" si="1"/>
        <v>7</v>
      </c>
      <c r="B7">
        <f t="shared" si="1"/>
        <v>7</v>
      </c>
      <c r="C7">
        <f t="shared" si="1"/>
        <v>7</v>
      </c>
      <c r="D7">
        <f t="shared" si="1"/>
        <v>7</v>
      </c>
      <c r="E7">
        <f t="shared" si="1"/>
        <v>7</v>
      </c>
      <c r="F7">
        <v>11</v>
      </c>
      <c r="G7">
        <v>3</v>
      </c>
    </row>
    <row r="8" spans="1:7">
      <c r="A8">
        <f t="shared" si="1"/>
        <v>8</v>
      </c>
      <c r="B8">
        <f t="shared" si="1"/>
        <v>8</v>
      </c>
      <c r="C8">
        <f t="shared" si="1"/>
        <v>8</v>
      </c>
      <c r="D8">
        <f t="shared" si="1"/>
        <v>8</v>
      </c>
      <c r="E8">
        <f t="shared" si="1"/>
        <v>8</v>
      </c>
      <c r="F8">
        <v>14</v>
      </c>
      <c r="G8">
        <v>4</v>
      </c>
    </row>
    <row r="9" spans="1:7">
      <c r="A9">
        <f t="shared" si="1"/>
        <v>9</v>
      </c>
      <c r="B9">
        <f t="shared" si="1"/>
        <v>9</v>
      </c>
      <c r="C9">
        <f t="shared" si="1"/>
        <v>9</v>
      </c>
      <c r="D9">
        <f t="shared" si="1"/>
        <v>9</v>
      </c>
      <c r="E9">
        <f t="shared" si="1"/>
        <v>9</v>
      </c>
      <c r="F9">
        <v>17</v>
      </c>
      <c r="G9">
        <v>5</v>
      </c>
    </row>
    <row r="10" spans="1:7">
      <c r="A10">
        <f t="shared" si="1"/>
        <v>10</v>
      </c>
      <c r="B10">
        <f t="shared" si="1"/>
        <v>10</v>
      </c>
      <c r="C10">
        <f t="shared" si="1"/>
        <v>10</v>
      </c>
      <c r="D10">
        <f t="shared" si="1"/>
        <v>10</v>
      </c>
      <c r="E10">
        <f t="shared" si="1"/>
        <v>10</v>
      </c>
      <c r="F10">
        <v>20</v>
      </c>
      <c r="G10">
        <v>6</v>
      </c>
    </row>
    <row r="11" spans="1:7">
      <c r="A11">
        <f t="shared" si="1"/>
        <v>11</v>
      </c>
      <c r="B11">
        <f t="shared" si="1"/>
        <v>11</v>
      </c>
      <c r="C11">
        <f t="shared" si="1"/>
        <v>11</v>
      </c>
      <c r="D11">
        <f t="shared" si="1"/>
        <v>11</v>
      </c>
      <c r="E11">
        <f t="shared" si="1"/>
        <v>11</v>
      </c>
      <c r="F11">
        <v>23</v>
      </c>
      <c r="G11">
        <v>7</v>
      </c>
    </row>
    <row r="12" spans="1:7">
      <c r="F12">
        <v>26</v>
      </c>
      <c r="G12">
        <v>8</v>
      </c>
    </row>
    <row r="13" spans="1:7">
      <c r="F13">
        <v>29</v>
      </c>
      <c r="G13">
        <v>9</v>
      </c>
    </row>
    <row r="14" spans="1:7">
      <c r="F14">
        <v>32</v>
      </c>
      <c r="G14">
        <v>10</v>
      </c>
    </row>
    <row r="15" spans="1:7">
      <c r="F15">
        <v>35</v>
      </c>
      <c r="G15">
        <v>11</v>
      </c>
    </row>
    <row r="16" spans="1:7">
      <c r="F16">
        <v>38</v>
      </c>
      <c r="G1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B1" workbookViewId="0">
      <selection activeCell="K10" sqref="K10"/>
    </sheetView>
  </sheetViews>
  <sheetFormatPr defaultRowHeight="15"/>
  <cols>
    <col min="1" max="1" width="7.28515625" bestFit="1" customWidth="1"/>
    <col min="2" max="2" width="16.85546875" bestFit="1" customWidth="1"/>
    <col min="3" max="3" width="12.5703125" bestFit="1" customWidth="1"/>
    <col min="4" max="4" width="7.85546875" bestFit="1" customWidth="1"/>
    <col min="5" max="5" width="15.28515625" bestFit="1" customWidth="1"/>
    <col min="6" max="6" width="16.85546875" bestFit="1" customWidth="1"/>
    <col min="7" max="7" width="19.5703125" bestFit="1" customWidth="1"/>
  </cols>
  <sheetData>
    <row r="1" spans="1:7">
      <c r="B1" s="149" t="s">
        <v>93</v>
      </c>
      <c r="C1" s="149" t="s">
        <v>92</v>
      </c>
      <c r="D1" s="149" t="s">
        <v>91</v>
      </c>
      <c r="E1" s="149" t="s">
        <v>90</v>
      </c>
      <c r="F1" s="149" t="s">
        <v>89</v>
      </c>
      <c r="G1" s="149" t="s">
        <v>88</v>
      </c>
    </row>
    <row r="2" spans="1:7">
      <c r="A2" t="s">
        <v>87</v>
      </c>
      <c r="B2" s="174">
        <v>1410000</v>
      </c>
      <c r="C2" s="175">
        <v>0.09</v>
      </c>
      <c r="D2" s="176">
        <v>12</v>
      </c>
      <c r="E2" s="174">
        <f>B2*C2</f>
        <v>126900</v>
      </c>
      <c r="F2" s="174">
        <f>B2+E2</f>
        <v>1536900</v>
      </c>
      <c r="G2" s="174">
        <f>F2/D2</f>
        <v>128075</v>
      </c>
    </row>
    <row r="3" spans="1:7">
      <c r="A3" t="s">
        <v>86</v>
      </c>
      <c r="B3" s="174">
        <v>1410000</v>
      </c>
      <c r="C3" s="175">
        <v>0.08</v>
      </c>
      <c r="D3" s="176">
        <v>12</v>
      </c>
      <c r="E3" s="174">
        <f>B3*C3</f>
        <v>112800</v>
      </c>
      <c r="F3" s="174">
        <f>B3+E3</f>
        <v>1522800</v>
      </c>
      <c r="G3" s="174">
        <f>F3/D3</f>
        <v>126900</v>
      </c>
    </row>
    <row r="4" spans="1:7">
      <c r="A4" t="s">
        <v>85</v>
      </c>
      <c r="B4" s="174">
        <v>1410000</v>
      </c>
      <c r="C4" s="175">
        <v>7.0000000000000007E-2</v>
      </c>
      <c r="D4" s="176">
        <v>12</v>
      </c>
      <c r="E4" s="174">
        <f>B4*C4</f>
        <v>98700.000000000015</v>
      </c>
      <c r="F4" s="174">
        <f>B4+E4</f>
        <v>1508700</v>
      </c>
      <c r="G4" s="174">
        <f>F4/D4</f>
        <v>125725</v>
      </c>
    </row>
    <row r="5" spans="1:7">
      <c r="A5" t="s">
        <v>84</v>
      </c>
      <c r="B5" s="174">
        <v>1410000</v>
      </c>
      <c r="C5" s="175">
        <v>0.06</v>
      </c>
      <c r="D5" s="176">
        <v>12</v>
      </c>
      <c r="E5" s="174">
        <f>B5*C5</f>
        <v>84600</v>
      </c>
      <c r="F5" s="174">
        <f>B5+E5</f>
        <v>1494600</v>
      </c>
      <c r="G5" s="174">
        <f>F5/D5</f>
        <v>124550</v>
      </c>
    </row>
  </sheetData>
  <conditionalFormatting sqref="F2:F5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5" zoomScaleNormal="85" workbookViewId="0">
      <selection activeCell="N19" sqref="N19"/>
    </sheetView>
  </sheetViews>
  <sheetFormatPr defaultRowHeight="15"/>
  <cols>
    <col min="1" max="1" width="27.42578125" bestFit="1" customWidth="1"/>
    <col min="2" max="2" width="13.42578125" bestFit="1" customWidth="1"/>
    <col min="3" max="3" width="11.85546875" bestFit="1" customWidth="1"/>
    <col min="4" max="4" width="14.5703125" bestFit="1" customWidth="1"/>
    <col min="7" max="7" width="27.42578125" bestFit="1" customWidth="1"/>
    <col min="8" max="8" width="13.42578125" bestFit="1" customWidth="1"/>
    <col min="9" max="9" width="11.85546875" bestFit="1" customWidth="1"/>
    <col min="10" max="10" width="14.5703125" bestFit="1" customWidth="1"/>
    <col min="13" max="13" width="16" bestFit="1" customWidth="1"/>
  </cols>
  <sheetData>
    <row r="1" spans="1:15">
      <c r="A1" t="s">
        <v>130</v>
      </c>
      <c r="B1" t="s">
        <v>128</v>
      </c>
      <c r="C1" t="s">
        <v>127</v>
      </c>
      <c r="D1" t="s">
        <v>126</v>
      </c>
      <c r="G1" t="s">
        <v>129</v>
      </c>
      <c r="H1" t="s">
        <v>128</v>
      </c>
      <c r="I1" t="s">
        <v>127</v>
      </c>
      <c r="J1" t="s">
        <v>126</v>
      </c>
    </row>
    <row r="2" spans="1:15">
      <c r="A2" s="82" t="s">
        <v>125</v>
      </c>
      <c r="B2" s="81">
        <v>29</v>
      </c>
      <c r="C2" s="81">
        <v>549</v>
      </c>
      <c r="D2" s="81">
        <v>149</v>
      </c>
      <c r="G2" s="82" t="s">
        <v>125</v>
      </c>
      <c r="H2" s="81">
        <v>29</v>
      </c>
      <c r="I2" s="81">
        <v>549</v>
      </c>
      <c r="J2" s="81">
        <v>149</v>
      </c>
      <c r="L2">
        <f>LEN(A2)</f>
        <v>16</v>
      </c>
      <c r="M2" t="str">
        <f>TRIM(A2)</f>
        <v>Initial purchase</v>
      </c>
      <c r="N2">
        <f>LEN(M2)</f>
        <v>16</v>
      </c>
      <c r="O2" t="str">
        <f>SUBSTITUTE(M2,"Initial","First")</f>
        <v>First purchase</v>
      </c>
    </row>
    <row r="3" spans="1:15">
      <c r="L3">
        <f t="shared" ref="L3:L13" si="0">LEN(A3)</f>
        <v>0</v>
      </c>
      <c r="M3" t="str">
        <f t="shared" ref="M3:M13" si="1">TRIM(A3)</f>
        <v/>
      </c>
      <c r="N3">
        <f t="shared" ref="N3:N13" si="2">LEN(M3)</f>
        <v>0</v>
      </c>
      <c r="O3" t="str">
        <f t="shared" ref="O3:O13" si="3">SUBSTITUTE(M3,"Initial","First")</f>
        <v/>
      </c>
    </row>
    <row r="4" spans="1:15">
      <c r="A4" s="80" t="s">
        <v>124</v>
      </c>
      <c r="B4" s="80">
        <v>500</v>
      </c>
      <c r="G4" s="80" t="s">
        <v>124</v>
      </c>
      <c r="H4" s="80">
        <v>15</v>
      </c>
      <c r="L4">
        <f t="shared" si="0"/>
        <v>13</v>
      </c>
      <c r="M4" t="str">
        <f t="shared" si="1"/>
        <v>Pages per day</v>
      </c>
      <c r="N4">
        <f t="shared" si="2"/>
        <v>13</v>
      </c>
      <c r="O4" t="str">
        <f t="shared" si="3"/>
        <v>Pages per day</v>
      </c>
    </row>
    <row r="5" spans="1:15">
      <c r="A5" s="80" t="s">
        <v>123</v>
      </c>
      <c r="B5" s="80">
        <v>5</v>
      </c>
      <c r="G5" s="80" t="s">
        <v>123</v>
      </c>
      <c r="H5" s="80">
        <v>5</v>
      </c>
      <c r="L5">
        <f t="shared" si="0"/>
        <v>14</v>
      </c>
      <c r="M5" t="str">
        <f t="shared" si="1"/>
        <v>Days in a week</v>
      </c>
      <c r="N5">
        <f t="shared" si="2"/>
        <v>14</v>
      </c>
      <c r="O5" t="str">
        <f t="shared" si="3"/>
        <v>Days in a week</v>
      </c>
    </row>
    <row r="6" spans="1:15">
      <c r="A6" s="80" t="s">
        <v>122</v>
      </c>
      <c r="B6" s="80">
        <f>B4*B5</f>
        <v>2500</v>
      </c>
      <c r="G6" s="80" t="s">
        <v>122</v>
      </c>
      <c r="H6" s="80">
        <f>H4*H5</f>
        <v>75</v>
      </c>
      <c r="L6">
        <f t="shared" si="0"/>
        <v>14</v>
      </c>
      <c r="M6" t="str">
        <f t="shared" si="1"/>
        <v>Pages per week</v>
      </c>
      <c r="N6">
        <f t="shared" si="2"/>
        <v>14</v>
      </c>
      <c r="O6" t="str">
        <f t="shared" si="3"/>
        <v>Pages per week</v>
      </c>
    </row>
    <row r="7" spans="1:15">
      <c r="A7" s="80" t="s">
        <v>121</v>
      </c>
      <c r="B7" s="80">
        <v>50</v>
      </c>
      <c r="G7" s="80" t="s">
        <v>121</v>
      </c>
      <c r="H7" s="80">
        <v>50</v>
      </c>
      <c r="L7">
        <f t="shared" si="0"/>
        <v>9</v>
      </c>
      <c r="M7" t="str">
        <f t="shared" si="1"/>
        <v>Week/year</v>
      </c>
      <c r="N7">
        <f t="shared" si="2"/>
        <v>9</v>
      </c>
      <c r="O7" t="str">
        <f t="shared" si="3"/>
        <v>Week/year</v>
      </c>
    </row>
    <row r="8" spans="1:15">
      <c r="A8" s="80" t="s">
        <v>120</v>
      </c>
      <c r="B8" s="80">
        <f>B6*B7</f>
        <v>125000</v>
      </c>
      <c r="G8" s="80" t="s">
        <v>120</v>
      </c>
      <c r="H8" s="80">
        <f>H6*H7</f>
        <v>3750</v>
      </c>
      <c r="L8">
        <f t="shared" si="0"/>
        <v>20</v>
      </c>
      <c r="M8" t="str">
        <f t="shared" si="1"/>
        <v>Total pages per year</v>
      </c>
      <c r="N8">
        <f t="shared" si="2"/>
        <v>20</v>
      </c>
      <c r="O8" t="str">
        <f t="shared" si="3"/>
        <v>Total pages per year</v>
      </c>
    </row>
    <row r="9" spans="1:15">
      <c r="A9" s="80" t="s">
        <v>119</v>
      </c>
      <c r="B9" s="80">
        <v>2</v>
      </c>
      <c r="G9" s="80" t="s">
        <v>119</v>
      </c>
      <c r="H9" s="80">
        <v>2</v>
      </c>
      <c r="L9">
        <f t="shared" si="0"/>
        <v>14</v>
      </c>
      <c r="M9" t="str">
        <f t="shared" si="1"/>
        <v>Years required</v>
      </c>
      <c r="N9">
        <f t="shared" si="2"/>
        <v>14</v>
      </c>
      <c r="O9" t="str">
        <f t="shared" si="3"/>
        <v>Years required</v>
      </c>
    </row>
    <row r="10" spans="1:15">
      <c r="A10" s="80" t="s">
        <v>118</v>
      </c>
      <c r="B10" s="80">
        <f>B8*B9</f>
        <v>250000</v>
      </c>
      <c r="G10" s="80" t="s">
        <v>118</v>
      </c>
      <c r="H10" s="80">
        <f>H8*H9</f>
        <v>7500</v>
      </c>
      <c r="L10">
        <f t="shared" si="0"/>
        <v>23</v>
      </c>
      <c r="M10" t="str">
        <f t="shared" si="1"/>
        <v>Total pages for 2 years</v>
      </c>
      <c r="N10">
        <f t="shared" si="2"/>
        <v>23</v>
      </c>
      <c r="O10" t="str">
        <f t="shared" si="3"/>
        <v>Total pages for 2 years</v>
      </c>
    </row>
    <row r="11" spans="1:15">
      <c r="L11">
        <f t="shared" si="0"/>
        <v>0</v>
      </c>
      <c r="M11" t="str">
        <f t="shared" si="1"/>
        <v/>
      </c>
      <c r="N11">
        <f t="shared" si="2"/>
        <v>0</v>
      </c>
      <c r="O11" t="str">
        <f t="shared" si="3"/>
        <v/>
      </c>
    </row>
    <row r="12" spans="1:15">
      <c r="A12" s="78" t="s">
        <v>117</v>
      </c>
      <c r="B12" s="78">
        <v>200</v>
      </c>
      <c r="C12" s="78">
        <v>11000</v>
      </c>
      <c r="D12" s="78">
        <v>1000</v>
      </c>
      <c r="G12" s="78" t="s">
        <v>117</v>
      </c>
      <c r="H12" s="78">
        <v>200</v>
      </c>
      <c r="I12" s="78">
        <v>11000</v>
      </c>
      <c r="J12" s="78">
        <v>1000</v>
      </c>
      <c r="L12">
        <f t="shared" si="0"/>
        <v>16</v>
      </c>
      <c r="M12" t="str">
        <f t="shared" si="1"/>
        <v>Pages per supply</v>
      </c>
      <c r="N12">
        <f t="shared" si="2"/>
        <v>16</v>
      </c>
      <c r="O12" t="str">
        <f t="shared" si="3"/>
        <v>Pages per supply</v>
      </c>
    </row>
    <row r="13" spans="1:15">
      <c r="A13" s="78" t="s">
        <v>116</v>
      </c>
      <c r="B13" s="78">
        <f>$B$8/B12</f>
        <v>625</v>
      </c>
      <c r="C13" s="78">
        <f>$B$8/C12</f>
        <v>11.363636363636363</v>
      </c>
      <c r="D13" s="78">
        <f>$B$8/D12</f>
        <v>125</v>
      </c>
      <c r="G13" s="78" t="s">
        <v>116</v>
      </c>
      <c r="H13" s="78">
        <f>$B$8/H12</f>
        <v>625</v>
      </c>
      <c r="I13" s="78">
        <f>$B$8/I12</f>
        <v>11.363636363636363</v>
      </c>
      <c r="J13" s="78">
        <f>$B$8/J12</f>
        <v>125</v>
      </c>
      <c r="L13">
        <f t="shared" si="0"/>
        <v>24</v>
      </c>
      <c r="M13" t="str">
        <f t="shared" si="1"/>
        <v>Frequency of supply/year</v>
      </c>
      <c r="N13">
        <f t="shared" si="2"/>
        <v>24</v>
      </c>
      <c r="O13" t="str">
        <f t="shared" si="3"/>
        <v>Frequency of supply/year</v>
      </c>
    </row>
    <row r="14" spans="1:15">
      <c r="A14" s="78" t="s">
        <v>115</v>
      </c>
      <c r="B14" s="79">
        <v>40</v>
      </c>
      <c r="C14" s="79">
        <v>370</v>
      </c>
      <c r="D14" s="79">
        <v>90</v>
      </c>
      <c r="G14" s="78" t="s">
        <v>115</v>
      </c>
      <c r="H14" s="79">
        <v>40</v>
      </c>
      <c r="I14" s="79">
        <v>370</v>
      </c>
      <c r="J14" s="79">
        <v>90</v>
      </c>
    </row>
    <row r="15" spans="1:15">
      <c r="A15" s="78" t="s">
        <v>114</v>
      </c>
      <c r="B15" s="79">
        <f>B14*B13</f>
        <v>25000</v>
      </c>
      <c r="C15" s="79">
        <f>C14*C13</f>
        <v>4204.545454545454</v>
      </c>
      <c r="D15" s="79">
        <f>D14*D13</f>
        <v>11250</v>
      </c>
      <c r="G15" s="78" t="s">
        <v>114</v>
      </c>
      <c r="H15" s="79">
        <f>H14*H13</f>
        <v>25000</v>
      </c>
      <c r="I15" s="79">
        <f>I14*I13</f>
        <v>4204.545454545454</v>
      </c>
      <c r="J15" s="79">
        <f>J14*J13</f>
        <v>11250</v>
      </c>
    </row>
    <row r="16" spans="1:15">
      <c r="A16" s="78" t="s">
        <v>113</v>
      </c>
      <c r="B16" s="79">
        <f>B15*2</f>
        <v>50000</v>
      </c>
      <c r="C16" s="79">
        <f>C15*2</f>
        <v>8409.0909090909081</v>
      </c>
      <c r="D16" s="79">
        <f>D15*2</f>
        <v>22500</v>
      </c>
      <c r="G16" s="78" t="s">
        <v>113</v>
      </c>
      <c r="H16" s="79">
        <f>H15*2</f>
        <v>50000</v>
      </c>
      <c r="I16" s="79">
        <f>I15*2</f>
        <v>8409.0909090909081</v>
      </c>
      <c r="J16" s="79">
        <f>J15*2</f>
        <v>22500</v>
      </c>
    </row>
    <row r="18" spans="1:10">
      <c r="A18" s="78" t="s">
        <v>112</v>
      </c>
      <c r="B18" s="77">
        <f>B16+B2</f>
        <v>50029</v>
      </c>
      <c r="C18" s="77">
        <f>C16+C2</f>
        <v>8958.0909090909081</v>
      </c>
      <c r="D18" s="77">
        <f>D16+D2</f>
        <v>22649</v>
      </c>
      <c r="G18" s="78" t="s">
        <v>112</v>
      </c>
      <c r="H18" s="77">
        <f>H16+H2</f>
        <v>50029</v>
      </c>
      <c r="I18" s="77">
        <f>I16+I2</f>
        <v>8958.0909090909081</v>
      </c>
      <c r="J18" s="77">
        <f>J16+J2</f>
        <v>22649</v>
      </c>
    </row>
    <row r="19" spans="1:10">
      <c r="A19" s="76" t="s">
        <v>111</v>
      </c>
      <c r="B19" s="75">
        <f>B18/$B$10</f>
        <v>0.20011599999999999</v>
      </c>
      <c r="C19" s="75">
        <f>C18/$B$10</f>
        <v>3.5832363636363634E-2</v>
      </c>
      <c r="D19" s="75">
        <f>D18/$B$10</f>
        <v>9.0595999999999996E-2</v>
      </c>
      <c r="G19" s="76" t="s">
        <v>111</v>
      </c>
      <c r="H19" s="75">
        <f>H18/$B$10</f>
        <v>0.20011599999999999</v>
      </c>
      <c r="I19" s="75">
        <f>I18/$B$10</f>
        <v>3.5832363636363634E-2</v>
      </c>
      <c r="J19" s="75">
        <f>J18/$B$10</f>
        <v>9.0595999999999996E-2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1" sqref="B21"/>
    </sheetView>
  </sheetViews>
  <sheetFormatPr defaultRowHeight="15"/>
  <cols>
    <col min="1" max="1" width="29.85546875" bestFit="1" customWidth="1"/>
    <col min="2" max="2" width="16.140625" bestFit="1" customWidth="1"/>
    <col min="3" max="3" width="19.28515625" bestFit="1" customWidth="1"/>
    <col min="4" max="4" width="12.5703125" bestFit="1" customWidth="1"/>
    <col min="7" max="7" width="29.85546875" bestFit="1" customWidth="1"/>
    <col min="8" max="8" width="16.140625" bestFit="1" customWidth="1"/>
    <col min="9" max="9" width="19.28515625" bestFit="1" customWidth="1"/>
    <col min="10" max="10" width="12.5703125" bestFit="1" customWidth="1"/>
  </cols>
  <sheetData>
    <row r="1" spans="1:10">
      <c r="A1" s="95" t="s">
        <v>130</v>
      </c>
      <c r="B1" s="95" t="s">
        <v>156</v>
      </c>
      <c r="C1" s="95" t="s">
        <v>155</v>
      </c>
      <c r="D1" s="95" t="s">
        <v>154</v>
      </c>
      <c r="G1" s="95" t="s">
        <v>129</v>
      </c>
      <c r="H1" s="95" t="s">
        <v>156</v>
      </c>
      <c r="I1" s="95" t="s">
        <v>155</v>
      </c>
      <c r="J1" s="95" t="s">
        <v>154</v>
      </c>
    </row>
    <row r="3" spans="1:10">
      <c r="A3" s="94" t="s">
        <v>153</v>
      </c>
      <c r="B3" s="93"/>
      <c r="C3" s="93"/>
      <c r="D3" s="93"/>
      <c r="G3" s="94" t="s">
        <v>153</v>
      </c>
      <c r="H3" s="93"/>
      <c r="I3" s="93"/>
      <c r="J3" s="93"/>
    </row>
    <row r="4" spans="1:10">
      <c r="A4" s="93" t="s">
        <v>152</v>
      </c>
      <c r="B4" s="92">
        <v>280</v>
      </c>
      <c r="C4" s="92">
        <v>100</v>
      </c>
      <c r="D4" s="92">
        <v>350</v>
      </c>
      <c r="G4" s="93" t="s">
        <v>152</v>
      </c>
      <c r="H4" s="92">
        <v>280</v>
      </c>
      <c r="I4" s="92">
        <v>100</v>
      </c>
      <c r="J4" s="92">
        <v>350</v>
      </c>
    </row>
    <row r="5" spans="1:10">
      <c r="A5" s="93" t="s">
        <v>151</v>
      </c>
      <c r="B5" s="92">
        <v>18</v>
      </c>
      <c r="C5" s="92">
        <v>0</v>
      </c>
      <c r="D5" s="92">
        <v>0</v>
      </c>
      <c r="G5" s="93" t="s">
        <v>151</v>
      </c>
      <c r="H5" s="92">
        <v>18</v>
      </c>
      <c r="I5" s="92">
        <v>0</v>
      </c>
      <c r="J5" s="92">
        <v>0</v>
      </c>
    </row>
    <row r="6" spans="1:10">
      <c r="A6" s="93" t="s">
        <v>150</v>
      </c>
      <c r="B6" s="92">
        <v>25</v>
      </c>
      <c r="C6" s="92">
        <v>0</v>
      </c>
      <c r="D6" s="92">
        <v>0</v>
      </c>
      <c r="G6" s="93" t="s">
        <v>150</v>
      </c>
      <c r="H6" s="92">
        <v>25</v>
      </c>
      <c r="I6" s="92">
        <v>0</v>
      </c>
      <c r="J6" s="92">
        <v>0</v>
      </c>
    </row>
    <row r="7" spans="1:10">
      <c r="A7" s="93" t="s">
        <v>149</v>
      </c>
      <c r="B7" s="92">
        <v>15</v>
      </c>
      <c r="C7" s="92">
        <v>0</v>
      </c>
      <c r="D7" s="92">
        <v>0</v>
      </c>
      <c r="G7" s="93" t="s">
        <v>149</v>
      </c>
      <c r="H7" s="92">
        <v>15</v>
      </c>
      <c r="I7" s="92">
        <v>0</v>
      </c>
      <c r="J7" s="92">
        <v>0</v>
      </c>
    </row>
    <row r="8" spans="1:10">
      <c r="A8" s="93" t="s">
        <v>148</v>
      </c>
      <c r="B8" s="92">
        <v>9</v>
      </c>
      <c r="C8" s="92">
        <v>0</v>
      </c>
      <c r="D8" s="92">
        <v>0</v>
      </c>
      <c r="G8" s="93" t="s">
        <v>148</v>
      </c>
      <c r="H8" s="92">
        <v>9</v>
      </c>
      <c r="I8" s="92">
        <v>0</v>
      </c>
      <c r="J8" s="92">
        <v>0</v>
      </c>
    </row>
    <row r="9" spans="1:10">
      <c r="A9" s="93" t="s">
        <v>147</v>
      </c>
      <c r="B9" s="92">
        <v>0</v>
      </c>
      <c r="C9" s="92">
        <v>99</v>
      </c>
      <c r="D9" s="92">
        <v>0</v>
      </c>
      <c r="G9" s="93" t="s">
        <v>147</v>
      </c>
      <c r="H9" s="92">
        <v>0</v>
      </c>
      <c r="I9" s="92">
        <v>99</v>
      </c>
      <c r="J9" s="92">
        <v>0</v>
      </c>
    </row>
    <row r="10" spans="1:10">
      <c r="A10" s="93" t="s">
        <v>146</v>
      </c>
      <c r="B10" s="92">
        <v>0</v>
      </c>
      <c r="C10" s="92">
        <v>95</v>
      </c>
      <c r="D10" s="92">
        <v>0</v>
      </c>
      <c r="G10" s="93" t="s">
        <v>146</v>
      </c>
      <c r="H10" s="92">
        <v>0</v>
      </c>
      <c r="I10" s="92">
        <v>95</v>
      </c>
      <c r="J10" s="92">
        <v>0</v>
      </c>
    </row>
    <row r="11" spans="1:10">
      <c r="A11" s="93" t="s">
        <v>145</v>
      </c>
      <c r="B11" s="92">
        <v>0</v>
      </c>
      <c r="C11" s="92">
        <v>85</v>
      </c>
      <c r="D11" s="92">
        <v>0</v>
      </c>
      <c r="G11" s="93" t="s">
        <v>145</v>
      </c>
      <c r="H11" s="92">
        <v>0</v>
      </c>
      <c r="I11" s="92">
        <v>85</v>
      </c>
      <c r="J11" s="92">
        <v>0</v>
      </c>
    </row>
    <row r="12" spans="1:10">
      <c r="A12" s="93" t="s">
        <v>144</v>
      </c>
      <c r="B12" s="92">
        <v>0</v>
      </c>
      <c r="C12" s="92">
        <v>85</v>
      </c>
      <c r="D12" s="92">
        <v>0</v>
      </c>
      <c r="G12" s="93" t="s">
        <v>144</v>
      </c>
      <c r="H12" s="92">
        <v>0</v>
      </c>
      <c r="I12" s="92">
        <v>85</v>
      </c>
      <c r="J12" s="92">
        <v>0</v>
      </c>
    </row>
    <row r="13" spans="1:10">
      <c r="A13" s="93" t="s">
        <v>143</v>
      </c>
      <c r="B13" s="92">
        <v>0</v>
      </c>
      <c r="C13" s="92">
        <v>0</v>
      </c>
      <c r="D13" s="92">
        <v>555</v>
      </c>
      <c r="G13" s="93" t="s">
        <v>143</v>
      </c>
      <c r="H13" s="92">
        <v>0</v>
      </c>
      <c r="I13" s="92">
        <v>0</v>
      </c>
      <c r="J13" s="92">
        <v>555</v>
      </c>
    </row>
    <row r="15" spans="1:10">
      <c r="A15" s="90" t="s">
        <v>142</v>
      </c>
      <c r="B15" s="89">
        <f>SUM(B4:B13)</f>
        <v>347</v>
      </c>
      <c r="C15" s="89">
        <f>SUM(C4:C13)</f>
        <v>464</v>
      </c>
      <c r="D15" s="89">
        <f>SUM(D4:D13)</f>
        <v>905</v>
      </c>
      <c r="G15" s="90" t="s">
        <v>142</v>
      </c>
      <c r="H15" s="89">
        <f>SUM(H4:H13)</f>
        <v>347</v>
      </c>
      <c r="I15" s="89">
        <f>SUM(I4:I13)</f>
        <v>464</v>
      </c>
      <c r="J15" s="89">
        <f>SUM(J4:J13)</f>
        <v>905</v>
      </c>
    </row>
    <row r="16" spans="1:10">
      <c r="A16" s="90" t="s">
        <v>141</v>
      </c>
      <c r="B16" s="91">
        <v>2</v>
      </c>
      <c r="C16" s="91">
        <v>2</v>
      </c>
      <c r="D16" s="91">
        <v>2</v>
      </c>
      <c r="G16" s="90" t="s">
        <v>141</v>
      </c>
      <c r="H16" s="91">
        <v>4</v>
      </c>
      <c r="I16" s="91">
        <v>4</v>
      </c>
      <c r="J16" s="91">
        <v>4</v>
      </c>
    </row>
    <row r="17" spans="1:10">
      <c r="A17" s="90" t="s">
        <v>140</v>
      </c>
      <c r="B17" s="89">
        <f>B15*B16</f>
        <v>694</v>
      </c>
      <c r="C17" s="89">
        <f>C15*C16</f>
        <v>928</v>
      </c>
      <c r="D17" s="89">
        <f>D15*D16</f>
        <v>1810</v>
      </c>
      <c r="G17" s="90" t="s">
        <v>140</v>
      </c>
      <c r="H17" s="89">
        <f>H15*H16</f>
        <v>1388</v>
      </c>
      <c r="I17" s="89">
        <f>I15*I16</f>
        <v>1856</v>
      </c>
      <c r="J17" s="89">
        <f>J15*J16</f>
        <v>3620</v>
      </c>
    </row>
    <row r="19" spans="1:10">
      <c r="A19" s="87" t="s">
        <v>139</v>
      </c>
      <c r="B19" s="80"/>
      <c r="C19" s="80"/>
      <c r="D19" s="80"/>
      <c r="G19" s="87" t="s">
        <v>139</v>
      </c>
      <c r="H19" s="80"/>
      <c r="I19" s="80"/>
      <c r="J19" s="80"/>
    </row>
    <row r="20" spans="1:10">
      <c r="A20" s="80" t="s">
        <v>138</v>
      </c>
      <c r="B20" s="86">
        <v>120</v>
      </c>
      <c r="C20" s="86">
        <v>105</v>
      </c>
      <c r="D20" s="86">
        <v>0</v>
      </c>
      <c r="G20" s="80" t="s">
        <v>138</v>
      </c>
      <c r="H20" s="86">
        <v>120</v>
      </c>
      <c r="I20" s="86">
        <v>105</v>
      </c>
      <c r="J20" s="86">
        <v>0</v>
      </c>
    </row>
    <row r="21" spans="1:10">
      <c r="A21" s="80" t="s">
        <v>137</v>
      </c>
      <c r="B21" s="88">
        <v>5</v>
      </c>
      <c r="C21" s="88">
        <v>5</v>
      </c>
      <c r="D21" s="88">
        <v>5</v>
      </c>
      <c r="G21" s="80" t="s">
        <v>137</v>
      </c>
      <c r="H21" s="88">
        <v>5</v>
      </c>
      <c r="I21" s="88">
        <v>5</v>
      </c>
      <c r="J21" s="88">
        <v>5</v>
      </c>
    </row>
    <row r="22" spans="1:10">
      <c r="A22" s="80" t="s">
        <v>136</v>
      </c>
      <c r="B22" s="86">
        <f>B20*B21</f>
        <v>600</v>
      </c>
      <c r="C22" s="86">
        <f>C20*C21</f>
        <v>525</v>
      </c>
      <c r="D22" s="86">
        <f>D20*D21</f>
        <v>0</v>
      </c>
      <c r="G22" s="80" t="s">
        <v>136</v>
      </c>
      <c r="H22" s="86">
        <f>H20*H21</f>
        <v>600</v>
      </c>
      <c r="I22" s="86">
        <f>I20*I21</f>
        <v>525</v>
      </c>
      <c r="J22" s="86">
        <f>J20*J21</f>
        <v>0</v>
      </c>
    </row>
    <row r="23" spans="1:10" s="85" customFormat="1"/>
    <row r="24" spans="1:10">
      <c r="A24" s="87" t="s">
        <v>135</v>
      </c>
      <c r="B24" s="80"/>
      <c r="C24" s="80"/>
      <c r="D24" s="80"/>
      <c r="G24" s="87" t="s">
        <v>135</v>
      </c>
      <c r="H24" s="80"/>
      <c r="I24" s="80"/>
      <c r="J24" s="80"/>
    </row>
    <row r="25" spans="1:10">
      <c r="A25" s="80" t="s">
        <v>134</v>
      </c>
      <c r="B25" s="86">
        <v>40</v>
      </c>
      <c r="C25" s="86">
        <v>0</v>
      </c>
      <c r="D25" s="86">
        <v>0</v>
      </c>
      <c r="G25" s="80" t="s">
        <v>134</v>
      </c>
      <c r="H25" s="86">
        <v>40</v>
      </c>
      <c r="I25" s="86">
        <v>0</v>
      </c>
      <c r="J25" s="86">
        <v>0</v>
      </c>
    </row>
    <row r="26" spans="1:10">
      <c r="A26" s="80" t="s">
        <v>133</v>
      </c>
      <c r="B26" s="86">
        <f>50*B16</f>
        <v>100</v>
      </c>
      <c r="C26" s="86">
        <f>50*C16</f>
        <v>100</v>
      </c>
      <c r="D26" s="86">
        <v>0</v>
      </c>
      <c r="G26" s="80" t="s">
        <v>133</v>
      </c>
      <c r="H26" s="86">
        <f>50*H16</f>
        <v>200</v>
      </c>
      <c r="I26" s="86">
        <f>50*I16</f>
        <v>200</v>
      </c>
      <c r="J26" s="86">
        <v>0</v>
      </c>
    </row>
    <row r="27" spans="1:10">
      <c r="A27" s="80" t="s">
        <v>132</v>
      </c>
      <c r="B27" s="86">
        <f>SUM(B25:B26)</f>
        <v>140</v>
      </c>
      <c r="C27" s="86">
        <f>SUM(C25:C26)</f>
        <v>100</v>
      </c>
      <c r="D27" s="86">
        <f>SUM(D25:D26)</f>
        <v>0</v>
      </c>
      <c r="G27" s="80" t="s">
        <v>132</v>
      </c>
      <c r="H27" s="86">
        <f>SUM(H25:H26)</f>
        <v>240</v>
      </c>
      <c r="I27" s="86">
        <f>SUM(I25:I26)</f>
        <v>200</v>
      </c>
      <c r="J27" s="86">
        <f>SUM(J25:J26)</f>
        <v>0</v>
      </c>
    </row>
    <row r="28" spans="1:10" s="85" customFormat="1"/>
    <row r="29" spans="1:10">
      <c r="A29" s="84" t="s">
        <v>131</v>
      </c>
      <c r="B29" s="83">
        <f>SUM(B27,B22,B17)</f>
        <v>1434</v>
      </c>
      <c r="C29" s="83">
        <f>SUM(C27,C22,C17)</f>
        <v>1553</v>
      </c>
      <c r="D29" s="83">
        <f>SUM(D27,D22,D17)</f>
        <v>1810</v>
      </c>
      <c r="G29" s="84" t="s">
        <v>131</v>
      </c>
      <c r="H29" s="83">
        <f>SUM(H27,H22,H17)</f>
        <v>2228</v>
      </c>
      <c r="I29" s="83">
        <f>SUM(I27,I22,I17)</f>
        <v>2581</v>
      </c>
      <c r="J29" s="83">
        <f>SUM(J27,J22,J17)</f>
        <v>3620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50" zoomScaleNormal="50" workbookViewId="0">
      <selection activeCell="F23" sqref="F23"/>
    </sheetView>
  </sheetViews>
  <sheetFormatPr defaultColWidth="12.5703125" defaultRowHeight="15.75"/>
  <cols>
    <col min="1" max="3" width="12.5703125" style="96"/>
    <col min="4" max="4" width="21" style="96" customWidth="1"/>
    <col min="5" max="5" width="13" style="97" bestFit="1" customWidth="1"/>
    <col min="6" max="6" width="16.28515625" style="97" bestFit="1" customWidth="1"/>
    <col min="7" max="7" width="13" style="97" bestFit="1" customWidth="1"/>
    <col min="8" max="8" width="15.85546875" style="97" customWidth="1"/>
    <col min="9" max="9" width="16.85546875" style="96" bestFit="1" customWidth="1"/>
    <col min="10" max="12" width="12.5703125" style="96"/>
    <col min="13" max="13" width="22.42578125" style="96" bestFit="1" customWidth="1"/>
    <col min="14" max="16384" width="12.5703125" style="96"/>
  </cols>
  <sheetData>
    <row r="1" spans="1:13" ht="94.5">
      <c r="A1" s="171" t="s">
        <v>213</v>
      </c>
      <c r="B1" s="171" t="s">
        <v>212</v>
      </c>
      <c r="C1" s="171" t="s">
        <v>211</v>
      </c>
      <c r="D1" s="171" t="s">
        <v>210</v>
      </c>
      <c r="E1" s="172" t="s">
        <v>209</v>
      </c>
      <c r="F1" s="172" t="s">
        <v>208</v>
      </c>
      <c r="G1" s="172" t="s">
        <v>207</v>
      </c>
      <c r="H1" s="172" t="s">
        <v>206</v>
      </c>
      <c r="I1" s="171" t="s">
        <v>205</v>
      </c>
      <c r="J1" s="171" t="s">
        <v>204</v>
      </c>
      <c r="K1" s="171" t="s">
        <v>203</v>
      </c>
    </row>
    <row r="2" spans="1:13">
      <c r="A2" s="166" t="s">
        <v>195</v>
      </c>
      <c r="B2" s="167">
        <v>1001</v>
      </c>
      <c r="C2" s="168">
        <v>9822</v>
      </c>
      <c r="D2" s="168" t="s">
        <v>172</v>
      </c>
      <c r="E2" s="169">
        <v>58.3</v>
      </c>
      <c r="F2" s="169">
        <v>98.4</v>
      </c>
      <c r="G2" s="169">
        <f t="shared" ref="G2:G33" si="0">F2-E2</f>
        <v>40.100000000000009</v>
      </c>
      <c r="H2" s="169">
        <f t="shared" ref="H2:H33" si="1">IF(F2&gt;50,G2*0.2,G2*0.1)</f>
        <v>8.0200000000000014</v>
      </c>
      <c r="I2" s="168" t="s">
        <v>167</v>
      </c>
      <c r="J2" s="168" t="s">
        <v>166</v>
      </c>
      <c r="K2" s="168" t="s">
        <v>173</v>
      </c>
      <c r="M2" s="173" t="s">
        <v>444</v>
      </c>
    </row>
    <row r="3" spans="1:13">
      <c r="A3" s="166" t="s">
        <v>195</v>
      </c>
      <c r="B3" s="167">
        <v>1002</v>
      </c>
      <c r="C3" s="168">
        <v>2877</v>
      </c>
      <c r="D3" s="168" t="s">
        <v>187</v>
      </c>
      <c r="E3" s="169">
        <v>11.4</v>
      </c>
      <c r="F3" s="169">
        <v>16.3</v>
      </c>
      <c r="G3" s="169">
        <f t="shared" si="0"/>
        <v>4.9000000000000004</v>
      </c>
      <c r="H3" s="169">
        <f t="shared" si="1"/>
        <v>0.49000000000000005</v>
      </c>
      <c r="I3" s="168" t="s">
        <v>162</v>
      </c>
      <c r="J3" s="168" t="s">
        <v>161</v>
      </c>
      <c r="K3" s="168" t="s">
        <v>165</v>
      </c>
      <c r="M3" s="165" t="s">
        <v>202</v>
      </c>
    </row>
    <row r="4" spans="1:13">
      <c r="A4" s="166" t="s">
        <v>195</v>
      </c>
      <c r="B4" s="167">
        <v>1003</v>
      </c>
      <c r="C4" s="168">
        <v>2499</v>
      </c>
      <c r="D4" s="168" t="s">
        <v>186</v>
      </c>
      <c r="E4" s="169">
        <v>6.2</v>
      </c>
      <c r="F4" s="169">
        <v>9.1999999999999993</v>
      </c>
      <c r="G4" s="169">
        <f t="shared" si="0"/>
        <v>2.9999999999999991</v>
      </c>
      <c r="H4" s="169">
        <f t="shared" si="1"/>
        <v>0.29999999999999993</v>
      </c>
      <c r="I4" s="168" t="s">
        <v>170</v>
      </c>
      <c r="J4" s="168" t="s">
        <v>169</v>
      </c>
      <c r="K4" s="168" t="s">
        <v>176</v>
      </c>
      <c r="M4" s="165" t="s">
        <v>201</v>
      </c>
    </row>
    <row r="5" spans="1:13">
      <c r="A5" s="166" t="s">
        <v>195</v>
      </c>
      <c r="B5" s="167">
        <v>1004</v>
      </c>
      <c r="C5" s="168">
        <v>8722</v>
      </c>
      <c r="D5" s="168" t="s">
        <v>171</v>
      </c>
      <c r="E5" s="169">
        <v>344</v>
      </c>
      <c r="F5" s="169">
        <v>502</v>
      </c>
      <c r="G5" s="169">
        <f t="shared" si="0"/>
        <v>158</v>
      </c>
      <c r="H5" s="169">
        <f t="shared" si="1"/>
        <v>31.6</v>
      </c>
      <c r="I5" s="168" t="s">
        <v>167</v>
      </c>
      <c r="J5" s="168" t="s">
        <v>166</v>
      </c>
      <c r="K5" s="168" t="s">
        <v>176</v>
      </c>
      <c r="M5" s="165" t="s">
        <v>200</v>
      </c>
    </row>
    <row r="6" spans="1:13">
      <c r="A6" s="166" t="s">
        <v>195</v>
      </c>
      <c r="B6" s="167">
        <v>1005</v>
      </c>
      <c r="C6" s="168">
        <v>1109</v>
      </c>
      <c r="D6" s="168" t="s">
        <v>185</v>
      </c>
      <c r="E6" s="169">
        <v>3</v>
      </c>
      <c r="F6" s="169">
        <v>8</v>
      </c>
      <c r="G6" s="169">
        <f t="shared" si="0"/>
        <v>5</v>
      </c>
      <c r="H6" s="169">
        <f t="shared" si="1"/>
        <v>0.5</v>
      </c>
      <c r="I6" s="168" t="s">
        <v>170</v>
      </c>
      <c r="J6" s="168" t="s">
        <v>169</v>
      </c>
      <c r="K6" s="168" t="s">
        <v>176</v>
      </c>
      <c r="M6" s="165" t="s">
        <v>199</v>
      </c>
    </row>
    <row r="7" spans="1:13">
      <c r="A7" s="166" t="s">
        <v>195</v>
      </c>
      <c r="B7" s="167">
        <v>1006</v>
      </c>
      <c r="C7" s="168">
        <v>9822</v>
      </c>
      <c r="D7" s="168" t="s">
        <v>172</v>
      </c>
      <c r="E7" s="169">
        <v>58.3</v>
      </c>
      <c r="F7" s="169">
        <v>98.4</v>
      </c>
      <c r="G7" s="169">
        <f t="shared" si="0"/>
        <v>40.100000000000009</v>
      </c>
      <c r="H7" s="169">
        <f t="shared" si="1"/>
        <v>8.0200000000000014</v>
      </c>
      <c r="I7" s="168" t="s">
        <v>170</v>
      </c>
      <c r="J7" s="168" t="s">
        <v>169</v>
      </c>
      <c r="K7" s="168" t="s">
        <v>176</v>
      </c>
      <c r="M7" s="165" t="s">
        <v>198</v>
      </c>
    </row>
    <row r="8" spans="1:13">
      <c r="A8" s="166" t="s">
        <v>195</v>
      </c>
      <c r="B8" s="167">
        <v>1007</v>
      </c>
      <c r="C8" s="168">
        <v>1109</v>
      </c>
      <c r="D8" s="168" t="s">
        <v>185</v>
      </c>
      <c r="E8" s="169">
        <v>3</v>
      </c>
      <c r="F8" s="169">
        <v>8</v>
      </c>
      <c r="G8" s="169">
        <f t="shared" si="0"/>
        <v>5</v>
      </c>
      <c r="H8" s="169">
        <f t="shared" si="1"/>
        <v>0.5</v>
      </c>
      <c r="I8" s="168" t="s">
        <v>179</v>
      </c>
      <c r="J8" s="168" t="s">
        <v>178</v>
      </c>
      <c r="K8" s="168" t="s">
        <v>173</v>
      </c>
      <c r="M8" s="165" t="s">
        <v>197</v>
      </c>
    </row>
    <row r="9" spans="1:13">
      <c r="A9" s="166" t="s">
        <v>195</v>
      </c>
      <c r="B9" s="167">
        <v>1008</v>
      </c>
      <c r="C9" s="168">
        <v>2877</v>
      </c>
      <c r="D9" s="168" t="s">
        <v>187</v>
      </c>
      <c r="E9" s="169">
        <v>11.4</v>
      </c>
      <c r="F9" s="169">
        <v>16.3</v>
      </c>
      <c r="G9" s="169">
        <f t="shared" si="0"/>
        <v>4.9000000000000004</v>
      </c>
      <c r="H9" s="169">
        <f t="shared" si="1"/>
        <v>0.49000000000000005</v>
      </c>
      <c r="I9" s="168" t="s">
        <v>170</v>
      </c>
      <c r="J9" s="168" t="s">
        <v>169</v>
      </c>
      <c r="K9" s="168" t="s">
        <v>173</v>
      </c>
      <c r="M9" s="165" t="s">
        <v>196</v>
      </c>
    </row>
    <row r="10" spans="1:13">
      <c r="A10" s="166" t="s">
        <v>195</v>
      </c>
      <c r="B10" s="167">
        <v>1009</v>
      </c>
      <c r="C10" s="168">
        <v>1109</v>
      </c>
      <c r="D10" s="168" t="s">
        <v>185</v>
      </c>
      <c r="E10" s="169">
        <v>3</v>
      </c>
      <c r="F10" s="169">
        <v>8</v>
      </c>
      <c r="G10" s="169">
        <f t="shared" si="0"/>
        <v>5</v>
      </c>
      <c r="H10" s="169">
        <f t="shared" si="1"/>
        <v>0.5</v>
      </c>
      <c r="I10" s="168" t="s">
        <v>170</v>
      </c>
      <c r="J10" s="168" t="s">
        <v>169</v>
      </c>
      <c r="K10" s="168" t="s">
        <v>176</v>
      </c>
    </row>
    <row r="11" spans="1:13">
      <c r="A11" s="166" t="s">
        <v>195</v>
      </c>
      <c r="B11" s="167">
        <v>1010</v>
      </c>
      <c r="C11" s="168">
        <v>2877</v>
      </c>
      <c r="D11" s="168" t="s">
        <v>187</v>
      </c>
      <c r="E11" s="169">
        <v>11.4</v>
      </c>
      <c r="F11" s="169">
        <v>16.3</v>
      </c>
      <c r="G11" s="169">
        <f t="shared" si="0"/>
        <v>4.9000000000000004</v>
      </c>
      <c r="H11" s="169">
        <f t="shared" si="1"/>
        <v>0.49000000000000005</v>
      </c>
      <c r="I11" s="168" t="s">
        <v>162</v>
      </c>
      <c r="J11" s="168" t="s">
        <v>161</v>
      </c>
      <c r="K11" s="168" t="s">
        <v>192</v>
      </c>
    </row>
    <row r="12" spans="1:13">
      <c r="A12" s="166" t="s">
        <v>195</v>
      </c>
      <c r="B12" s="167">
        <v>1011</v>
      </c>
      <c r="C12" s="168">
        <v>2877</v>
      </c>
      <c r="D12" s="168" t="s">
        <v>187</v>
      </c>
      <c r="E12" s="169">
        <v>11.4</v>
      </c>
      <c r="F12" s="169">
        <v>16.3</v>
      </c>
      <c r="G12" s="169">
        <f t="shared" si="0"/>
        <v>4.9000000000000004</v>
      </c>
      <c r="H12" s="169">
        <f t="shared" si="1"/>
        <v>0.49000000000000005</v>
      </c>
      <c r="I12" s="168" t="s">
        <v>162</v>
      </c>
      <c r="J12" s="168" t="s">
        <v>161</v>
      </c>
      <c r="K12" s="168" t="s">
        <v>176</v>
      </c>
    </row>
    <row r="13" spans="1:13">
      <c r="A13" s="166" t="s">
        <v>195</v>
      </c>
      <c r="B13" s="167">
        <v>1012</v>
      </c>
      <c r="C13" s="168">
        <v>4421</v>
      </c>
      <c r="D13" s="168" t="s">
        <v>163</v>
      </c>
      <c r="E13" s="169">
        <v>45</v>
      </c>
      <c r="F13" s="169">
        <v>87</v>
      </c>
      <c r="G13" s="169">
        <f t="shared" si="0"/>
        <v>42</v>
      </c>
      <c r="H13" s="169">
        <f t="shared" si="1"/>
        <v>8.4</v>
      </c>
      <c r="I13" s="168" t="s">
        <v>170</v>
      </c>
      <c r="J13" s="168" t="s">
        <v>169</v>
      </c>
      <c r="K13" s="168" t="s">
        <v>173</v>
      </c>
    </row>
    <row r="14" spans="1:13">
      <c r="A14" s="166" t="s">
        <v>195</v>
      </c>
      <c r="B14" s="167">
        <v>1013</v>
      </c>
      <c r="C14" s="168">
        <v>9212</v>
      </c>
      <c r="D14" s="168" t="s">
        <v>177</v>
      </c>
      <c r="E14" s="169">
        <v>4</v>
      </c>
      <c r="F14" s="169">
        <v>7</v>
      </c>
      <c r="G14" s="169">
        <f t="shared" si="0"/>
        <v>3</v>
      </c>
      <c r="H14" s="169">
        <f t="shared" si="1"/>
        <v>0.30000000000000004</v>
      </c>
      <c r="I14" s="168" t="s">
        <v>179</v>
      </c>
      <c r="J14" s="168" t="s">
        <v>178</v>
      </c>
      <c r="K14" s="168" t="s">
        <v>192</v>
      </c>
    </row>
    <row r="15" spans="1:13">
      <c r="A15" s="166" t="s">
        <v>195</v>
      </c>
      <c r="B15" s="167">
        <v>1014</v>
      </c>
      <c r="C15" s="168">
        <v>8722</v>
      </c>
      <c r="D15" s="168" t="s">
        <v>171</v>
      </c>
      <c r="E15" s="169">
        <v>344</v>
      </c>
      <c r="F15" s="169">
        <v>502</v>
      </c>
      <c r="G15" s="169">
        <f t="shared" si="0"/>
        <v>158</v>
      </c>
      <c r="H15" s="169">
        <f t="shared" si="1"/>
        <v>31.6</v>
      </c>
      <c r="I15" s="168" t="s">
        <v>167</v>
      </c>
      <c r="J15" s="168" t="s">
        <v>166</v>
      </c>
      <c r="K15" s="168" t="s">
        <v>165</v>
      </c>
    </row>
    <row r="16" spans="1:13">
      <c r="A16" s="166" t="s">
        <v>195</v>
      </c>
      <c r="B16" s="167">
        <v>1015</v>
      </c>
      <c r="C16" s="168">
        <v>2877</v>
      </c>
      <c r="D16" s="168" t="s">
        <v>187</v>
      </c>
      <c r="E16" s="169">
        <v>11.4</v>
      </c>
      <c r="F16" s="169">
        <v>16.3</v>
      </c>
      <c r="G16" s="169">
        <f t="shared" si="0"/>
        <v>4.9000000000000004</v>
      </c>
      <c r="H16" s="169">
        <f t="shared" si="1"/>
        <v>0.49000000000000005</v>
      </c>
      <c r="I16" s="168" t="s">
        <v>179</v>
      </c>
      <c r="J16" s="168" t="s">
        <v>178</v>
      </c>
      <c r="K16" s="168" t="s">
        <v>176</v>
      </c>
    </row>
    <row r="17" spans="1:11">
      <c r="A17" s="166" t="s">
        <v>195</v>
      </c>
      <c r="B17" s="167">
        <v>1016</v>
      </c>
      <c r="C17" s="168">
        <v>2499</v>
      </c>
      <c r="D17" s="168" t="s">
        <v>186</v>
      </c>
      <c r="E17" s="169">
        <v>6.2</v>
      </c>
      <c r="F17" s="169">
        <v>9.1999999999999993</v>
      </c>
      <c r="G17" s="169">
        <f t="shared" si="0"/>
        <v>2.9999999999999991</v>
      </c>
      <c r="H17" s="169">
        <f t="shared" si="1"/>
        <v>0.29999999999999993</v>
      </c>
      <c r="I17" s="168" t="s">
        <v>170</v>
      </c>
      <c r="J17" s="168" t="s">
        <v>169</v>
      </c>
      <c r="K17" s="168" t="s">
        <v>165</v>
      </c>
    </row>
    <row r="18" spans="1:11">
      <c r="A18" s="166" t="s">
        <v>194</v>
      </c>
      <c r="B18" s="167">
        <v>1017</v>
      </c>
      <c r="C18" s="168">
        <v>2242</v>
      </c>
      <c r="D18" s="168" t="s">
        <v>174</v>
      </c>
      <c r="E18" s="169">
        <v>60</v>
      </c>
      <c r="F18" s="169">
        <v>124</v>
      </c>
      <c r="G18" s="169">
        <f t="shared" si="0"/>
        <v>64</v>
      </c>
      <c r="H18" s="169">
        <f t="shared" si="1"/>
        <v>12.8</v>
      </c>
      <c r="I18" s="168" t="s">
        <v>162</v>
      </c>
      <c r="J18" s="168" t="s">
        <v>161</v>
      </c>
      <c r="K18" s="168" t="s">
        <v>173</v>
      </c>
    </row>
    <row r="19" spans="1:11">
      <c r="A19" s="166" t="s">
        <v>194</v>
      </c>
      <c r="B19" s="167">
        <v>1018</v>
      </c>
      <c r="C19" s="168">
        <v>1109</v>
      </c>
      <c r="D19" s="168" t="s">
        <v>185</v>
      </c>
      <c r="E19" s="169">
        <v>3</v>
      </c>
      <c r="F19" s="169">
        <v>8</v>
      </c>
      <c r="G19" s="169">
        <f t="shared" si="0"/>
        <v>5</v>
      </c>
      <c r="H19" s="169">
        <f t="shared" si="1"/>
        <v>0.5</v>
      </c>
      <c r="I19" s="168" t="s">
        <v>170</v>
      </c>
      <c r="J19" s="168" t="s">
        <v>169</v>
      </c>
      <c r="K19" s="168" t="s">
        <v>165</v>
      </c>
    </row>
    <row r="20" spans="1:11">
      <c r="A20" s="166" t="s">
        <v>194</v>
      </c>
      <c r="B20" s="167">
        <v>1019</v>
      </c>
      <c r="C20" s="168">
        <v>2499</v>
      </c>
      <c r="D20" s="168" t="s">
        <v>186</v>
      </c>
      <c r="E20" s="169">
        <v>6.2</v>
      </c>
      <c r="F20" s="169">
        <v>9.1999999999999993</v>
      </c>
      <c r="G20" s="169">
        <f t="shared" si="0"/>
        <v>2.9999999999999991</v>
      </c>
      <c r="H20" s="169">
        <f t="shared" si="1"/>
        <v>0.29999999999999993</v>
      </c>
      <c r="I20" s="168" t="s">
        <v>170</v>
      </c>
      <c r="J20" s="168" t="s">
        <v>169</v>
      </c>
      <c r="K20" s="168" t="s">
        <v>192</v>
      </c>
    </row>
    <row r="21" spans="1:11">
      <c r="A21" s="166" t="s">
        <v>194</v>
      </c>
      <c r="B21" s="167">
        <v>1020</v>
      </c>
      <c r="C21" s="168">
        <v>2499</v>
      </c>
      <c r="D21" s="168" t="s">
        <v>186</v>
      </c>
      <c r="E21" s="169">
        <v>6.2</v>
      </c>
      <c r="F21" s="169">
        <v>9.1999999999999993</v>
      </c>
      <c r="G21" s="169">
        <f t="shared" si="0"/>
        <v>2.9999999999999991</v>
      </c>
      <c r="H21" s="169">
        <f t="shared" si="1"/>
        <v>0.29999999999999993</v>
      </c>
      <c r="I21" s="168" t="s">
        <v>170</v>
      </c>
      <c r="J21" s="168" t="s">
        <v>169</v>
      </c>
      <c r="K21" s="168" t="s">
        <v>160</v>
      </c>
    </row>
    <row r="22" spans="1:11">
      <c r="A22" s="166" t="s">
        <v>194</v>
      </c>
      <c r="B22" s="167">
        <v>1021</v>
      </c>
      <c r="C22" s="168">
        <v>1109</v>
      </c>
      <c r="D22" s="168" t="s">
        <v>185</v>
      </c>
      <c r="E22" s="169">
        <v>3</v>
      </c>
      <c r="F22" s="169">
        <v>8</v>
      </c>
      <c r="G22" s="169">
        <f t="shared" si="0"/>
        <v>5</v>
      </c>
      <c r="H22" s="169">
        <f t="shared" si="1"/>
        <v>0.5</v>
      </c>
      <c r="I22" s="168" t="s">
        <v>162</v>
      </c>
      <c r="J22" s="168" t="s">
        <v>161</v>
      </c>
      <c r="K22" s="168" t="s">
        <v>192</v>
      </c>
    </row>
    <row r="23" spans="1:11">
      <c r="A23" s="166" t="s">
        <v>194</v>
      </c>
      <c r="B23" s="167">
        <v>1022</v>
      </c>
      <c r="C23" s="168">
        <v>2877</v>
      </c>
      <c r="D23" s="168" t="s">
        <v>187</v>
      </c>
      <c r="E23" s="169">
        <v>11.4</v>
      </c>
      <c r="F23" s="169">
        <v>16.3</v>
      </c>
      <c r="G23" s="169">
        <f t="shared" si="0"/>
        <v>4.9000000000000004</v>
      </c>
      <c r="H23" s="169">
        <f t="shared" si="1"/>
        <v>0.49000000000000005</v>
      </c>
      <c r="I23" s="168" t="s">
        <v>170</v>
      </c>
      <c r="J23" s="168" t="s">
        <v>169</v>
      </c>
      <c r="K23" s="168" t="s">
        <v>168</v>
      </c>
    </row>
    <row r="24" spans="1:11">
      <c r="A24" s="166" t="s">
        <v>194</v>
      </c>
      <c r="B24" s="167">
        <v>1023</v>
      </c>
      <c r="C24" s="168">
        <v>1109</v>
      </c>
      <c r="D24" s="168" t="s">
        <v>185</v>
      </c>
      <c r="E24" s="169">
        <v>3</v>
      </c>
      <c r="F24" s="169">
        <v>8</v>
      </c>
      <c r="G24" s="169">
        <f t="shared" si="0"/>
        <v>5</v>
      </c>
      <c r="H24" s="169">
        <f t="shared" si="1"/>
        <v>0.5</v>
      </c>
      <c r="I24" s="168" t="s">
        <v>179</v>
      </c>
      <c r="J24" s="168" t="s">
        <v>178</v>
      </c>
      <c r="K24" s="168" t="s">
        <v>173</v>
      </c>
    </row>
    <row r="25" spans="1:11">
      <c r="A25" s="166" t="s">
        <v>194</v>
      </c>
      <c r="B25" s="167">
        <v>1024</v>
      </c>
      <c r="C25" s="168">
        <v>9212</v>
      </c>
      <c r="D25" s="168" t="s">
        <v>177</v>
      </c>
      <c r="E25" s="169">
        <v>4</v>
      </c>
      <c r="F25" s="169">
        <v>7</v>
      </c>
      <c r="G25" s="169">
        <f t="shared" si="0"/>
        <v>3</v>
      </c>
      <c r="H25" s="169">
        <f t="shared" si="1"/>
        <v>0.30000000000000004</v>
      </c>
      <c r="I25" s="168" t="s">
        <v>162</v>
      </c>
      <c r="J25" s="168" t="s">
        <v>161</v>
      </c>
      <c r="K25" s="168" t="s">
        <v>168</v>
      </c>
    </row>
    <row r="26" spans="1:11">
      <c r="A26" s="166" t="s">
        <v>194</v>
      </c>
      <c r="B26" s="167">
        <v>1025</v>
      </c>
      <c r="C26" s="168">
        <v>2877</v>
      </c>
      <c r="D26" s="168" t="s">
        <v>187</v>
      </c>
      <c r="E26" s="169">
        <v>11.4</v>
      </c>
      <c r="F26" s="169">
        <v>16.3</v>
      </c>
      <c r="G26" s="169">
        <f t="shared" si="0"/>
        <v>4.9000000000000004</v>
      </c>
      <c r="H26" s="169">
        <f t="shared" si="1"/>
        <v>0.49000000000000005</v>
      </c>
      <c r="I26" s="168" t="s">
        <v>179</v>
      </c>
      <c r="J26" s="168" t="s">
        <v>178</v>
      </c>
      <c r="K26" s="168" t="s">
        <v>160</v>
      </c>
    </row>
    <row r="27" spans="1:11">
      <c r="A27" s="166" t="s">
        <v>194</v>
      </c>
      <c r="B27" s="167">
        <v>1026</v>
      </c>
      <c r="C27" s="168">
        <v>6119</v>
      </c>
      <c r="D27" s="168" t="s">
        <v>188</v>
      </c>
      <c r="E27" s="169">
        <v>9</v>
      </c>
      <c r="F27" s="169">
        <v>14</v>
      </c>
      <c r="G27" s="169">
        <f t="shared" si="0"/>
        <v>5</v>
      </c>
      <c r="H27" s="169">
        <f t="shared" si="1"/>
        <v>0.5</v>
      </c>
      <c r="I27" s="168" t="s">
        <v>179</v>
      </c>
      <c r="J27" s="168" t="s">
        <v>178</v>
      </c>
      <c r="K27" s="168" t="s">
        <v>173</v>
      </c>
    </row>
    <row r="28" spans="1:11">
      <c r="A28" s="166" t="s">
        <v>194</v>
      </c>
      <c r="B28" s="167">
        <v>1027</v>
      </c>
      <c r="C28" s="168">
        <v>6119</v>
      </c>
      <c r="D28" s="168" t="s">
        <v>188</v>
      </c>
      <c r="E28" s="169">
        <v>9</v>
      </c>
      <c r="F28" s="169">
        <v>14</v>
      </c>
      <c r="G28" s="169">
        <f t="shared" si="0"/>
        <v>5</v>
      </c>
      <c r="H28" s="169">
        <f t="shared" si="1"/>
        <v>0.5</v>
      </c>
      <c r="I28" s="168" t="s">
        <v>167</v>
      </c>
      <c r="J28" s="168" t="s">
        <v>166</v>
      </c>
      <c r="K28" s="168" t="s">
        <v>160</v>
      </c>
    </row>
    <row r="29" spans="1:11">
      <c r="A29" s="166" t="s">
        <v>194</v>
      </c>
      <c r="B29" s="167">
        <v>1028</v>
      </c>
      <c r="C29" s="168">
        <v>8722</v>
      </c>
      <c r="D29" s="168" t="s">
        <v>171</v>
      </c>
      <c r="E29" s="169">
        <v>344</v>
      </c>
      <c r="F29" s="169">
        <v>502</v>
      </c>
      <c r="G29" s="169">
        <f t="shared" si="0"/>
        <v>158</v>
      </c>
      <c r="H29" s="169">
        <f t="shared" si="1"/>
        <v>31.6</v>
      </c>
      <c r="I29" s="168" t="s">
        <v>167</v>
      </c>
      <c r="J29" s="168" t="s">
        <v>166</v>
      </c>
      <c r="K29" s="168" t="s">
        <v>176</v>
      </c>
    </row>
    <row r="30" spans="1:11">
      <c r="A30" s="166" t="s">
        <v>194</v>
      </c>
      <c r="B30" s="167">
        <v>1029</v>
      </c>
      <c r="C30" s="168">
        <v>2499</v>
      </c>
      <c r="D30" s="168" t="s">
        <v>186</v>
      </c>
      <c r="E30" s="169">
        <v>6.2</v>
      </c>
      <c r="F30" s="169">
        <v>9.1999999999999993</v>
      </c>
      <c r="G30" s="169">
        <f t="shared" si="0"/>
        <v>2.9999999999999991</v>
      </c>
      <c r="H30" s="169">
        <f t="shared" si="1"/>
        <v>0.29999999999999993</v>
      </c>
      <c r="I30" s="168" t="s">
        <v>162</v>
      </c>
      <c r="J30" s="168" t="s">
        <v>161</v>
      </c>
      <c r="K30" s="168" t="s">
        <v>176</v>
      </c>
    </row>
    <row r="31" spans="1:11">
      <c r="A31" s="166" t="s">
        <v>194</v>
      </c>
      <c r="B31" s="167">
        <v>1030</v>
      </c>
      <c r="C31" s="168">
        <v>4421</v>
      </c>
      <c r="D31" s="168" t="s">
        <v>163</v>
      </c>
      <c r="E31" s="169">
        <v>45</v>
      </c>
      <c r="F31" s="169">
        <v>87</v>
      </c>
      <c r="G31" s="169">
        <f t="shared" si="0"/>
        <v>42</v>
      </c>
      <c r="H31" s="169">
        <f t="shared" si="1"/>
        <v>8.4</v>
      </c>
      <c r="I31" s="168" t="s">
        <v>162</v>
      </c>
      <c r="J31" s="168" t="s">
        <v>161</v>
      </c>
      <c r="K31" s="168" t="s">
        <v>160</v>
      </c>
    </row>
    <row r="32" spans="1:11">
      <c r="A32" s="166" t="s">
        <v>194</v>
      </c>
      <c r="B32" s="167">
        <v>1031</v>
      </c>
      <c r="C32" s="168">
        <v>1109</v>
      </c>
      <c r="D32" s="168" t="s">
        <v>185</v>
      </c>
      <c r="E32" s="169">
        <v>3</v>
      </c>
      <c r="F32" s="169">
        <v>8</v>
      </c>
      <c r="G32" s="169">
        <f t="shared" si="0"/>
        <v>5</v>
      </c>
      <c r="H32" s="169">
        <f t="shared" si="1"/>
        <v>0.5</v>
      </c>
      <c r="I32" s="168" t="s">
        <v>162</v>
      </c>
      <c r="J32" s="168" t="s">
        <v>161</v>
      </c>
      <c r="K32" s="168" t="s">
        <v>165</v>
      </c>
    </row>
    <row r="33" spans="1:11">
      <c r="A33" s="166" t="s">
        <v>194</v>
      </c>
      <c r="B33" s="167">
        <v>1032</v>
      </c>
      <c r="C33" s="168">
        <v>2877</v>
      </c>
      <c r="D33" s="168" t="s">
        <v>187</v>
      </c>
      <c r="E33" s="169">
        <v>11.4</v>
      </c>
      <c r="F33" s="169">
        <v>16.3</v>
      </c>
      <c r="G33" s="169">
        <f t="shared" si="0"/>
        <v>4.9000000000000004</v>
      </c>
      <c r="H33" s="169">
        <f t="shared" si="1"/>
        <v>0.49000000000000005</v>
      </c>
      <c r="I33" s="168" t="s">
        <v>167</v>
      </c>
      <c r="J33" s="168" t="s">
        <v>166</v>
      </c>
      <c r="K33" s="168" t="s">
        <v>176</v>
      </c>
    </row>
    <row r="34" spans="1:11">
      <c r="A34" s="166" t="s">
        <v>194</v>
      </c>
      <c r="B34" s="167">
        <v>1033</v>
      </c>
      <c r="C34" s="168">
        <v>9822</v>
      </c>
      <c r="D34" s="168" t="s">
        <v>172</v>
      </c>
      <c r="E34" s="169">
        <v>58.3</v>
      </c>
      <c r="F34" s="169">
        <v>98.4</v>
      </c>
      <c r="G34" s="169">
        <f t="shared" ref="G34:G65" si="2">F34-E34</f>
        <v>40.100000000000009</v>
      </c>
      <c r="H34" s="169">
        <f t="shared" ref="H34:H65" si="3">IF(F34&gt;50,G34*0.2,G34*0.1)</f>
        <v>8.0200000000000014</v>
      </c>
      <c r="I34" s="168" t="s">
        <v>162</v>
      </c>
      <c r="J34" s="168" t="s">
        <v>161</v>
      </c>
      <c r="K34" s="168" t="s">
        <v>165</v>
      </c>
    </row>
    <row r="35" spans="1:11">
      <c r="A35" s="166" t="s">
        <v>194</v>
      </c>
      <c r="B35" s="167">
        <v>1034</v>
      </c>
      <c r="C35" s="168">
        <v>2877</v>
      </c>
      <c r="D35" s="168" t="s">
        <v>187</v>
      </c>
      <c r="E35" s="169">
        <v>11.4</v>
      </c>
      <c r="F35" s="169">
        <v>16.3</v>
      </c>
      <c r="G35" s="169">
        <f t="shared" si="2"/>
        <v>4.9000000000000004</v>
      </c>
      <c r="H35" s="169">
        <f t="shared" si="3"/>
        <v>0.49000000000000005</v>
      </c>
      <c r="I35" s="168" t="s">
        <v>162</v>
      </c>
      <c r="J35" s="168" t="s">
        <v>161</v>
      </c>
      <c r="K35" s="168" t="s">
        <v>192</v>
      </c>
    </row>
    <row r="36" spans="1:11">
      <c r="A36" s="166" t="s">
        <v>193</v>
      </c>
      <c r="B36" s="167">
        <v>1035</v>
      </c>
      <c r="C36" s="168">
        <v>2499</v>
      </c>
      <c r="D36" s="168" t="s">
        <v>186</v>
      </c>
      <c r="E36" s="169">
        <v>6.2</v>
      </c>
      <c r="F36" s="169">
        <v>9.1999999999999993</v>
      </c>
      <c r="G36" s="169">
        <f t="shared" si="2"/>
        <v>2.9999999999999991</v>
      </c>
      <c r="H36" s="169">
        <f t="shared" si="3"/>
        <v>0.29999999999999993</v>
      </c>
      <c r="I36" s="168" t="s">
        <v>179</v>
      </c>
      <c r="J36" s="168" t="s">
        <v>178</v>
      </c>
      <c r="K36" s="168" t="s">
        <v>165</v>
      </c>
    </row>
    <row r="37" spans="1:11">
      <c r="A37" s="166" t="s">
        <v>193</v>
      </c>
      <c r="B37" s="167">
        <v>1036</v>
      </c>
      <c r="C37" s="168">
        <v>2499</v>
      </c>
      <c r="D37" s="168" t="s">
        <v>186</v>
      </c>
      <c r="E37" s="169">
        <v>6.2</v>
      </c>
      <c r="F37" s="169">
        <v>9.1999999999999993</v>
      </c>
      <c r="G37" s="169">
        <f t="shared" si="2"/>
        <v>2.9999999999999991</v>
      </c>
      <c r="H37" s="169">
        <f t="shared" si="3"/>
        <v>0.29999999999999993</v>
      </c>
      <c r="I37" s="168" t="s">
        <v>162</v>
      </c>
      <c r="J37" s="168" t="s">
        <v>161</v>
      </c>
      <c r="K37" s="168" t="s">
        <v>160</v>
      </c>
    </row>
    <row r="38" spans="1:11">
      <c r="A38" s="166" t="s">
        <v>193</v>
      </c>
      <c r="B38" s="167">
        <v>1037</v>
      </c>
      <c r="C38" s="168">
        <v>6622</v>
      </c>
      <c r="D38" s="168" t="s">
        <v>180</v>
      </c>
      <c r="E38" s="169">
        <v>42</v>
      </c>
      <c r="F38" s="169">
        <v>77</v>
      </c>
      <c r="G38" s="169">
        <f t="shared" si="2"/>
        <v>35</v>
      </c>
      <c r="H38" s="169">
        <f t="shared" si="3"/>
        <v>7</v>
      </c>
      <c r="I38" s="168" t="s">
        <v>162</v>
      </c>
      <c r="J38" s="168" t="s">
        <v>161</v>
      </c>
      <c r="K38" s="168" t="s">
        <v>160</v>
      </c>
    </row>
    <row r="39" spans="1:11">
      <c r="A39" s="166" t="s">
        <v>193</v>
      </c>
      <c r="B39" s="167">
        <v>1038</v>
      </c>
      <c r="C39" s="168">
        <v>2499</v>
      </c>
      <c r="D39" s="168" t="s">
        <v>186</v>
      </c>
      <c r="E39" s="169">
        <v>6.2</v>
      </c>
      <c r="F39" s="169">
        <v>9.1999999999999993</v>
      </c>
      <c r="G39" s="169">
        <f t="shared" si="2"/>
        <v>2.9999999999999991</v>
      </c>
      <c r="H39" s="169">
        <f t="shared" si="3"/>
        <v>0.29999999999999993</v>
      </c>
      <c r="I39" s="168" t="s">
        <v>162</v>
      </c>
      <c r="J39" s="168" t="s">
        <v>161</v>
      </c>
      <c r="K39" s="168" t="s">
        <v>160</v>
      </c>
    </row>
    <row r="40" spans="1:11">
      <c r="A40" s="166" t="s">
        <v>193</v>
      </c>
      <c r="B40" s="167">
        <v>1039</v>
      </c>
      <c r="C40" s="168">
        <v>2877</v>
      </c>
      <c r="D40" s="168" t="s">
        <v>187</v>
      </c>
      <c r="E40" s="169">
        <v>11.4</v>
      </c>
      <c r="F40" s="169">
        <v>16.3</v>
      </c>
      <c r="G40" s="169">
        <f t="shared" si="2"/>
        <v>4.9000000000000004</v>
      </c>
      <c r="H40" s="169">
        <f t="shared" si="3"/>
        <v>0.49000000000000005</v>
      </c>
      <c r="I40" s="168" t="s">
        <v>162</v>
      </c>
      <c r="J40" s="168" t="s">
        <v>161</v>
      </c>
      <c r="K40" s="168" t="s">
        <v>165</v>
      </c>
    </row>
    <row r="41" spans="1:11">
      <c r="A41" s="166" t="s">
        <v>193</v>
      </c>
      <c r="B41" s="167">
        <v>1040</v>
      </c>
      <c r="C41" s="168">
        <v>1109</v>
      </c>
      <c r="D41" s="168" t="s">
        <v>185</v>
      </c>
      <c r="E41" s="169">
        <v>3</v>
      </c>
      <c r="F41" s="169">
        <v>8</v>
      </c>
      <c r="G41" s="169">
        <f t="shared" si="2"/>
        <v>5</v>
      </c>
      <c r="H41" s="169">
        <f t="shared" si="3"/>
        <v>0.5</v>
      </c>
      <c r="I41" s="168" t="s">
        <v>162</v>
      </c>
      <c r="J41" s="168" t="s">
        <v>161</v>
      </c>
      <c r="K41" s="168" t="s">
        <v>176</v>
      </c>
    </row>
    <row r="42" spans="1:11">
      <c r="A42" s="166" t="s">
        <v>193</v>
      </c>
      <c r="B42" s="167">
        <v>1041</v>
      </c>
      <c r="C42" s="168">
        <v>2499</v>
      </c>
      <c r="D42" s="168" t="s">
        <v>186</v>
      </c>
      <c r="E42" s="169">
        <v>6.2</v>
      </c>
      <c r="F42" s="169">
        <v>9.1999999999999993</v>
      </c>
      <c r="G42" s="169">
        <f t="shared" si="2"/>
        <v>2.9999999999999991</v>
      </c>
      <c r="H42" s="169">
        <f t="shared" si="3"/>
        <v>0.29999999999999993</v>
      </c>
      <c r="I42" s="168" t="s">
        <v>167</v>
      </c>
      <c r="J42" s="168" t="s">
        <v>166</v>
      </c>
      <c r="K42" s="168" t="s">
        <v>173</v>
      </c>
    </row>
    <row r="43" spans="1:11">
      <c r="A43" s="166" t="s">
        <v>193</v>
      </c>
      <c r="B43" s="167">
        <v>1042</v>
      </c>
      <c r="C43" s="168">
        <v>8722</v>
      </c>
      <c r="D43" s="168" t="s">
        <v>171</v>
      </c>
      <c r="E43" s="169">
        <v>344</v>
      </c>
      <c r="F43" s="169">
        <v>502</v>
      </c>
      <c r="G43" s="169">
        <f t="shared" si="2"/>
        <v>158</v>
      </c>
      <c r="H43" s="169">
        <f t="shared" si="3"/>
        <v>31.6</v>
      </c>
      <c r="I43" s="168" t="s">
        <v>170</v>
      </c>
      <c r="J43" s="168" t="s">
        <v>169</v>
      </c>
      <c r="K43" s="168" t="s">
        <v>173</v>
      </c>
    </row>
    <row r="44" spans="1:11">
      <c r="A44" s="166" t="s">
        <v>193</v>
      </c>
      <c r="B44" s="167">
        <v>1043</v>
      </c>
      <c r="C44" s="168">
        <v>2242</v>
      </c>
      <c r="D44" s="168" t="s">
        <v>174</v>
      </c>
      <c r="E44" s="169">
        <v>60</v>
      </c>
      <c r="F44" s="169">
        <v>124</v>
      </c>
      <c r="G44" s="169">
        <f t="shared" si="2"/>
        <v>64</v>
      </c>
      <c r="H44" s="169">
        <f t="shared" si="3"/>
        <v>12.8</v>
      </c>
      <c r="I44" s="168" t="s">
        <v>170</v>
      </c>
      <c r="J44" s="168" t="s">
        <v>169</v>
      </c>
      <c r="K44" s="168" t="s">
        <v>165</v>
      </c>
    </row>
    <row r="45" spans="1:11">
      <c r="A45" s="166" t="s">
        <v>193</v>
      </c>
      <c r="B45" s="167">
        <v>1044</v>
      </c>
      <c r="C45" s="168">
        <v>2877</v>
      </c>
      <c r="D45" s="168" t="s">
        <v>187</v>
      </c>
      <c r="E45" s="169">
        <v>11.4</v>
      </c>
      <c r="F45" s="169">
        <v>16.3</v>
      </c>
      <c r="G45" s="169">
        <f t="shared" si="2"/>
        <v>4.9000000000000004</v>
      </c>
      <c r="H45" s="169">
        <f t="shared" si="3"/>
        <v>0.49000000000000005</v>
      </c>
      <c r="I45" s="168" t="s">
        <v>170</v>
      </c>
      <c r="J45" s="168" t="s">
        <v>169</v>
      </c>
      <c r="K45" s="168" t="s">
        <v>165</v>
      </c>
    </row>
    <row r="46" spans="1:11">
      <c r="A46" s="166" t="s">
        <v>193</v>
      </c>
      <c r="B46" s="167">
        <v>1045</v>
      </c>
      <c r="C46" s="168">
        <v>8722</v>
      </c>
      <c r="D46" s="168" t="s">
        <v>171</v>
      </c>
      <c r="E46" s="169">
        <v>344</v>
      </c>
      <c r="F46" s="169">
        <v>502</v>
      </c>
      <c r="G46" s="169">
        <f t="shared" si="2"/>
        <v>158</v>
      </c>
      <c r="H46" s="169">
        <f t="shared" si="3"/>
        <v>31.6</v>
      </c>
      <c r="I46" s="168" t="s">
        <v>179</v>
      </c>
      <c r="J46" s="168" t="s">
        <v>178</v>
      </c>
      <c r="K46" s="168" t="s">
        <v>176</v>
      </c>
    </row>
    <row r="47" spans="1:11">
      <c r="A47" s="166" t="s">
        <v>193</v>
      </c>
      <c r="B47" s="167">
        <v>1046</v>
      </c>
      <c r="C47" s="168">
        <v>6119</v>
      </c>
      <c r="D47" s="168" t="s">
        <v>188</v>
      </c>
      <c r="E47" s="169">
        <v>9</v>
      </c>
      <c r="F47" s="169">
        <v>14</v>
      </c>
      <c r="G47" s="169">
        <f t="shared" si="2"/>
        <v>5</v>
      </c>
      <c r="H47" s="169">
        <f t="shared" si="3"/>
        <v>0.5</v>
      </c>
      <c r="I47" s="168" t="s">
        <v>162</v>
      </c>
      <c r="J47" s="168" t="s">
        <v>161</v>
      </c>
      <c r="K47" s="168" t="s">
        <v>168</v>
      </c>
    </row>
    <row r="48" spans="1:11">
      <c r="A48" s="166" t="s">
        <v>193</v>
      </c>
      <c r="B48" s="167">
        <v>1047</v>
      </c>
      <c r="C48" s="168">
        <v>6622</v>
      </c>
      <c r="D48" s="168" t="s">
        <v>180</v>
      </c>
      <c r="E48" s="169">
        <v>42</v>
      </c>
      <c r="F48" s="169">
        <v>77</v>
      </c>
      <c r="G48" s="169">
        <f t="shared" si="2"/>
        <v>35</v>
      </c>
      <c r="H48" s="169">
        <f t="shared" si="3"/>
        <v>7</v>
      </c>
      <c r="I48" s="168" t="s">
        <v>179</v>
      </c>
      <c r="J48" s="168" t="s">
        <v>178</v>
      </c>
      <c r="K48" s="168" t="s">
        <v>176</v>
      </c>
    </row>
    <row r="49" spans="1:11">
      <c r="A49" s="166" t="s">
        <v>193</v>
      </c>
      <c r="B49" s="167">
        <v>1048</v>
      </c>
      <c r="C49" s="168">
        <v>8722</v>
      </c>
      <c r="D49" s="168" t="s">
        <v>171</v>
      </c>
      <c r="E49" s="169">
        <v>344</v>
      </c>
      <c r="F49" s="169">
        <v>502</v>
      </c>
      <c r="G49" s="169">
        <f t="shared" si="2"/>
        <v>158</v>
      </c>
      <c r="H49" s="169">
        <f t="shared" si="3"/>
        <v>31.6</v>
      </c>
      <c r="I49" s="168" t="s">
        <v>167</v>
      </c>
      <c r="J49" s="168" t="s">
        <v>166</v>
      </c>
      <c r="K49" s="168" t="s">
        <v>176</v>
      </c>
    </row>
    <row r="50" spans="1:11">
      <c r="A50" s="166" t="s">
        <v>191</v>
      </c>
      <c r="B50" s="167">
        <v>1049</v>
      </c>
      <c r="C50" s="168">
        <v>2499</v>
      </c>
      <c r="D50" s="168" t="s">
        <v>186</v>
      </c>
      <c r="E50" s="169">
        <v>6.2</v>
      </c>
      <c r="F50" s="169">
        <v>9.1999999999999993</v>
      </c>
      <c r="G50" s="169">
        <f t="shared" si="2"/>
        <v>2.9999999999999991</v>
      </c>
      <c r="H50" s="169">
        <f t="shared" si="3"/>
        <v>0.29999999999999993</v>
      </c>
      <c r="I50" s="168" t="s">
        <v>167</v>
      </c>
      <c r="J50" s="168" t="s">
        <v>166</v>
      </c>
      <c r="K50" s="168" t="s">
        <v>192</v>
      </c>
    </row>
    <row r="51" spans="1:11">
      <c r="A51" s="166" t="s">
        <v>191</v>
      </c>
      <c r="B51" s="167">
        <v>1050</v>
      </c>
      <c r="C51" s="168">
        <v>2877</v>
      </c>
      <c r="D51" s="168" t="s">
        <v>187</v>
      </c>
      <c r="E51" s="169">
        <v>11.4</v>
      </c>
      <c r="F51" s="169">
        <v>16.3</v>
      </c>
      <c r="G51" s="169">
        <f t="shared" si="2"/>
        <v>4.9000000000000004</v>
      </c>
      <c r="H51" s="169">
        <f t="shared" si="3"/>
        <v>0.49000000000000005</v>
      </c>
      <c r="I51" s="168" t="s">
        <v>167</v>
      </c>
      <c r="J51" s="168" t="s">
        <v>166</v>
      </c>
      <c r="K51" s="168" t="s">
        <v>176</v>
      </c>
    </row>
    <row r="52" spans="1:11">
      <c r="A52" s="166" t="s">
        <v>191</v>
      </c>
      <c r="B52" s="167">
        <v>1051</v>
      </c>
      <c r="C52" s="168">
        <v>6119</v>
      </c>
      <c r="D52" s="168" t="s">
        <v>188</v>
      </c>
      <c r="E52" s="169">
        <v>9</v>
      </c>
      <c r="F52" s="169">
        <v>14</v>
      </c>
      <c r="G52" s="169">
        <f t="shared" si="2"/>
        <v>5</v>
      </c>
      <c r="H52" s="169">
        <f t="shared" si="3"/>
        <v>0.5</v>
      </c>
      <c r="I52" s="168" t="s">
        <v>170</v>
      </c>
      <c r="J52" s="168" t="s">
        <v>169</v>
      </c>
      <c r="K52" s="168" t="s">
        <v>168</v>
      </c>
    </row>
    <row r="53" spans="1:11">
      <c r="A53" s="166" t="s">
        <v>191</v>
      </c>
      <c r="B53" s="167">
        <v>1052</v>
      </c>
      <c r="C53" s="168">
        <v>6622</v>
      </c>
      <c r="D53" s="168" t="s">
        <v>180</v>
      </c>
      <c r="E53" s="169">
        <v>42</v>
      </c>
      <c r="F53" s="169">
        <v>77</v>
      </c>
      <c r="G53" s="169">
        <f t="shared" si="2"/>
        <v>35</v>
      </c>
      <c r="H53" s="169">
        <f t="shared" si="3"/>
        <v>7</v>
      </c>
      <c r="I53" s="168" t="s">
        <v>170</v>
      </c>
      <c r="J53" s="168" t="s">
        <v>169</v>
      </c>
      <c r="K53" s="168" t="s">
        <v>176</v>
      </c>
    </row>
    <row r="54" spans="1:11">
      <c r="A54" s="166" t="s">
        <v>191</v>
      </c>
      <c r="B54" s="167">
        <v>1053</v>
      </c>
      <c r="C54" s="168">
        <v>2242</v>
      </c>
      <c r="D54" s="168" t="s">
        <v>174</v>
      </c>
      <c r="E54" s="169">
        <v>60</v>
      </c>
      <c r="F54" s="169">
        <v>124</v>
      </c>
      <c r="G54" s="169">
        <f t="shared" si="2"/>
        <v>64</v>
      </c>
      <c r="H54" s="169">
        <f t="shared" si="3"/>
        <v>12.8</v>
      </c>
      <c r="I54" s="168" t="s">
        <v>167</v>
      </c>
      <c r="J54" s="168" t="s">
        <v>166</v>
      </c>
      <c r="K54" s="168" t="s">
        <v>165</v>
      </c>
    </row>
    <row r="55" spans="1:11">
      <c r="A55" s="166" t="s">
        <v>191</v>
      </c>
      <c r="B55" s="167">
        <v>1054</v>
      </c>
      <c r="C55" s="168">
        <v>4421</v>
      </c>
      <c r="D55" s="168" t="s">
        <v>163</v>
      </c>
      <c r="E55" s="169">
        <v>45</v>
      </c>
      <c r="F55" s="169">
        <v>87</v>
      </c>
      <c r="G55" s="169">
        <f t="shared" si="2"/>
        <v>42</v>
      </c>
      <c r="H55" s="169">
        <f t="shared" si="3"/>
        <v>8.4</v>
      </c>
      <c r="I55" s="168" t="s">
        <v>170</v>
      </c>
      <c r="J55" s="168" t="s">
        <v>169</v>
      </c>
      <c r="K55" s="168" t="s">
        <v>160</v>
      </c>
    </row>
    <row r="56" spans="1:11">
      <c r="A56" s="166" t="s">
        <v>191</v>
      </c>
      <c r="B56" s="167">
        <v>1055</v>
      </c>
      <c r="C56" s="168">
        <v>6119</v>
      </c>
      <c r="D56" s="168" t="s">
        <v>188</v>
      </c>
      <c r="E56" s="169">
        <v>9</v>
      </c>
      <c r="F56" s="169">
        <v>14</v>
      </c>
      <c r="G56" s="169">
        <f t="shared" si="2"/>
        <v>5</v>
      </c>
      <c r="H56" s="169">
        <f t="shared" si="3"/>
        <v>0.5</v>
      </c>
      <c r="I56" s="168" t="s">
        <v>162</v>
      </c>
      <c r="J56" s="168" t="s">
        <v>161</v>
      </c>
      <c r="K56" s="168" t="s">
        <v>160</v>
      </c>
    </row>
    <row r="57" spans="1:11">
      <c r="A57" s="166" t="s">
        <v>191</v>
      </c>
      <c r="B57" s="167">
        <v>1056</v>
      </c>
      <c r="C57" s="168">
        <v>1109</v>
      </c>
      <c r="D57" s="168" t="s">
        <v>185</v>
      </c>
      <c r="E57" s="169">
        <v>3</v>
      </c>
      <c r="F57" s="169">
        <v>8</v>
      </c>
      <c r="G57" s="169">
        <f t="shared" si="2"/>
        <v>5</v>
      </c>
      <c r="H57" s="169">
        <f t="shared" si="3"/>
        <v>0.5</v>
      </c>
      <c r="I57" s="168" t="s">
        <v>170</v>
      </c>
      <c r="J57" s="168" t="s">
        <v>169</v>
      </c>
      <c r="K57" s="168" t="s">
        <v>165</v>
      </c>
    </row>
    <row r="58" spans="1:11">
      <c r="A58" s="166" t="s">
        <v>191</v>
      </c>
      <c r="B58" s="167">
        <v>1057</v>
      </c>
      <c r="C58" s="168">
        <v>2499</v>
      </c>
      <c r="D58" s="168" t="s">
        <v>186</v>
      </c>
      <c r="E58" s="169">
        <v>6.2</v>
      </c>
      <c r="F58" s="169">
        <v>9.1999999999999993</v>
      </c>
      <c r="G58" s="169">
        <f t="shared" si="2"/>
        <v>2.9999999999999991</v>
      </c>
      <c r="H58" s="169">
        <f t="shared" si="3"/>
        <v>0.29999999999999993</v>
      </c>
      <c r="I58" s="168" t="s">
        <v>162</v>
      </c>
      <c r="J58" s="168" t="s">
        <v>161</v>
      </c>
      <c r="K58" s="168" t="s">
        <v>165</v>
      </c>
    </row>
    <row r="59" spans="1:11">
      <c r="A59" s="166" t="s">
        <v>191</v>
      </c>
      <c r="B59" s="167">
        <v>1058</v>
      </c>
      <c r="C59" s="168">
        <v>6119</v>
      </c>
      <c r="D59" s="168" t="s">
        <v>188</v>
      </c>
      <c r="E59" s="169">
        <v>9</v>
      </c>
      <c r="F59" s="169">
        <v>14</v>
      </c>
      <c r="G59" s="169">
        <f t="shared" si="2"/>
        <v>5</v>
      </c>
      <c r="H59" s="169">
        <f t="shared" si="3"/>
        <v>0.5</v>
      </c>
      <c r="I59" s="168" t="s">
        <v>179</v>
      </c>
      <c r="J59" s="168" t="s">
        <v>178</v>
      </c>
      <c r="K59" s="168" t="s">
        <v>176</v>
      </c>
    </row>
    <row r="60" spans="1:11">
      <c r="A60" s="166" t="s">
        <v>191</v>
      </c>
      <c r="B60" s="167">
        <v>1059</v>
      </c>
      <c r="C60" s="168">
        <v>2242</v>
      </c>
      <c r="D60" s="168" t="s">
        <v>174</v>
      </c>
      <c r="E60" s="169">
        <v>60</v>
      </c>
      <c r="F60" s="169">
        <v>124</v>
      </c>
      <c r="G60" s="169">
        <f t="shared" si="2"/>
        <v>64</v>
      </c>
      <c r="H60" s="169">
        <f t="shared" si="3"/>
        <v>12.8</v>
      </c>
      <c r="I60" s="168" t="s">
        <v>170</v>
      </c>
      <c r="J60" s="168" t="s">
        <v>169</v>
      </c>
      <c r="K60" s="168" t="s">
        <v>176</v>
      </c>
    </row>
    <row r="61" spans="1:11">
      <c r="A61" s="166" t="s">
        <v>191</v>
      </c>
      <c r="B61" s="167">
        <v>1060</v>
      </c>
      <c r="C61" s="168">
        <v>6119</v>
      </c>
      <c r="D61" s="168" t="s">
        <v>188</v>
      </c>
      <c r="E61" s="169">
        <v>9</v>
      </c>
      <c r="F61" s="169">
        <v>14</v>
      </c>
      <c r="G61" s="169">
        <f t="shared" si="2"/>
        <v>5</v>
      </c>
      <c r="H61" s="169">
        <f t="shared" si="3"/>
        <v>0.5</v>
      </c>
      <c r="I61" s="168" t="s">
        <v>170</v>
      </c>
      <c r="J61" s="168" t="s">
        <v>169</v>
      </c>
      <c r="K61" s="168" t="s">
        <v>160</v>
      </c>
    </row>
    <row r="62" spans="1:11">
      <c r="A62" s="166" t="s">
        <v>190</v>
      </c>
      <c r="B62" s="167">
        <v>1061</v>
      </c>
      <c r="C62" s="168">
        <v>1109</v>
      </c>
      <c r="D62" s="168" t="s">
        <v>185</v>
      </c>
      <c r="E62" s="169">
        <v>3</v>
      </c>
      <c r="F62" s="169">
        <v>8</v>
      </c>
      <c r="G62" s="169">
        <f t="shared" si="2"/>
        <v>5</v>
      </c>
      <c r="H62" s="169">
        <f t="shared" si="3"/>
        <v>0.5</v>
      </c>
      <c r="I62" s="168" t="s">
        <v>170</v>
      </c>
      <c r="J62" s="168" t="s">
        <v>169</v>
      </c>
      <c r="K62" s="168" t="s">
        <v>160</v>
      </c>
    </row>
    <row r="63" spans="1:11">
      <c r="A63" s="166" t="s">
        <v>190</v>
      </c>
      <c r="B63" s="167">
        <v>1062</v>
      </c>
      <c r="C63" s="168">
        <v>2499</v>
      </c>
      <c r="D63" s="168" t="s">
        <v>186</v>
      </c>
      <c r="E63" s="169">
        <v>6.2</v>
      </c>
      <c r="F63" s="169">
        <v>9.1999999999999993</v>
      </c>
      <c r="G63" s="169">
        <f t="shared" si="2"/>
        <v>2.9999999999999991</v>
      </c>
      <c r="H63" s="169">
        <f t="shared" si="3"/>
        <v>0.29999999999999993</v>
      </c>
      <c r="I63" s="168" t="s">
        <v>167</v>
      </c>
      <c r="J63" s="168" t="s">
        <v>166</v>
      </c>
      <c r="K63" s="168" t="s">
        <v>176</v>
      </c>
    </row>
    <row r="64" spans="1:11">
      <c r="A64" s="166" t="s">
        <v>190</v>
      </c>
      <c r="B64" s="167">
        <v>1063</v>
      </c>
      <c r="C64" s="168">
        <v>1109</v>
      </c>
      <c r="D64" s="168" t="s">
        <v>185</v>
      </c>
      <c r="E64" s="169">
        <v>3</v>
      </c>
      <c r="F64" s="169">
        <v>8</v>
      </c>
      <c r="G64" s="169">
        <f t="shared" si="2"/>
        <v>5</v>
      </c>
      <c r="H64" s="169">
        <f t="shared" si="3"/>
        <v>0.5</v>
      </c>
      <c r="I64" s="168" t="s">
        <v>170</v>
      </c>
      <c r="J64" s="168" t="s">
        <v>169</v>
      </c>
      <c r="K64" s="168" t="s">
        <v>165</v>
      </c>
    </row>
    <row r="65" spans="1:11">
      <c r="A65" s="166" t="s">
        <v>190</v>
      </c>
      <c r="B65" s="167">
        <v>1064</v>
      </c>
      <c r="C65" s="168">
        <v>2499</v>
      </c>
      <c r="D65" s="168" t="s">
        <v>186</v>
      </c>
      <c r="E65" s="169">
        <v>6.2</v>
      </c>
      <c r="F65" s="169">
        <v>9.1999999999999993</v>
      </c>
      <c r="G65" s="169">
        <f t="shared" si="2"/>
        <v>2.9999999999999991</v>
      </c>
      <c r="H65" s="169">
        <f t="shared" si="3"/>
        <v>0.29999999999999993</v>
      </c>
      <c r="I65" s="168" t="s">
        <v>179</v>
      </c>
      <c r="J65" s="168" t="s">
        <v>178</v>
      </c>
      <c r="K65" s="168" t="s">
        <v>176</v>
      </c>
    </row>
    <row r="66" spans="1:11">
      <c r="A66" s="166" t="s">
        <v>190</v>
      </c>
      <c r="B66" s="167">
        <v>1065</v>
      </c>
      <c r="C66" s="168">
        <v>2499</v>
      </c>
      <c r="D66" s="168" t="s">
        <v>186</v>
      </c>
      <c r="E66" s="169">
        <v>6.2</v>
      </c>
      <c r="F66" s="169">
        <v>9.1999999999999993</v>
      </c>
      <c r="G66" s="169">
        <f t="shared" ref="G66:G97" si="4">F66-E66</f>
        <v>2.9999999999999991</v>
      </c>
      <c r="H66" s="169">
        <f t="shared" ref="H66:H97" si="5">IF(F66&gt;50,G66*0.2,G66*0.1)</f>
        <v>0.29999999999999993</v>
      </c>
      <c r="I66" s="168" t="s">
        <v>170</v>
      </c>
      <c r="J66" s="168" t="s">
        <v>169</v>
      </c>
      <c r="K66" s="168" t="s">
        <v>173</v>
      </c>
    </row>
    <row r="67" spans="1:11">
      <c r="A67" s="166" t="s">
        <v>190</v>
      </c>
      <c r="B67" s="167">
        <v>1066</v>
      </c>
      <c r="C67" s="168">
        <v>2877</v>
      </c>
      <c r="D67" s="168" t="s">
        <v>187</v>
      </c>
      <c r="E67" s="169">
        <v>11.4</v>
      </c>
      <c r="F67" s="169">
        <v>16.3</v>
      </c>
      <c r="G67" s="169">
        <f t="shared" si="4"/>
        <v>4.9000000000000004</v>
      </c>
      <c r="H67" s="169">
        <f t="shared" si="5"/>
        <v>0.49000000000000005</v>
      </c>
      <c r="I67" s="168" t="s">
        <v>170</v>
      </c>
      <c r="J67" s="168" t="s">
        <v>169</v>
      </c>
      <c r="K67" s="168" t="s">
        <v>160</v>
      </c>
    </row>
    <row r="68" spans="1:11">
      <c r="A68" s="166" t="s">
        <v>190</v>
      </c>
      <c r="B68" s="167">
        <v>1067</v>
      </c>
      <c r="C68" s="168">
        <v>2877</v>
      </c>
      <c r="D68" s="168" t="s">
        <v>187</v>
      </c>
      <c r="E68" s="169">
        <v>11.4</v>
      </c>
      <c r="F68" s="169">
        <v>16.3</v>
      </c>
      <c r="G68" s="169">
        <f t="shared" si="4"/>
        <v>4.9000000000000004</v>
      </c>
      <c r="H68" s="169">
        <f t="shared" si="5"/>
        <v>0.49000000000000005</v>
      </c>
      <c r="I68" s="168" t="s">
        <v>170</v>
      </c>
      <c r="J68" s="168" t="s">
        <v>169</v>
      </c>
      <c r="K68" s="168" t="s">
        <v>168</v>
      </c>
    </row>
    <row r="69" spans="1:11">
      <c r="A69" s="166" t="s">
        <v>190</v>
      </c>
      <c r="B69" s="167">
        <v>1068</v>
      </c>
      <c r="C69" s="168">
        <v>6119</v>
      </c>
      <c r="D69" s="168" t="s">
        <v>188</v>
      </c>
      <c r="E69" s="169">
        <v>9</v>
      </c>
      <c r="F69" s="169">
        <v>14</v>
      </c>
      <c r="G69" s="169">
        <f t="shared" si="4"/>
        <v>5</v>
      </c>
      <c r="H69" s="169">
        <f t="shared" si="5"/>
        <v>0.5</v>
      </c>
      <c r="I69" s="168" t="s">
        <v>162</v>
      </c>
      <c r="J69" s="168" t="s">
        <v>161</v>
      </c>
      <c r="K69" s="168" t="s">
        <v>165</v>
      </c>
    </row>
    <row r="70" spans="1:11">
      <c r="A70" s="166" t="s">
        <v>190</v>
      </c>
      <c r="B70" s="167">
        <v>1069</v>
      </c>
      <c r="C70" s="168">
        <v>1109</v>
      </c>
      <c r="D70" s="168" t="s">
        <v>185</v>
      </c>
      <c r="E70" s="169">
        <v>3</v>
      </c>
      <c r="F70" s="169">
        <v>8</v>
      </c>
      <c r="G70" s="169">
        <f t="shared" si="4"/>
        <v>5</v>
      </c>
      <c r="H70" s="169">
        <f t="shared" si="5"/>
        <v>0.5</v>
      </c>
      <c r="I70" s="168" t="s">
        <v>170</v>
      </c>
      <c r="J70" s="168" t="s">
        <v>169</v>
      </c>
      <c r="K70" s="168" t="s">
        <v>176</v>
      </c>
    </row>
    <row r="71" spans="1:11">
      <c r="A71" s="166" t="s">
        <v>190</v>
      </c>
      <c r="B71" s="167">
        <v>1070</v>
      </c>
      <c r="C71" s="168">
        <v>2499</v>
      </c>
      <c r="D71" s="168" t="s">
        <v>186</v>
      </c>
      <c r="E71" s="169">
        <v>6.2</v>
      </c>
      <c r="F71" s="169">
        <v>9.1999999999999993</v>
      </c>
      <c r="G71" s="169">
        <f t="shared" si="4"/>
        <v>2.9999999999999991</v>
      </c>
      <c r="H71" s="169">
        <f t="shared" si="5"/>
        <v>0.29999999999999993</v>
      </c>
      <c r="I71" s="168" t="s">
        <v>179</v>
      </c>
      <c r="J71" s="168" t="s">
        <v>178</v>
      </c>
      <c r="K71" s="168" t="s">
        <v>176</v>
      </c>
    </row>
    <row r="72" spans="1:11">
      <c r="A72" s="166" t="s">
        <v>190</v>
      </c>
      <c r="B72" s="167">
        <v>1071</v>
      </c>
      <c r="C72" s="168">
        <v>1109</v>
      </c>
      <c r="D72" s="168" t="s">
        <v>185</v>
      </c>
      <c r="E72" s="169">
        <v>3</v>
      </c>
      <c r="F72" s="169">
        <v>8</v>
      </c>
      <c r="G72" s="169">
        <f t="shared" si="4"/>
        <v>5</v>
      </c>
      <c r="H72" s="169">
        <f t="shared" si="5"/>
        <v>0.5</v>
      </c>
      <c r="I72" s="168" t="s">
        <v>167</v>
      </c>
      <c r="J72" s="168" t="s">
        <v>166</v>
      </c>
      <c r="K72" s="168" t="s">
        <v>176</v>
      </c>
    </row>
    <row r="73" spans="1:11">
      <c r="A73" s="166" t="s">
        <v>190</v>
      </c>
      <c r="B73" s="167">
        <v>1072</v>
      </c>
      <c r="C73" s="168">
        <v>1109</v>
      </c>
      <c r="D73" s="168" t="s">
        <v>185</v>
      </c>
      <c r="E73" s="169">
        <v>3</v>
      </c>
      <c r="F73" s="169">
        <v>8</v>
      </c>
      <c r="G73" s="169">
        <f t="shared" si="4"/>
        <v>5</v>
      </c>
      <c r="H73" s="169">
        <f t="shared" si="5"/>
        <v>0.5</v>
      </c>
      <c r="I73" s="168" t="s">
        <v>170</v>
      </c>
      <c r="J73" s="168" t="s">
        <v>169</v>
      </c>
      <c r="K73" s="168" t="s">
        <v>160</v>
      </c>
    </row>
    <row r="74" spans="1:11">
      <c r="A74" s="166" t="s">
        <v>190</v>
      </c>
      <c r="B74" s="167">
        <v>1073</v>
      </c>
      <c r="C74" s="168">
        <v>6622</v>
      </c>
      <c r="D74" s="168" t="s">
        <v>180</v>
      </c>
      <c r="E74" s="169">
        <v>42</v>
      </c>
      <c r="F74" s="169">
        <v>77</v>
      </c>
      <c r="G74" s="169">
        <f t="shared" si="4"/>
        <v>35</v>
      </c>
      <c r="H74" s="169">
        <f t="shared" si="5"/>
        <v>7</v>
      </c>
      <c r="I74" s="168" t="s">
        <v>170</v>
      </c>
      <c r="J74" s="168" t="s">
        <v>169</v>
      </c>
      <c r="K74" s="168" t="s">
        <v>165</v>
      </c>
    </row>
    <row r="75" spans="1:11">
      <c r="A75" s="166" t="s">
        <v>190</v>
      </c>
      <c r="B75" s="167">
        <v>1074</v>
      </c>
      <c r="C75" s="168">
        <v>2877</v>
      </c>
      <c r="D75" s="168" t="s">
        <v>187</v>
      </c>
      <c r="E75" s="169">
        <v>11.4</v>
      </c>
      <c r="F75" s="169">
        <v>16.3</v>
      </c>
      <c r="G75" s="169">
        <f t="shared" si="4"/>
        <v>4.9000000000000004</v>
      </c>
      <c r="H75" s="169">
        <f t="shared" si="5"/>
        <v>0.49000000000000005</v>
      </c>
      <c r="I75" s="168" t="s">
        <v>170</v>
      </c>
      <c r="J75" s="168" t="s">
        <v>169</v>
      </c>
      <c r="K75" s="168" t="s">
        <v>176</v>
      </c>
    </row>
    <row r="76" spans="1:11">
      <c r="A76" s="166" t="s">
        <v>190</v>
      </c>
      <c r="B76" s="167">
        <v>1075</v>
      </c>
      <c r="C76" s="168">
        <v>1109</v>
      </c>
      <c r="D76" s="168" t="s">
        <v>185</v>
      </c>
      <c r="E76" s="169">
        <v>3</v>
      </c>
      <c r="F76" s="169">
        <v>8</v>
      </c>
      <c r="G76" s="169">
        <f t="shared" si="4"/>
        <v>5</v>
      </c>
      <c r="H76" s="169">
        <f t="shared" si="5"/>
        <v>0.5</v>
      </c>
      <c r="I76" s="168" t="s">
        <v>179</v>
      </c>
      <c r="J76" s="168" t="s">
        <v>178</v>
      </c>
      <c r="K76" s="168" t="s">
        <v>165</v>
      </c>
    </row>
    <row r="77" spans="1:11">
      <c r="A77" s="166" t="s">
        <v>190</v>
      </c>
      <c r="B77" s="167">
        <v>1076</v>
      </c>
      <c r="C77" s="168">
        <v>1109</v>
      </c>
      <c r="D77" s="168" t="s">
        <v>185</v>
      </c>
      <c r="E77" s="169">
        <v>3</v>
      </c>
      <c r="F77" s="169">
        <v>8</v>
      </c>
      <c r="G77" s="169">
        <f t="shared" si="4"/>
        <v>5</v>
      </c>
      <c r="H77" s="169">
        <f t="shared" si="5"/>
        <v>0.5</v>
      </c>
      <c r="I77" s="168" t="s">
        <v>162</v>
      </c>
      <c r="J77" s="168" t="s">
        <v>161</v>
      </c>
      <c r="K77" s="168" t="s">
        <v>176</v>
      </c>
    </row>
    <row r="78" spans="1:11">
      <c r="A78" s="166" t="s">
        <v>190</v>
      </c>
      <c r="B78" s="167">
        <v>1077</v>
      </c>
      <c r="C78" s="168">
        <v>9822</v>
      </c>
      <c r="D78" s="168" t="s">
        <v>172</v>
      </c>
      <c r="E78" s="169">
        <v>58.3</v>
      </c>
      <c r="F78" s="169">
        <v>98.4</v>
      </c>
      <c r="G78" s="169">
        <f t="shared" si="4"/>
        <v>40.100000000000009</v>
      </c>
      <c r="H78" s="169">
        <f t="shared" si="5"/>
        <v>8.0200000000000014</v>
      </c>
      <c r="I78" s="168" t="s">
        <v>179</v>
      </c>
      <c r="J78" s="168" t="s">
        <v>178</v>
      </c>
      <c r="K78" s="168" t="s">
        <v>176</v>
      </c>
    </row>
    <row r="79" spans="1:11">
      <c r="A79" s="166" t="s">
        <v>190</v>
      </c>
      <c r="B79" s="167">
        <v>1078</v>
      </c>
      <c r="C79" s="168">
        <v>2877</v>
      </c>
      <c r="D79" s="168" t="s">
        <v>187</v>
      </c>
      <c r="E79" s="169">
        <v>11.4</v>
      </c>
      <c r="F79" s="169">
        <v>16.3</v>
      </c>
      <c r="G79" s="169">
        <f t="shared" si="4"/>
        <v>4.9000000000000004</v>
      </c>
      <c r="H79" s="169">
        <f t="shared" si="5"/>
        <v>0.49000000000000005</v>
      </c>
      <c r="I79" s="168" t="s">
        <v>162</v>
      </c>
      <c r="J79" s="168" t="s">
        <v>161</v>
      </c>
      <c r="K79" s="168" t="s">
        <v>160</v>
      </c>
    </row>
    <row r="80" spans="1:11">
      <c r="A80" s="166" t="s">
        <v>189</v>
      </c>
      <c r="B80" s="167">
        <v>1079</v>
      </c>
      <c r="C80" s="168">
        <v>2877</v>
      </c>
      <c r="D80" s="168" t="s">
        <v>187</v>
      </c>
      <c r="E80" s="169">
        <v>11.4</v>
      </c>
      <c r="F80" s="169">
        <v>16.3</v>
      </c>
      <c r="G80" s="169">
        <f t="shared" si="4"/>
        <v>4.9000000000000004</v>
      </c>
      <c r="H80" s="169">
        <f t="shared" si="5"/>
        <v>0.49000000000000005</v>
      </c>
      <c r="I80" s="168" t="s">
        <v>162</v>
      </c>
      <c r="J80" s="168" t="s">
        <v>161</v>
      </c>
      <c r="K80" s="168" t="s">
        <v>173</v>
      </c>
    </row>
    <row r="81" spans="1:11">
      <c r="A81" s="166" t="s">
        <v>189</v>
      </c>
      <c r="B81" s="167">
        <v>1080</v>
      </c>
      <c r="C81" s="168">
        <v>4421</v>
      </c>
      <c r="D81" s="168" t="s">
        <v>163</v>
      </c>
      <c r="E81" s="169">
        <v>45</v>
      </c>
      <c r="F81" s="169">
        <v>87</v>
      </c>
      <c r="G81" s="169">
        <f t="shared" si="4"/>
        <v>42</v>
      </c>
      <c r="H81" s="169">
        <f t="shared" si="5"/>
        <v>8.4</v>
      </c>
      <c r="I81" s="168" t="s">
        <v>170</v>
      </c>
      <c r="J81" s="168" t="s">
        <v>169</v>
      </c>
      <c r="K81" s="168" t="s">
        <v>165</v>
      </c>
    </row>
    <row r="82" spans="1:11">
      <c r="A82" s="166" t="s">
        <v>189</v>
      </c>
      <c r="B82" s="167">
        <v>1081</v>
      </c>
      <c r="C82" s="168">
        <v>6119</v>
      </c>
      <c r="D82" s="168" t="s">
        <v>188</v>
      </c>
      <c r="E82" s="169">
        <v>9</v>
      </c>
      <c r="F82" s="169">
        <v>14</v>
      </c>
      <c r="G82" s="169">
        <f t="shared" si="4"/>
        <v>5</v>
      </c>
      <c r="H82" s="169">
        <f t="shared" si="5"/>
        <v>0.5</v>
      </c>
      <c r="I82" s="168" t="s">
        <v>170</v>
      </c>
      <c r="J82" s="168" t="s">
        <v>169</v>
      </c>
      <c r="K82" s="168" t="s">
        <v>168</v>
      </c>
    </row>
    <row r="83" spans="1:11">
      <c r="A83" s="166" t="s">
        <v>189</v>
      </c>
      <c r="B83" s="167">
        <v>1082</v>
      </c>
      <c r="C83" s="168">
        <v>1109</v>
      </c>
      <c r="D83" s="168" t="s">
        <v>185</v>
      </c>
      <c r="E83" s="169">
        <v>3</v>
      </c>
      <c r="F83" s="169">
        <v>8</v>
      </c>
      <c r="G83" s="169">
        <f t="shared" si="4"/>
        <v>5</v>
      </c>
      <c r="H83" s="169">
        <f t="shared" si="5"/>
        <v>0.5</v>
      </c>
      <c r="I83" s="168" t="s">
        <v>167</v>
      </c>
      <c r="J83" s="168" t="s">
        <v>166</v>
      </c>
      <c r="K83" s="168" t="s">
        <v>165</v>
      </c>
    </row>
    <row r="84" spans="1:11">
      <c r="A84" s="166" t="s">
        <v>189</v>
      </c>
      <c r="B84" s="167">
        <v>1083</v>
      </c>
      <c r="C84" s="168">
        <v>1109</v>
      </c>
      <c r="D84" s="168" t="s">
        <v>185</v>
      </c>
      <c r="E84" s="169">
        <v>3</v>
      </c>
      <c r="F84" s="169">
        <v>8</v>
      </c>
      <c r="G84" s="169">
        <f t="shared" si="4"/>
        <v>5</v>
      </c>
      <c r="H84" s="169">
        <f t="shared" si="5"/>
        <v>0.5</v>
      </c>
      <c r="I84" s="168" t="s">
        <v>167</v>
      </c>
      <c r="J84" s="168" t="s">
        <v>166</v>
      </c>
      <c r="K84" s="168" t="s">
        <v>160</v>
      </c>
    </row>
    <row r="85" spans="1:11">
      <c r="A85" s="166" t="s">
        <v>189</v>
      </c>
      <c r="B85" s="167">
        <v>1084</v>
      </c>
      <c r="C85" s="168">
        <v>6119</v>
      </c>
      <c r="D85" s="168" t="s">
        <v>188</v>
      </c>
      <c r="E85" s="169">
        <v>9</v>
      </c>
      <c r="F85" s="169">
        <v>14</v>
      </c>
      <c r="G85" s="169">
        <f t="shared" si="4"/>
        <v>5</v>
      </c>
      <c r="H85" s="169">
        <f t="shared" si="5"/>
        <v>0.5</v>
      </c>
      <c r="I85" s="168" t="s">
        <v>167</v>
      </c>
      <c r="J85" s="168" t="s">
        <v>166</v>
      </c>
      <c r="K85" s="168" t="s">
        <v>176</v>
      </c>
    </row>
    <row r="86" spans="1:11">
      <c r="A86" s="166" t="s">
        <v>189</v>
      </c>
      <c r="B86" s="167">
        <v>1085</v>
      </c>
      <c r="C86" s="168">
        <v>9822</v>
      </c>
      <c r="D86" s="168" t="s">
        <v>172</v>
      </c>
      <c r="E86" s="169">
        <v>58.3</v>
      </c>
      <c r="F86" s="169">
        <v>98.4</v>
      </c>
      <c r="G86" s="169">
        <f t="shared" si="4"/>
        <v>40.100000000000009</v>
      </c>
      <c r="H86" s="169">
        <f t="shared" si="5"/>
        <v>8.0200000000000014</v>
      </c>
      <c r="I86" s="168" t="s">
        <v>170</v>
      </c>
      <c r="J86" s="168" t="s">
        <v>169</v>
      </c>
      <c r="K86" s="168" t="s">
        <v>160</v>
      </c>
    </row>
    <row r="87" spans="1:11">
      <c r="A87" s="166" t="s">
        <v>189</v>
      </c>
      <c r="B87" s="167">
        <v>1086</v>
      </c>
      <c r="C87" s="168">
        <v>1109</v>
      </c>
      <c r="D87" s="168" t="s">
        <v>185</v>
      </c>
      <c r="E87" s="169">
        <v>3</v>
      </c>
      <c r="F87" s="169">
        <v>8</v>
      </c>
      <c r="G87" s="169">
        <f t="shared" si="4"/>
        <v>5</v>
      </c>
      <c r="H87" s="169">
        <f t="shared" si="5"/>
        <v>0.5</v>
      </c>
      <c r="I87" s="168" t="s">
        <v>179</v>
      </c>
      <c r="J87" s="168" t="s">
        <v>178</v>
      </c>
      <c r="K87" s="168" t="s">
        <v>176</v>
      </c>
    </row>
    <row r="88" spans="1:11">
      <c r="A88" s="166" t="s">
        <v>189</v>
      </c>
      <c r="B88" s="167">
        <v>1087</v>
      </c>
      <c r="C88" s="168">
        <v>2499</v>
      </c>
      <c r="D88" s="168" t="s">
        <v>186</v>
      </c>
      <c r="E88" s="169">
        <v>6.2</v>
      </c>
      <c r="F88" s="169">
        <v>9.1999999999999993</v>
      </c>
      <c r="G88" s="169">
        <f t="shared" si="4"/>
        <v>2.9999999999999991</v>
      </c>
      <c r="H88" s="169">
        <f t="shared" si="5"/>
        <v>0.29999999999999993</v>
      </c>
      <c r="I88" s="168" t="s">
        <v>167</v>
      </c>
      <c r="J88" s="168" t="s">
        <v>166</v>
      </c>
      <c r="K88" s="168" t="s">
        <v>165</v>
      </c>
    </row>
    <row r="89" spans="1:11">
      <c r="A89" s="166" t="s">
        <v>189</v>
      </c>
      <c r="B89" s="167">
        <v>1088</v>
      </c>
      <c r="C89" s="168">
        <v>2499</v>
      </c>
      <c r="D89" s="168" t="s">
        <v>186</v>
      </c>
      <c r="E89" s="169">
        <v>6.2</v>
      </c>
      <c r="F89" s="169">
        <v>9.1999999999999993</v>
      </c>
      <c r="G89" s="169">
        <f t="shared" si="4"/>
        <v>2.9999999999999991</v>
      </c>
      <c r="H89" s="169">
        <f t="shared" si="5"/>
        <v>0.29999999999999993</v>
      </c>
      <c r="I89" s="168" t="s">
        <v>167</v>
      </c>
      <c r="J89" s="168" t="s">
        <v>166</v>
      </c>
      <c r="K89" s="168" t="s">
        <v>173</v>
      </c>
    </row>
    <row r="90" spans="1:11">
      <c r="A90" s="166" t="s">
        <v>189</v>
      </c>
      <c r="B90" s="167">
        <v>1089</v>
      </c>
      <c r="C90" s="168">
        <v>6119</v>
      </c>
      <c r="D90" s="168" t="s">
        <v>188</v>
      </c>
      <c r="E90" s="169">
        <v>9</v>
      </c>
      <c r="F90" s="169">
        <v>14</v>
      </c>
      <c r="G90" s="169">
        <f t="shared" si="4"/>
        <v>5</v>
      </c>
      <c r="H90" s="169">
        <f t="shared" si="5"/>
        <v>0.5</v>
      </c>
      <c r="I90" s="168" t="s">
        <v>170</v>
      </c>
      <c r="J90" s="168" t="s">
        <v>169</v>
      </c>
      <c r="K90" s="168" t="s">
        <v>160</v>
      </c>
    </row>
    <row r="91" spans="1:11">
      <c r="A91" s="166" t="s">
        <v>189</v>
      </c>
      <c r="B91" s="167">
        <v>1090</v>
      </c>
      <c r="C91" s="168">
        <v>2877</v>
      </c>
      <c r="D91" s="168" t="s">
        <v>187</v>
      </c>
      <c r="E91" s="169">
        <v>11.4</v>
      </c>
      <c r="F91" s="169">
        <v>16.3</v>
      </c>
      <c r="G91" s="169">
        <f t="shared" si="4"/>
        <v>4.9000000000000004</v>
      </c>
      <c r="H91" s="169">
        <f t="shared" si="5"/>
        <v>0.49000000000000005</v>
      </c>
      <c r="I91" s="168" t="s">
        <v>167</v>
      </c>
      <c r="J91" s="168" t="s">
        <v>166</v>
      </c>
      <c r="K91" s="168" t="s">
        <v>165</v>
      </c>
    </row>
    <row r="92" spans="1:11">
      <c r="A92" s="166" t="s">
        <v>189</v>
      </c>
      <c r="B92" s="167">
        <v>1091</v>
      </c>
      <c r="C92" s="168">
        <v>2877</v>
      </c>
      <c r="D92" s="168" t="s">
        <v>187</v>
      </c>
      <c r="E92" s="169">
        <v>11.4</v>
      </c>
      <c r="F92" s="169">
        <v>16.3</v>
      </c>
      <c r="G92" s="169">
        <f t="shared" si="4"/>
        <v>4.9000000000000004</v>
      </c>
      <c r="H92" s="169">
        <f t="shared" si="5"/>
        <v>0.49000000000000005</v>
      </c>
      <c r="I92" s="168" t="s">
        <v>179</v>
      </c>
      <c r="J92" s="168" t="s">
        <v>178</v>
      </c>
      <c r="K92" s="168" t="s">
        <v>160</v>
      </c>
    </row>
    <row r="93" spans="1:11">
      <c r="A93" s="166" t="s">
        <v>189</v>
      </c>
      <c r="B93" s="167">
        <v>1092</v>
      </c>
      <c r="C93" s="168">
        <v>2877</v>
      </c>
      <c r="D93" s="168" t="s">
        <v>187</v>
      </c>
      <c r="E93" s="169">
        <v>11.4</v>
      </c>
      <c r="F93" s="169">
        <v>16.3</v>
      </c>
      <c r="G93" s="169">
        <f t="shared" si="4"/>
        <v>4.9000000000000004</v>
      </c>
      <c r="H93" s="169">
        <f t="shared" si="5"/>
        <v>0.49000000000000005</v>
      </c>
      <c r="I93" s="168" t="s">
        <v>170</v>
      </c>
      <c r="J93" s="168" t="s">
        <v>169</v>
      </c>
      <c r="K93" s="168" t="s">
        <v>165</v>
      </c>
    </row>
    <row r="94" spans="1:11">
      <c r="A94" s="166" t="s">
        <v>189</v>
      </c>
      <c r="B94" s="167">
        <v>1093</v>
      </c>
      <c r="C94" s="168">
        <v>6119</v>
      </c>
      <c r="D94" s="168" t="s">
        <v>188</v>
      </c>
      <c r="E94" s="169">
        <v>9</v>
      </c>
      <c r="F94" s="169">
        <v>14</v>
      </c>
      <c r="G94" s="169">
        <f t="shared" si="4"/>
        <v>5</v>
      </c>
      <c r="H94" s="169">
        <f t="shared" si="5"/>
        <v>0.5</v>
      </c>
      <c r="I94" s="168" t="s">
        <v>162</v>
      </c>
      <c r="J94" s="168" t="s">
        <v>161</v>
      </c>
      <c r="K94" s="168" t="s">
        <v>176</v>
      </c>
    </row>
    <row r="95" spans="1:11">
      <c r="A95" s="166" t="s">
        <v>189</v>
      </c>
      <c r="B95" s="167">
        <v>1094</v>
      </c>
      <c r="C95" s="168">
        <v>6119</v>
      </c>
      <c r="D95" s="168" t="s">
        <v>188</v>
      </c>
      <c r="E95" s="169">
        <v>9</v>
      </c>
      <c r="F95" s="169">
        <v>14</v>
      </c>
      <c r="G95" s="169">
        <f t="shared" si="4"/>
        <v>5</v>
      </c>
      <c r="H95" s="169">
        <f t="shared" si="5"/>
        <v>0.5</v>
      </c>
      <c r="I95" s="168" t="s">
        <v>170</v>
      </c>
      <c r="J95" s="168" t="s">
        <v>169</v>
      </c>
      <c r="K95" s="168" t="s">
        <v>165</v>
      </c>
    </row>
    <row r="96" spans="1:11">
      <c r="A96" s="166" t="s">
        <v>189</v>
      </c>
      <c r="B96" s="167">
        <v>1095</v>
      </c>
      <c r="C96" s="168">
        <v>2499</v>
      </c>
      <c r="D96" s="168" t="s">
        <v>186</v>
      </c>
      <c r="E96" s="169">
        <v>6.2</v>
      </c>
      <c r="F96" s="169">
        <v>9.1999999999999993</v>
      </c>
      <c r="G96" s="169">
        <f t="shared" si="4"/>
        <v>2.9999999999999991</v>
      </c>
      <c r="H96" s="169">
        <f t="shared" si="5"/>
        <v>0.29999999999999993</v>
      </c>
      <c r="I96" s="168" t="s">
        <v>179</v>
      </c>
      <c r="J96" s="168" t="s">
        <v>178</v>
      </c>
      <c r="K96" s="168" t="s">
        <v>176</v>
      </c>
    </row>
    <row r="97" spans="1:11">
      <c r="A97" s="166" t="s">
        <v>189</v>
      </c>
      <c r="B97" s="167">
        <v>1096</v>
      </c>
      <c r="C97" s="168">
        <v>6119</v>
      </c>
      <c r="D97" s="168" t="s">
        <v>188</v>
      </c>
      <c r="E97" s="169">
        <v>9</v>
      </c>
      <c r="F97" s="169">
        <v>14</v>
      </c>
      <c r="G97" s="169">
        <f t="shared" si="4"/>
        <v>5</v>
      </c>
      <c r="H97" s="169">
        <f t="shared" si="5"/>
        <v>0.5</v>
      </c>
      <c r="I97" s="168" t="s">
        <v>170</v>
      </c>
      <c r="J97" s="168" t="s">
        <v>169</v>
      </c>
      <c r="K97" s="168" t="s">
        <v>176</v>
      </c>
    </row>
    <row r="98" spans="1:11">
      <c r="A98" s="166" t="s">
        <v>189</v>
      </c>
      <c r="B98" s="167">
        <v>1097</v>
      </c>
      <c r="C98" s="168">
        <v>9212</v>
      </c>
      <c r="D98" s="168" t="s">
        <v>177</v>
      </c>
      <c r="E98" s="169">
        <v>4</v>
      </c>
      <c r="F98" s="169">
        <v>7</v>
      </c>
      <c r="G98" s="169">
        <f t="shared" ref="G98:G129" si="6">F98-E98</f>
        <v>3</v>
      </c>
      <c r="H98" s="169">
        <f t="shared" ref="H98:H129" si="7">IF(F98&gt;50,G98*0.2,G98*0.1)</f>
        <v>0.30000000000000004</v>
      </c>
      <c r="I98" s="168" t="s">
        <v>179</v>
      </c>
      <c r="J98" s="168" t="s">
        <v>178</v>
      </c>
      <c r="K98" s="168" t="s">
        <v>160</v>
      </c>
    </row>
    <row r="99" spans="1:11">
      <c r="A99" s="166" t="s">
        <v>189</v>
      </c>
      <c r="B99" s="167">
        <v>1098</v>
      </c>
      <c r="C99" s="168">
        <v>2877</v>
      </c>
      <c r="D99" s="168" t="s">
        <v>187</v>
      </c>
      <c r="E99" s="169">
        <v>11.4</v>
      </c>
      <c r="F99" s="169">
        <v>16.3</v>
      </c>
      <c r="G99" s="169">
        <f t="shared" si="6"/>
        <v>4.9000000000000004</v>
      </c>
      <c r="H99" s="169">
        <f t="shared" si="7"/>
        <v>0.49000000000000005</v>
      </c>
      <c r="I99" s="168" t="s">
        <v>162</v>
      </c>
      <c r="J99" s="168" t="s">
        <v>161</v>
      </c>
      <c r="K99" s="168" t="s">
        <v>173</v>
      </c>
    </row>
    <row r="100" spans="1:11">
      <c r="A100" s="166" t="s">
        <v>184</v>
      </c>
      <c r="B100" s="167">
        <v>1099</v>
      </c>
      <c r="C100" s="168">
        <v>2877</v>
      </c>
      <c r="D100" s="168" t="s">
        <v>187</v>
      </c>
      <c r="E100" s="169">
        <v>11.4</v>
      </c>
      <c r="F100" s="169">
        <v>16.3</v>
      </c>
      <c r="G100" s="169">
        <f t="shared" si="6"/>
        <v>4.9000000000000004</v>
      </c>
      <c r="H100" s="169">
        <f t="shared" si="7"/>
        <v>0.49000000000000005</v>
      </c>
      <c r="I100" s="168" t="s">
        <v>170</v>
      </c>
      <c r="J100" s="168" t="s">
        <v>169</v>
      </c>
      <c r="K100" s="168" t="s">
        <v>165</v>
      </c>
    </row>
    <row r="101" spans="1:11">
      <c r="A101" s="166" t="s">
        <v>184</v>
      </c>
      <c r="B101" s="167">
        <v>1100</v>
      </c>
      <c r="C101" s="168">
        <v>6119</v>
      </c>
      <c r="D101" s="168" t="s">
        <v>188</v>
      </c>
      <c r="E101" s="169">
        <v>9</v>
      </c>
      <c r="F101" s="169">
        <v>14</v>
      </c>
      <c r="G101" s="169">
        <f t="shared" si="6"/>
        <v>5</v>
      </c>
      <c r="H101" s="169">
        <f t="shared" si="7"/>
        <v>0.5</v>
      </c>
      <c r="I101" s="168" t="s">
        <v>167</v>
      </c>
      <c r="J101" s="168" t="s">
        <v>166</v>
      </c>
      <c r="K101" s="168" t="s">
        <v>168</v>
      </c>
    </row>
    <row r="102" spans="1:11">
      <c r="A102" s="166" t="s">
        <v>184</v>
      </c>
      <c r="B102" s="167">
        <v>1101</v>
      </c>
      <c r="C102" s="168">
        <v>2499</v>
      </c>
      <c r="D102" s="168" t="s">
        <v>186</v>
      </c>
      <c r="E102" s="169">
        <v>6.2</v>
      </c>
      <c r="F102" s="169">
        <v>9.1999999999999993</v>
      </c>
      <c r="G102" s="169">
        <f t="shared" si="6"/>
        <v>2.9999999999999991</v>
      </c>
      <c r="H102" s="169">
        <f t="shared" si="7"/>
        <v>0.29999999999999993</v>
      </c>
      <c r="I102" s="168" t="s">
        <v>170</v>
      </c>
      <c r="J102" s="168" t="s">
        <v>169</v>
      </c>
      <c r="K102" s="168" t="s">
        <v>165</v>
      </c>
    </row>
    <row r="103" spans="1:11">
      <c r="A103" s="166" t="s">
        <v>184</v>
      </c>
      <c r="B103" s="167">
        <v>1102</v>
      </c>
      <c r="C103" s="168">
        <v>2242</v>
      </c>
      <c r="D103" s="168" t="s">
        <v>174</v>
      </c>
      <c r="E103" s="169">
        <v>60</v>
      </c>
      <c r="F103" s="169">
        <v>124</v>
      </c>
      <c r="G103" s="169">
        <f t="shared" si="6"/>
        <v>64</v>
      </c>
      <c r="H103" s="169">
        <f t="shared" si="7"/>
        <v>12.8</v>
      </c>
      <c r="I103" s="168" t="s">
        <v>162</v>
      </c>
      <c r="J103" s="168" t="s">
        <v>161</v>
      </c>
      <c r="K103" s="168" t="s">
        <v>160</v>
      </c>
    </row>
    <row r="104" spans="1:11">
      <c r="A104" s="166" t="s">
        <v>184</v>
      </c>
      <c r="B104" s="167">
        <v>1103</v>
      </c>
      <c r="C104" s="168">
        <v>2877</v>
      </c>
      <c r="D104" s="168" t="s">
        <v>187</v>
      </c>
      <c r="E104" s="169">
        <v>11.4</v>
      </c>
      <c r="F104" s="169">
        <v>16.3</v>
      </c>
      <c r="G104" s="169">
        <f t="shared" si="6"/>
        <v>4.9000000000000004</v>
      </c>
      <c r="H104" s="169">
        <f t="shared" si="7"/>
        <v>0.49000000000000005</v>
      </c>
      <c r="I104" s="168" t="s">
        <v>162</v>
      </c>
      <c r="J104" s="168" t="s">
        <v>161</v>
      </c>
      <c r="K104" s="168" t="s">
        <v>176</v>
      </c>
    </row>
    <row r="105" spans="1:11">
      <c r="A105" s="166" t="s">
        <v>184</v>
      </c>
      <c r="B105" s="167">
        <v>1104</v>
      </c>
      <c r="C105" s="168">
        <v>2877</v>
      </c>
      <c r="D105" s="168" t="s">
        <v>187</v>
      </c>
      <c r="E105" s="169">
        <v>11.4</v>
      </c>
      <c r="F105" s="169">
        <v>16.3</v>
      </c>
      <c r="G105" s="169">
        <f t="shared" si="6"/>
        <v>4.9000000000000004</v>
      </c>
      <c r="H105" s="169">
        <f t="shared" si="7"/>
        <v>0.49000000000000005</v>
      </c>
      <c r="I105" s="168" t="s">
        <v>170</v>
      </c>
      <c r="J105" s="168" t="s">
        <v>169</v>
      </c>
      <c r="K105" s="168" t="s">
        <v>160</v>
      </c>
    </row>
    <row r="106" spans="1:11">
      <c r="A106" s="166" t="s">
        <v>184</v>
      </c>
      <c r="B106" s="167">
        <v>1105</v>
      </c>
      <c r="C106" s="168">
        <v>2499</v>
      </c>
      <c r="D106" s="168" t="s">
        <v>186</v>
      </c>
      <c r="E106" s="169">
        <v>6.2</v>
      </c>
      <c r="F106" s="169">
        <v>9.1999999999999993</v>
      </c>
      <c r="G106" s="169">
        <f t="shared" si="6"/>
        <v>2.9999999999999991</v>
      </c>
      <c r="H106" s="169">
        <f t="shared" si="7"/>
        <v>0.29999999999999993</v>
      </c>
      <c r="I106" s="168" t="s">
        <v>162</v>
      </c>
      <c r="J106" s="168" t="s">
        <v>161</v>
      </c>
      <c r="K106" s="168" t="s">
        <v>176</v>
      </c>
    </row>
    <row r="107" spans="1:11">
      <c r="A107" s="166" t="s">
        <v>184</v>
      </c>
      <c r="B107" s="167">
        <v>1106</v>
      </c>
      <c r="C107" s="168">
        <v>9822</v>
      </c>
      <c r="D107" s="168" t="s">
        <v>172</v>
      </c>
      <c r="E107" s="169">
        <v>58.3</v>
      </c>
      <c r="F107" s="169">
        <v>98.4</v>
      </c>
      <c r="G107" s="169">
        <f t="shared" si="6"/>
        <v>40.100000000000009</v>
      </c>
      <c r="H107" s="169">
        <f t="shared" si="7"/>
        <v>8.0200000000000014</v>
      </c>
      <c r="I107" s="168" t="s">
        <v>162</v>
      </c>
      <c r="J107" s="168" t="s">
        <v>161</v>
      </c>
      <c r="K107" s="168" t="s">
        <v>165</v>
      </c>
    </row>
    <row r="108" spans="1:11">
      <c r="A108" s="166" t="s">
        <v>184</v>
      </c>
      <c r="B108" s="167">
        <v>1107</v>
      </c>
      <c r="C108" s="168">
        <v>1109</v>
      </c>
      <c r="D108" s="168" t="s">
        <v>185</v>
      </c>
      <c r="E108" s="169">
        <v>3</v>
      </c>
      <c r="F108" s="169">
        <v>8</v>
      </c>
      <c r="G108" s="169">
        <f t="shared" si="6"/>
        <v>5</v>
      </c>
      <c r="H108" s="169">
        <f t="shared" si="7"/>
        <v>0.5</v>
      </c>
      <c r="I108" s="168" t="s">
        <v>179</v>
      </c>
      <c r="J108" s="168" t="s">
        <v>178</v>
      </c>
      <c r="K108" s="168" t="s">
        <v>173</v>
      </c>
    </row>
    <row r="109" spans="1:11">
      <c r="A109" s="166" t="s">
        <v>184</v>
      </c>
      <c r="B109" s="167">
        <v>1108</v>
      </c>
      <c r="C109" s="168">
        <v>9822</v>
      </c>
      <c r="D109" s="168" t="s">
        <v>172</v>
      </c>
      <c r="E109" s="169">
        <v>58.3</v>
      </c>
      <c r="F109" s="169">
        <v>98.4</v>
      </c>
      <c r="G109" s="169">
        <f t="shared" si="6"/>
        <v>40.100000000000009</v>
      </c>
      <c r="H109" s="169">
        <f t="shared" si="7"/>
        <v>8.0200000000000014</v>
      </c>
      <c r="I109" s="168" t="s">
        <v>170</v>
      </c>
      <c r="J109" s="168" t="s">
        <v>169</v>
      </c>
      <c r="K109" s="168" t="s">
        <v>160</v>
      </c>
    </row>
    <row r="110" spans="1:11">
      <c r="A110" s="166" t="s">
        <v>184</v>
      </c>
      <c r="B110" s="167">
        <v>1109</v>
      </c>
      <c r="C110" s="168">
        <v>8722</v>
      </c>
      <c r="D110" s="168" t="s">
        <v>171</v>
      </c>
      <c r="E110" s="169">
        <v>344</v>
      </c>
      <c r="F110" s="169">
        <v>502</v>
      </c>
      <c r="G110" s="169">
        <f t="shared" si="6"/>
        <v>158</v>
      </c>
      <c r="H110" s="169">
        <f t="shared" si="7"/>
        <v>31.6</v>
      </c>
      <c r="I110" s="168" t="s">
        <v>162</v>
      </c>
      <c r="J110" s="168" t="s">
        <v>161</v>
      </c>
      <c r="K110" s="168" t="s">
        <v>165</v>
      </c>
    </row>
    <row r="111" spans="1:11">
      <c r="A111" s="166" t="s">
        <v>184</v>
      </c>
      <c r="B111" s="167">
        <v>1110</v>
      </c>
      <c r="C111" s="168">
        <v>8722</v>
      </c>
      <c r="D111" s="168" t="s">
        <v>171</v>
      </c>
      <c r="E111" s="169">
        <v>344</v>
      </c>
      <c r="F111" s="169">
        <v>502</v>
      </c>
      <c r="G111" s="169">
        <f t="shared" si="6"/>
        <v>158</v>
      </c>
      <c r="H111" s="169">
        <f t="shared" si="7"/>
        <v>31.6</v>
      </c>
      <c r="I111" s="168" t="s">
        <v>179</v>
      </c>
      <c r="J111" s="168" t="s">
        <v>178</v>
      </c>
      <c r="K111" s="168" t="s">
        <v>160</v>
      </c>
    </row>
    <row r="112" spans="1:11">
      <c r="A112" s="166" t="s">
        <v>184</v>
      </c>
      <c r="B112" s="167">
        <v>1111</v>
      </c>
      <c r="C112" s="168">
        <v>6622</v>
      </c>
      <c r="D112" s="168" t="s">
        <v>180</v>
      </c>
      <c r="E112" s="169">
        <v>42</v>
      </c>
      <c r="F112" s="169">
        <v>77</v>
      </c>
      <c r="G112" s="169">
        <f t="shared" si="6"/>
        <v>35</v>
      </c>
      <c r="H112" s="169">
        <f t="shared" si="7"/>
        <v>7</v>
      </c>
      <c r="I112" s="168" t="s">
        <v>179</v>
      </c>
      <c r="J112" s="168" t="s">
        <v>178</v>
      </c>
      <c r="K112" s="168" t="s">
        <v>165</v>
      </c>
    </row>
    <row r="113" spans="1:11">
      <c r="A113" s="166" t="s">
        <v>184</v>
      </c>
      <c r="B113" s="167">
        <v>1112</v>
      </c>
      <c r="C113" s="168">
        <v>6622</v>
      </c>
      <c r="D113" s="168" t="s">
        <v>180</v>
      </c>
      <c r="E113" s="169">
        <v>42</v>
      </c>
      <c r="F113" s="169">
        <v>77</v>
      </c>
      <c r="G113" s="169">
        <f t="shared" si="6"/>
        <v>35</v>
      </c>
      <c r="H113" s="169">
        <f t="shared" si="7"/>
        <v>7</v>
      </c>
      <c r="I113" s="168" t="s">
        <v>170</v>
      </c>
      <c r="J113" s="168" t="s">
        <v>169</v>
      </c>
      <c r="K113" s="168" t="s">
        <v>176</v>
      </c>
    </row>
    <row r="114" spans="1:11">
      <c r="A114" s="166" t="s">
        <v>184</v>
      </c>
      <c r="B114" s="167">
        <v>1113</v>
      </c>
      <c r="C114" s="168">
        <v>9822</v>
      </c>
      <c r="D114" s="168" t="s">
        <v>172</v>
      </c>
      <c r="E114" s="169">
        <v>58.3</v>
      </c>
      <c r="F114" s="169">
        <v>98.4</v>
      </c>
      <c r="G114" s="169">
        <f t="shared" si="6"/>
        <v>40.100000000000009</v>
      </c>
      <c r="H114" s="169">
        <f t="shared" si="7"/>
        <v>8.0200000000000014</v>
      </c>
      <c r="I114" s="168" t="s">
        <v>167</v>
      </c>
      <c r="J114" s="168" t="s">
        <v>166</v>
      </c>
      <c r="K114" s="168" t="s">
        <v>165</v>
      </c>
    </row>
    <row r="115" spans="1:11">
      <c r="A115" s="166" t="s">
        <v>184</v>
      </c>
      <c r="B115" s="167">
        <v>1114</v>
      </c>
      <c r="C115" s="168">
        <v>2242</v>
      </c>
      <c r="D115" s="168" t="s">
        <v>174</v>
      </c>
      <c r="E115" s="169">
        <v>60</v>
      </c>
      <c r="F115" s="169">
        <v>124</v>
      </c>
      <c r="G115" s="169">
        <f t="shared" si="6"/>
        <v>64</v>
      </c>
      <c r="H115" s="169">
        <f t="shared" si="7"/>
        <v>12.8</v>
      </c>
      <c r="I115" s="168" t="s">
        <v>162</v>
      </c>
      <c r="J115" s="168" t="s">
        <v>161</v>
      </c>
      <c r="K115" s="168" t="s">
        <v>176</v>
      </c>
    </row>
    <row r="116" spans="1:11">
      <c r="A116" s="166" t="s">
        <v>184</v>
      </c>
      <c r="B116" s="167">
        <v>1115</v>
      </c>
      <c r="C116" s="168">
        <v>8722</v>
      </c>
      <c r="D116" s="168" t="s">
        <v>171</v>
      </c>
      <c r="E116" s="169">
        <v>344</v>
      </c>
      <c r="F116" s="169">
        <v>502</v>
      </c>
      <c r="G116" s="169">
        <f t="shared" si="6"/>
        <v>158</v>
      </c>
      <c r="H116" s="169">
        <f t="shared" si="7"/>
        <v>31.6</v>
      </c>
      <c r="I116" s="168" t="s">
        <v>167</v>
      </c>
      <c r="J116" s="168" t="s">
        <v>166</v>
      </c>
      <c r="K116" s="168" t="s">
        <v>176</v>
      </c>
    </row>
    <row r="117" spans="1:11">
      <c r="A117" s="166" t="s">
        <v>184</v>
      </c>
      <c r="B117" s="167">
        <v>1116</v>
      </c>
      <c r="C117" s="168">
        <v>6622</v>
      </c>
      <c r="D117" s="168" t="s">
        <v>180</v>
      </c>
      <c r="E117" s="169">
        <v>42</v>
      </c>
      <c r="F117" s="169">
        <v>77</v>
      </c>
      <c r="G117" s="169">
        <f t="shared" si="6"/>
        <v>35</v>
      </c>
      <c r="H117" s="169">
        <f t="shared" si="7"/>
        <v>7</v>
      </c>
      <c r="I117" s="168" t="s">
        <v>170</v>
      </c>
      <c r="J117" s="168" t="s">
        <v>169</v>
      </c>
      <c r="K117" s="168" t="s">
        <v>160</v>
      </c>
    </row>
    <row r="118" spans="1:11">
      <c r="A118" s="166" t="s">
        <v>184</v>
      </c>
      <c r="B118" s="167">
        <v>1117</v>
      </c>
      <c r="C118" s="168">
        <v>8722</v>
      </c>
      <c r="D118" s="168" t="s">
        <v>171</v>
      </c>
      <c r="E118" s="169">
        <v>344</v>
      </c>
      <c r="F118" s="169">
        <v>502</v>
      </c>
      <c r="G118" s="169">
        <f t="shared" si="6"/>
        <v>158</v>
      </c>
      <c r="H118" s="169">
        <f t="shared" si="7"/>
        <v>31.6</v>
      </c>
      <c r="I118" s="168" t="s">
        <v>179</v>
      </c>
      <c r="J118" s="168" t="s">
        <v>178</v>
      </c>
      <c r="K118" s="168" t="s">
        <v>173</v>
      </c>
    </row>
    <row r="119" spans="1:11">
      <c r="A119" s="166" t="s">
        <v>184</v>
      </c>
      <c r="B119" s="167">
        <v>1118</v>
      </c>
      <c r="C119" s="168">
        <v>9822</v>
      </c>
      <c r="D119" s="168" t="s">
        <v>172</v>
      </c>
      <c r="E119" s="169">
        <v>58.3</v>
      </c>
      <c r="F119" s="169">
        <v>98.4</v>
      </c>
      <c r="G119" s="169">
        <f t="shared" si="6"/>
        <v>40.100000000000009</v>
      </c>
      <c r="H119" s="169">
        <f t="shared" si="7"/>
        <v>8.0200000000000014</v>
      </c>
      <c r="I119" s="168" t="s">
        <v>162</v>
      </c>
      <c r="J119" s="168" t="s">
        <v>161</v>
      </c>
      <c r="K119" s="168" t="s">
        <v>165</v>
      </c>
    </row>
    <row r="120" spans="1:11">
      <c r="A120" s="166" t="s">
        <v>184</v>
      </c>
      <c r="B120" s="167">
        <v>1119</v>
      </c>
      <c r="C120" s="168">
        <v>2242</v>
      </c>
      <c r="D120" s="168" t="s">
        <v>174</v>
      </c>
      <c r="E120" s="169">
        <v>60</v>
      </c>
      <c r="F120" s="169">
        <v>124</v>
      </c>
      <c r="G120" s="169">
        <f t="shared" si="6"/>
        <v>64</v>
      </c>
      <c r="H120" s="169">
        <f t="shared" si="7"/>
        <v>12.8</v>
      </c>
      <c r="I120" s="168" t="s">
        <v>167</v>
      </c>
      <c r="J120" s="168" t="s">
        <v>166</v>
      </c>
      <c r="K120" s="168" t="s">
        <v>168</v>
      </c>
    </row>
    <row r="121" spans="1:11">
      <c r="A121" s="166" t="s">
        <v>184</v>
      </c>
      <c r="B121" s="167">
        <v>1120</v>
      </c>
      <c r="C121" s="168">
        <v>2242</v>
      </c>
      <c r="D121" s="168" t="s">
        <v>174</v>
      </c>
      <c r="E121" s="169">
        <v>60</v>
      </c>
      <c r="F121" s="169">
        <v>124</v>
      </c>
      <c r="G121" s="169">
        <f t="shared" si="6"/>
        <v>64</v>
      </c>
      <c r="H121" s="169">
        <f t="shared" si="7"/>
        <v>12.8</v>
      </c>
      <c r="I121" s="168" t="s">
        <v>170</v>
      </c>
      <c r="J121" s="168" t="s">
        <v>169</v>
      </c>
      <c r="K121" s="168" t="s">
        <v>165</v>
      </c>
    </row>
    <row r="122" spans="1:11">
      <c r="A122" s="166" t="s">
        <v>184</v>
      </c>
      <c r="B122" s="167">
        <v>1121</v>
      </c>
      <c r="C122" s="168">
        <v>4421</v>
      </c>
      <c r="D122" s="168" t="s">
        <v>163</v>
      </c>
      <c r="E122" s="169">
        <v>45</v>
      </c>
      <c r="F122" s="169">
        <v>87</v>
      </c>
      <c r="G122" s="169">
        <f t="shared" si="6"/>
        <v>42</v>
      </c>
      <c r="H122" s="169">
        <f t="shared" si="7"/>
        <v>8.4</v>
      </c>
      <c r="I122" s="168" t="s">
        <v>170</v>
      </c>
      <c r="J122" s="168" t="s">
        <v>169</v>
      </c>
      <c r="K122" s="168" t="s">
        <v>160</v>
      </c>
    </row>
    <row r="123" spans="1:11">
      <c r="A123" s="166" t="s">
        <v>184</v>
      </c>
      <c r="B123" s="167">
        <v>1122</v>
      </c>
      <c r="C123" s="168">
        <v>8722</v>
      </c>
      <c r="D123" s="168" t="s">
        <v>171</v>
      </c>
      <c r="E123" s="169">
        <v>344</v>
      </c>
      <c r="F123" s="169">
        <v>502</v>
      </c>
      <c r="G123" s="169">
        <f t="shared" si="6"/>
        <v>158</v>
      </c>
      <c r="H123" s="169">
        <f t="shared" si="7"/>
        <v>31.6</v>
      </c>
      <c r="I123" s="168" t="s">
        <v>170</v>
      </c>
      <c r="J123" s="168" t="s">
        <v>169</v>
      </c>
      <c r="K123" s="168" t="s">
        <v>176</v>
      </c>
    </row>
    <row r="124" spans="1:11">
      <c r="A124" s="166" t="s">
        <v>184</v>
      </c>
      <c r="B124" s="167">
        <v>1123</v>
      </c>
      <c r="C124" s="168">
        <v>9822</v>
      </c>
      <c r="D124" s="168" t="s">
        <v>172</v>
      </c>
      <c r="E124" s="169">
        <v>58.3</v>
      </c>
      <c r="F124" s="169">
        <v>98.4</v>
      </c>
      <c r="G124" s="169">
        <f t="shared" si="6"/>
        <v>40.100000000000009</v>
      </c>
      <c r="H124" s="169">
        <f t="shared" si="7"/>
        <v>8.0200000000000014</v>
      </c>
      <c r="I124" s="168" t="s">
        <v>170</v>
      </c>
      <c r="J124" s="168" t="s">
        <v>169</v>
      </c>
      <c r="K124" s="168" t="s">
        <v>160</v>
      </c>
    </row>
    <row r="125" spans="1:11">
      <c r="A125" s="166" t="s">
        <v>184</v>
      </c>
      <c r="B125" s="167">
        <v>1124</v>
      </c>
      <c r="C125" s="168">
        <v>4421</v>
      </c>
      <c r="D125" s="168" t="s">
        <v>163</v>
      </c>
      <c r="E125" s="169">
        <v>45</v>
      </c>
      <c r="F125" s="169">
        <v>87</v>
      </c>
      <c r="G125" s="169">
        <f t="shared" si="6"/>
        <v>42</v>
      </c>
      <c r="H125" s="169">
        <f t="shared" si="7"/>
        <v>8.4</v>
      </c>
      <c r="I125" s="168" t="s">
        <v>170</v>
      </c>
      <c r="J125" s="168" t="s">
        <v>169</v>
      </c>
      <c r="K125" s="168" t="s">
        <v>176</v>
      </c>
    </row>
    <row r="126" spans="1:11">
      <c r="A126" s="166" t="s">
        <v>183</v>
      </c>
      <c r="B126" s="167">
        <v>1125</v>
      </c>
      <c r="C126" s="168">
        <v>2242</v>
      </c>
      <c r="D126" s="168" t="s">
        <v>174</v>
      </c>
      <c r="E126" s="169">
        <v>60</v>
      </c>
      <c r="F126" s="169">
        <v>124</v>
      </c>
      <c r="G126" s="169">
        <f t="shared" si="6"/>
        <v>64</v>
      </c>
      <c r="H126" s="169">
        <f t="shared" si="7"/>
        <v>12.8</v>
      </c>
      <c r="I126" s="168" t="s">
        <v>170</v>
      </c>
      <c r="J126" s="168" t="s">
        <v>169</v>
      </c>
      <c r="K126" s="168" t="s">
        <v>165</v>
      </c>
    </row>
    <row r="127" spans="1:11">
      <c r="A127" s="166" t="s">
        <v>183</v>
      </c>
      <c r="B127" s="167">
        <v>1126</v>
      </c>
      <c r="C127" s="168">
        <v>9212</v>
      </c>
      <c r="D127" s="168" t="s">
        <v>177</v>
      </c>
      <c r="E127" s="169">
        <v>4</v>
      </c>
      <c r="F127" s="169">
        <v>7</v>
      </c>
      <c r="G127" s="169">
        <f t="shared" si="6"/>
        <v>3</v>
      </c>
      <c r="H127" s="169">
        <f t="shared" si="7"/>
        <v>0.30000000000000004</v>
      </c>
      <c r="I127" s="168" t="s">
        <v>170</v>
      </c>
      <c r="J127" s="168" t="s">
        <v>169</v>
      </c>
      <c r="K127" s="168" t="s">
        <v>173</v>
      </c>
    </row>
    <row r="128" spans="1:11">
      <c r="A128" s="166" t="s">
        <v>183</v>
      </c>
      <c r="B128" s="167">
        <v>1127</v>
      </c>
      <c r="C128" s="168">
        <v>8722</v>
      </c>
      <c r="D128" s="168" t="s">
        <v>171</v>
      </c>
      <c r="E128" s="169">
        <v>344</v>
      </c>
      <c r="F128" s="169">
        <v>502</v>
      </c>
      <c r="G128" s="169">
        <f t="shared" si="6"/>
        <v>158</v>
      </c>
      <c r="H128" s="169">
        <f t="shared" si="7"/>
        <v>31.6</v>
      </c>
      <c r="I128" s="168" t="s">
        <v>167</v>
      </c>
      <c r="J128" s="168" t="s">
        <v>166</v>
      </c>
      <c r="K128" s="168" t="s">
        <v>160</v>
      </c>
    </row>
    <row r="129" spans="1:11">
      <c r="A129" s="166" t="s">
        <v>183</v>
      </c>
      <c r="B129" s="167">
        <v>1128</v>
      </c>
      <c r="C129" s="168">
        <v>6622</v>
      </c>
      <c r="D129" s="168" t="s">
        <v>180</v>
      </c>
      <c r="E129" s="169">
        <v>42</v>
      </c>
      <c r="F129" s="169">
        <v>77</v>
      </c>
      <c r="G129" s="169">
        <f t="shared" si="6"/>
        <v>35</v>
      </c>
      <c r="H129" s="169">
        <f t="shared" si="7"/>
        <v>7</v>
      </c>
      <c r="I129" s="168" t="s">
        <v>162</v>
      </c>
      <c r="J129" s="168" t="s">
        <v>161</v>
      </c>
      <c r="K129" s="168" t="s">
        <v>165</v>
      </c>
    </row>
    <row r="130" spans="1:11">
      <c r="A130" s="166" t="s">
        <v>183</v>
      </c>
      <c r="B130" s="167">
        <v>1129</v>
      </c>
      <c r="C130" s="168">
        <v>9822</v>
      </c>
      <c r="D130" s="168" t="s">
        <v>172</v>
      </c>
      <c r="E130" s="169">
        <v>58.3</v>
      </c>
      <c r="F130" s="169">
        <v>98.4</v>
      </c>
      <c r="G130" s="169">
        <f t="shared" ref="G130:G161" si="8">F130-E130</f>
        <v>40.100000000000009</v>
      </c>
      <c r="H130" s="169">
        <f t="shared" ref="H130:H161" si="9">IF(F130&gt;50,G130*0.2,G130*0.1)</f>
        <v>8.0200000000000014</v>
      </c>
      <c r="I130" s="168" t="s">
        <v>179</v>
      </c>
      <c r="J130" s="168" t="s">
        <v>178</v>
      </c>
      <c r="K130" s="168" t="s">
        <v>160</v>
      </c>
    </row>
    <row r="131" spans="1:11">
      <c r="A131" s="166" t="s">
        <v>183</v>
      </c>
      <c r="B131" s="167">
        <v>1130</v>
      </c>
      <c r="C131" s="168">
        <v>4421</v>
      </c>
      <c r="D131" s="168" t="s">
        <v>163</v>
      </c>
      <c r="E131" s="169">
        <v>45</v>
      </c>
      <c r="F131" s="169">
        <v>87</v>
      </c>
      <c r="G131" s="169">
        <f t="shared" si="8"/>
        <v>42</v>
      </c>
      <c r="H131" s="169">
        <f t="shared" si="9"/>
        <v>8.4</v>
      </c>
      <c r="I131" s="168" t="s">
        <v>179</v>
      </c>
      <c r="J131" s="168" t="s">
        <v>178</v>
      </c>
      <c r="K131" s="168" t="s">
        <v>165</v>
      </c>
    </row>
    <row r="132" spans="1:11">
      <c r="A132" s="166" t="s">
        <v>183</v>
      </c>
      <c r="B132" s="167">
        <v>1131</v>
      </c>
      <c r="C132" s="168">
        <v>9212</v>
      </c>
      <c r="D132" s="168" t="s">
        <v>177</v>
      </c>
      <c r="E132" s="169">
        <v>4</v>
      </c>
      <c r="F132" s="169">
        <v>7</v>
      </c>
      <c r="G132" s="169">
        <f t="shared" si="8"/>
        <v>3</v>
      </c>
      <c r="H132" s="169">
        <f t="shared" si="9"/>
        <v>0.30000000000000004</v>
      </c>
      <c r="I132" s="168" t="s">
        <v>179</v>
      </c>
      <c r="J132" s="168" t="s">
        <v>178</v>
      </c>
      <c r="K132" s="168" t="s">
        <v>176</v>
      </c>
    </row>
    <row r="133" spans="1:11">
      <c r="A133" s="166" t="s">
        <v>183</v>
      </c>
      <c r="B133" s="167">
        <v>1132</v>
      </c>
      <c r="C133" s="168">
        <v>9212</v>
      </c>
      <c r="D133" s="168" t="s">
        <v>177</v>
      </c>
      <c r="E133" s="169">
        <v>4</v>
      </c>
      <c r="F133" s="169">
        <v>7</v>
      </c>
      <c r="G133" s="169">
        <f t="shared" si="8"/>
        <v>3</v>
      </c>
      <c r="H133" s="169">
        <f t="shared" si="9"/>
        <v>0.30000000000000004</v>
      </c>
      <c r="I133" s="168" t="s">
        <v>179</v>
      </c>
      <c r="J133" s="168" t="s">
        <v>178</v>
      </c>
      <c r="K133" s="168" t="s">
        <v>165</v>
      </c>
    </row>
    <row r="134" spans="1:11">
      <c r="A134" s="166" t="s">
        <v>183</v>
      </c>
      <c r="B134" s="167">
        <v>1133</v>
      </c>
      <c r="C134" s="168">
        <v>9822</v>
      </c>
      <c r="D134" s="168" t="s">
        <v>172</v>
      </c>
      <c r="E134" s="169">
        <v>58.3</v>
      </c>
      <c r="F134" s="169">
        <v>98.4</v>
      </c>
      <c r="G134" s="169">
        <f t="shared" si="8"/>
        <v>40.100000000000009</v>
      </c>
      <c r="H134" s="169">
        <f t="shared" si="9"/>
        <v>8.0200000000000014</v>
      </c>
      <c r="I134" s="168" t="s">
        <v>167</v>
      </c>
      <c r="J134" s="168" t="s">
        <v>166</v>
      </c>
      <c r="K134" s="168" t="s">
        <v>176</v>
      </c>
    </row>
    <row r="135" spans="1:11">
      <c r="A135" s="166" t="s">
        <v>183</v>
      </c>
      <c r="B135" s="167">
        <v>1134</v>
      </c>
      <c r="C135" s="168">
        <v>9822</v>
      </c>
      <c r="D135" s="168" t="s">
        <v>172</v>
      </c>
      <c r="E135" s="169">
        <v>58.3</v>
      </c>
      <c r="F135" s="169">
        <v>98.4</v>
      </c>
      <c r="G135" s="169">
        <f t="shared" si="8"/>
        <v>40.100000000000009</v>
      </c>
      <c r="H135" s="169">
        <f t="shared" si="9"/>
        <v>8.0200000000000014</v>
      </c>
      <c r="I135" s="168" t="s">
        <v>170</v>
      </c>
      <c r="J135" s="168" t="s">
        <v>169</v>
      </c>
      <c r="K135" s="168" t="s">
        <v>176</v>
      </c>
    </row>
    <row r="136" spans="1:11">
      <c r="A136" s="166" t="s">
        <v>183</v>
      </c>
      <c r="B136" s="167">
        <v>1135</v>
      </c>
      <c r="C136" s="168">
        <v>8722</v>
      </c>
      <c r="D136" s="168" t="s">
        <v>171</v>
      </c>
      <c r="E136" s="169">
        <v>344</v>
      </c>
      <c r="F136" s="169">
        <v>502</v>
      </c>
      <c r="G136" s="169">
        <f t="shared" si="8"/>
        <v>158</v>
      </c>
      <c r="H136" s="169">
        <f t="shared" si="9"/>
        <v>31.6</v>
      </c>
      <c r="I136" s="168" t="s">
        <v>167</v>
      </c>
      <c r="J136" s="168" t="s">
        <v>166</v>
      </c>
      <c r="K136" s="168" t="s">
        <v>160</v>
      </c>
    </row>
    <row r="137" spans="1:11">
      <c r="A137" s="166" t="s">
        <v>183</v>
      </c>
      <c r="B137" s="167">
        <v>1136</v>
      </c>
      <c r="C137" s="168">
        <v>2242</v>
      </c>
      <c r="D137" s="168" t="s">
        <v>174</v>
      </c>
      <c r="E137" s="169">
        <v>60</v>
      </c>
      <c r="F137" s="169">
        <v>124</v>
      </c>
      <c r="G137" s="169">
        <f t="shared" si="8"/>
        <v>64</v>
      </c>
      <c r="H137" s="169">
        <f t="shared" si="9"/>
        <v>12.8</v>
      </c>
      <c r="I137" s="168" t="s">
        <v>170</v>
      </c>
      <c r="J137" s="168" t="s">
        <v>169</v>
      </c>
      <c r="K137" s="168" t="s">
        <v>173</v>
      </c>
    </row>
    <row r="138" spans="1:11">
      <c r="A138" s="166" t="s">
        <v>183</v>
      </c>
      <c r="B138" s="167">
        <v>1137</v>
      </c>
      <c r="C138" s="168">
        <v>9822</v>
      </c>
      <c r="D138" s="168" t="s">
        <v>172</v>
      </c>
      <c r="E138" s="169">
        <v>58.3</v>
      </c>
      <c r="F138" s="169">
        <v>98.4</v>
      </c>
      <c r="G138" s="169">
        <f t="shared" si="8"/>
        <v>40.100000000000009</v>
      </c>
      <c r="H138" s="169">
        <f t="shared" si="9"/>
        <v>8.0200000000000014</v>
      </c>
      <c r="I138" s="168" t="s">
        <v>162</v>
      </c>
      <c r="J138" s="168" t="s">
        <v>161</v>
      </c>
      <c r="K138" s="168" t="s">
        <v>165</v>
      </c>
    </row>
    <row r="139" spans="1:11">
      <c r="A139" s="166" t="s">
        <v>183</v>
      </c>
      <c r="B139" s="167">
        <v>1138</v>
      </c>
      <c r="C139" s="168">
        <v>8722</v>
      </c>
      <c r="D139" s="168" t="s">
        <v>171</v>
      </c>
      <c r="E139" s="169">
        <v>344</v>
      </c>
      <c r="F139" s="169">
        <v>502</v>
      </c>
      <c r="G139" s="169">
        <f t="shared" si="8"/>
        <v>158</v>
      </c>
      <c r="H139" s="169">
        <f t="shared" si="9"/>
        <v>31.6</v>
      </c>
      <c r="I139" s="168" t="s">
        <v>167</v>
      </c>
      <c r="J139" s="168" t="s">
        <v>166</v>
      </c>
      <c r="K139" s="168" t="s">
        <v>168</v>
      </c>
    </row>
    <row r="140" spans="1:11">
      <c r="A140" s="166" t="s">
        <v>183</v>
      </c>
      <c r="B140" s="167">
        <v>1139</v>
      </c>
      <c r="C140" s="168">
        <v>4421</v>
      </c>
      <c r="D140" s="168" t="s">
        <v>163</v>
      </c>
      <c r="E140" s="169">
        <v>45</v>
      </c>
      <c r="F140" s="169">
        <v>87</v>
      </c>
      <c r="G140" s="169">
        <f t="shared" si="8"/>
        <v>42</v>
      </c>
      <c r="H140" s="169">
        <f t="shared" si="9"/>
        <v>8.4</v>
      </c>
      <c r="I140" s="168" t="s">
        <v>170</v>
      </c>
      <c r="J140" s="168" t="s">
        <v>169</v>
      </c>
      <c r="K140" s="168" t="s">
        <v>165</v>
      </c>
    </row>
    <row r="141" spans="1:11">
      <c r="A141" s="166" t="s">
        <v>183</v>
      </c>
      <c r="B141" s="167">
        <v>1140</v>
      </c>
      <c r="C141" s="168">
        <v>4421</v>
      </c>
      <c r="D141" s="168" t="s">
        <v>163</v>
      </c>
      <c r="E141" s="169">
        <v>45</v>
      </c>
      <c r="F141" s="169">
        <v>87</v>
      </c>
      <c r="G141" s="169">
        <f t="shared" si="8"/>
        <v>42</v>
      </c>
      <c r="H141" s="169">
        <f t="shared" si="9"/>
        <v>8.4</v>
      </c>
      <c r="I141" s="168" t="s">
        <v>162</v>
      </c>
      <c r="J141" s="168" t="s">
        <v>161</v>
      </c>
      <c r="K141" s="168" t="s">
        <v>160</v>
      </c>
    </row>
    <row r="142" spans="1:11">
      <c r="A142" s="166" t="s">
        <v>183</v>
      </c>
      <c r="B142" s="167">
        <v>1141</v>
      </c>
      <c r="C142" s="168">
        <v>9212</v>
      </c>
      <c r="D142" s="168" t="s">
        <v>177</v>
      </c>
      <c r="E142" s="169">
        <v>4</v>
      </c>
      <c r="F142" s="169">
        <v>7</v>
      </c>
      <c r="G142" s="169">
        <f t="shared" si="8"/>
        <v>3</v>
      </c>
      <c r="H142" s="169">
        <f t="shared" si="9"/>
        <v>0.30000000000000004</v>
      </c>
      <c r="I142" s="168" t="s">
        <v>162</v>
      </c>
      <c r="J142" s="168" t="s">
        <v>161</v>
      </c>
      <c r="K142" s="168" t="s">
        <v>176</v>
      </c>
    </row>
    <row r="143" spans="1:11">
      <c r="A143" s="166" t="s">
        <v>182</v>
      </c>
      <c r="B143" s="167">
        <v>1142</v>
      </c>
      <c r="C143" s="168">
        <v>2242</v>
      </c>
      <c r="D143" s="168" t="s">
        <v>174</v>
      </c>
      <c r="E143" s="169">
        <v>60</v>
      </c>
      <c r="F143" s="169">
        <v>124</v>
      </c>
      <c r="G143" s="169">
        <f t="shared" si="8"/>
        <v>64</v>
      </c>
      <c r="H143" s="169">
        <f t="shared" si="9"/>
        <v>12.8</v>
      </c>
      <c r="I143" s="168" t="s">
        <v>162</v>
      </c>
      <c r="J143" s="168" t="s">
        <v>161</v>
      </c>
      <c r="K143" s="168" t="s">
        <v>160</v>
      </c>
    </row>
    <row r="144" spans="1:11">
      <c r="A144" s="166" t="s">
        <v>182</v>
      </c>
      <c r="B144" s="167">
        <v>1143</v>
      </c>
      <c r="C144" s="168">
        <v>9822</v>
      </c>
      <c r="D144" s="168" t="s">
        <v>172</v>
      </c>
      <c r="E144" s="169">
        <v>58.3</v>
      </c>
      <c r="F144" s="169">
        <v>98.4</v>
      </c>
      <c r="G144" s="169">
        <f t="shared" si="8"/>
        <v>40.100000000000009</v>
      </c>
      <c r="H144" s="169">
        <f t="shared" si="9"/>
        <v>8.0200000000000014</v>
      </c>
      <c r="I144" s="168" t="s">
        <v>179</v>
      </c>
      <c r="J144" s="168" t="s">
        <v>178</v>
      </c>
      <c r="K144" s="168" t="s">
        <v>176</v>
      </c>
    </row>
    <row r="145" spans="1:11">
      <c r="A145" s="166" t="s">
        <v>182</v>
      </c>
      <c r="B145" s="167">
        <v>1144</v>
      </c>
      <c r="C145" s="168">
        <v>2242</v>
      </c>
      <c r="D145" s="168" t="s">
        <v>174</v>
      </c>
      <c r="E145" s="169">
        <v>60</v>
      </c>
      <c r="F145" s="169">
        <v>124</v>
      </c>
      <c r="G145" s="169">
        <f t="shared" si="8"/>
        <v>64</v>
      </c>
      <c r="H145" s="169">
        <f t="shared" si="9"/>
        <v>12.8</v>
      </c>
      <c r="I145" s="168" t="s">
        <v>179</v>
      </c>
      <c r="J145" s="168" t="s">
        <v>178</v>
      </c>
      <c r="K145" s="168" t="s">
        <v>165</v>
      </c>
    </row>
    <row r="146" spans="1:11">
      <c r="A146" s="166" t="s">
        <v>182</v>
      </c>
      <c r="B146" s="167">
        <v>1145</v>
      </c>
      <c r="C146" s="168">
        <v>4421</v>
      </c>
      <c r="D146" s="168" t="s">
        <v>163</v>
      </c>
      <c r="E146" s="169">
        <v>45</v>
      </c>
      <c r="F146" s="169">
        <v>87</v>
      </c>
      <c r="G146" s="169">
        <f t="shared" si="8"/>
        <v>42</v>
      </c>
      <c r="H146" s="169">
        <f t="shared" si="9"/>
        <v>8.4</v>
      </c>
      <c r="I146" s="168" t="s">
        <v>179</v>
      </c>
      <c r="J146" s="168" t="s">
        <v>178</v>
      </c>
      <c r="K146" s="168" t="s">
        <v>173</v>
      </c>
    </row>
    <row r="147" spans="1:11">
      <c r="A147" s="166" t="s">
        <v>182</v>
      </c>
      <c r="B147" s="167">
        <v>1146</v>
      </c>
      <c r="C147" s="168">
        <v>8722</v>
      </c>
      <c r="D147" s="168" t="s">
        <v>171</v>
      </c>
      <c r="E147" s="169">
        <v>344</v>
      </c>
      <c r="F147" s="169">
        <v>502</v>
      </c>
      <c r="G147" s="169">
        <f t="shared" si="8"/>
        <v>158</v>
      </c>
      <c r="H147" s="169">
        <f t="shared" si="9"/>
        <v>31.6</v>
      </c>
      <c r="I147" s="168" t="s">
        <v>179</v>
      </c>
      <c r="J147" s="168" t="s">
        <v>178</v>
      </c>
      <c r="K147" s="168" t="s">
        <v>160</v>
      </c>
    </row>
    <row r="148" spans="1:11">
      <c r="A148" s="166" t="s">
        <v>182</v>
      </c>
      <c r="B148" s="167">
        <v>1147</v>
      </c>
      <c r="C148" s="168">
        <v>9822</v>
      </c>
      <c r="D148" s="168" t="s">
        <v>172</v>
      </c>
      <c r="E148" s="169">
        <v>58.3</v>
      </c>
      <c r="F148" s="169">
        <v>98.4</v>
      </c>
      <c r="G148" s="169">
        <f t="shared" si="8"/>
        <v>40.100000000000009</v>
      </c>
      <c r="H148" s="169">
        <f t="shared" si="9"/>
        <v>8.0200000000000014</v>
      </c>
      <c r="I148" s="168" t="s">
        <v>167</v>
      </c>
      <c r="J148" s="168" t="s">
        <v>166</v>
      </c>
      <c r="K148" s="168" t="s">
        <v>165</v>
      </c>
    </row>
    <row r="149" spans="1:11">
      <c r="A149" s="166" t="s">
        <v>182</v>
      </c>
      <c r="B149" s="167">
        <v>1148</v>
      </c>
      <c r="C149" s="168">
        <v>9212</v>
      </c>
      <c r="D149" s="168" t="s">
        <v>177</v>
      </c>
      <c r="E149" s="169">
        <v>4</v>
      </c>
      <c r="F149" s="169">
        <v>7</v>
      </c>
      <c r="G149" s="169">
        <f t="shared" si="8"/>
        <v>3</v>
      </c>
      <c r="H149" s="169">
        <f t="shared" si="9"/>
        <v>0.30000000000000004</v>
      </c>
      <c r="I149" s="168" t="s">
        <v>170</v>
      </c>
      <c r="J149" s="168" t="s">
        <v>169</v>
      </c>
      <c r="K149" s="168" t="s">
        <v>176</v>
      </c>
    </row>
    <row r="150" spans="1:11">
      <c r="A150" s="166" t="s">
        <v>182</v>
      </c>
      <c r="B150" s="167">
        <v>1149</v>
      </c>
      <c r="C150" s="168">
        <v>8722</v>
      </c>
      <c r="D150" s="168" t="s">
        <v>171</v>
      </c>
      <c r="E150" s="169">
        <v>344</v>
      </c>
      <c r="F150" s="169">
        <v>502</v>
      </c>
      <c r="G150" s="169">
        <f t="shared" si="8"/>
        <v>158</v>
      </c>
      <c r="H150" s="169">
        <f t="shared" si="9"/>
        <v>31.6</v>
      </c>
      <c r="I150" s="168" t="s">
        <v>167</v>
      </c>
      <c r="J150" s="168" t="s">
        <v>166</v>
      </c>
      <c r="K150" s="168" t="s">
        <v>176</v>
      </c>
    </row>
    <row r="151" spans="1:11">
      <c r="A151" s="166" t="s">
        <v>181</v>
      </c>
      <c r="B151" s="167">
        <v>1150</v>
      </c>
      <c r="C151" s="168">
        <v>2242</v>
      </c>
      <c r="D151" s="168" t="s">
        <v>174</v>
      </c>
      <c r="E151" s="169">
        <v>60</v>
      </c>
      <c r="F151" s="169">
        <v>124</v>
      </c>
      <c r="G151" s="169">
        <f t="shared" si="8"/>
        <v>64</v>
      </c>
      <c r="H151" s="169">
        <f t="shared" si="9"/>
        <v>12.8</v>
      </c>
      <c r="I151" s="168" t="s">
        <v>170</v>
      </c>
      <c r="J151" s="168" t="s">
        <v>169</v>
      </c>
      <c r="K151" s="168" t="s">
        <v>168</v>
      </c>
    </row>
    <row r="152" spans="1:11">
      <c r="A152" s="166" t="s">
        <v>181</v>
      </c>
      <c r="B152" s="167">
        <v>1151</v>
      </c>
      <c r="C152" s="168">
        <v>2242</v>
      </c>
      <c r="D152" s="168" t="s">
        <v>174</v>
      </c>
      <c r="E152" s="169">
        <v>60</v>
      </c>
      <c r="F152" s="169">
        <v>124</v>
      </c>
      <c r="G152" s="169">
        <f t="shared" si="8"/>
        <v>64</v>
      </c>
      <c r="H152" s="169">
        <f t="shared" si="9"/>
        <v>12.8</v>
      </c>
      <c r="I152" s="168" t="s">
        <v>162</v>
      </c>
      <c r="J152" s="168" t="s">
        <v>161</v>
      </c>
      <c r="K152" s="168" t="s">
        <v>165</v>
      </c>
    </row>
    <row r="153" spans="1:11">
      <c r="A153" s="166" t="s">
        <v>181</v>
      </c>
      <c r="B153" s="167">
        <v>1152</v>
      </c>
      <c r="C153" s="168">
        <v>4421</v>
      </c>
      <c r="D153" s="168" t="s">
        <v>163</v>
      </c>
      <c r="E153" s="169">
        <v>45</v>
      </c>
      <c r="F153" s="169">
        <v>87</v>
      </c>
      <c r="G153" s="169">
        <f t="shared" si="8"/>
        <v>42</v>
      </c>
      <c r="H153" s="169">
        <f t="shared" si="9"/>
        <v>8.4</v>
      </c>
      <c r="I153" s="168" t="s">
        <v>167</v>
      </c>
      <c r="J153" s="168" t="s">
        <v>166</v>
      </c>
      <c r="K153" s="168" t="s">
        <v>160</v>
      </c>
    </row>
    <row r="154" spans="1:11">
      <c r="A154" s="166" t="s">
        <v>181</v>
      </c>
      <c r="B154" s="167">
        <v>1153</v>
      </c>
      <c r="C154" s="168">
        <v>8722</v>
      </c>
      <c r="D154" s="168" t="s">
        <v>171</v>
      </c>
      <c r="E154" s="169">
        <v>344</v>
      </c>
      <c r="F154" s="169">
        <v>502</v>
      </c>
      <c r="G154" s="169">
        <f t="shared" si="8"/>
        <v>158</v>
      </c>
      <c r="H154" s="169">
        <f t="shared" si="9"/>
        <v>31.6</v>
      </c>
      <c r="I154" s="168" t="s">
        <v>170</v>
      </c>
      <c r="J154" s="168" t="s">
        <v>169</v>
      </c>
      <c r="K154" s="168" t="s">
        <v>176</v>
      </c>
    </row>
    <row r="155" spans="1:11">
      <c r="A155" s="166" t="s">
        <v>181</v>
      </c>
      <c r="B155" s="167">
        <v>1154</v>
      </c>
      <c r="C155" s="168">
        <v>9822</v>
      </c>
      <c r="D155" s="168" t="s">
        <v>172</v>
      </c>
      <c r="E155" s="169">
        <v>58.3</v>
      </c>
      <c r="F155" s="169">
        <v>98.4</v>
      </c>
      <c r="G155" s="169">
        <f t="shared" si="8"/>
        <v>40.100000000000009</v>
      </c>
      <c r="H155" s="169">
        <f t="shared" si="9"/>
        <v>8.0200000000000014</v>
      </c>
      <c r="I155" s="168" t="s">
        <v>162</v>
      </c>
      <c r="J155" s="168" t="s">
        <v>161</v>
      </c>
      <c r="K155" s="168" t="s">
        <v>160</v>
      </c>
    </row>
    <row r="156" spans="1:11">
      <c r="A156" s="166" t="s">
        <v>181</v>
      </c>
      <c r="B156" s="167">
        <v>1155</v>
      </c>
      <c r="C156" s="168">
        <v>4421</v>
      </c>
      <c r="D156" s="168" t="s">
        <v>163</v>
      </c>
      <c r="E156" s="169">
        <v>45</v>
      </c>
      <c r="F156" s="169">
        <v>87</v>
      </c>
      <c r="G156" s="169">
        <f t="shared" si="8"/>
        <v>42</v>
      </c>
      <c r="H156" s="169">
        <f t="shared" si="9"/>
        <v>8.4</v>
      </c>
      <c r="I156" s="168" t="s">
        <v>170</v>
      </c>
      <c r="J156" s="168" t="s">
        <v>169</v>
      </c>
      <c r="K156" s="168" t="s">
        <v>176</v>
      </c>
    </row>
    <row r="157" spans="1:11">
      <c r="A157" s="166" t="s">
        <v>181</v>
      </c>
      <c r="B157" s="167">
        <v>1156</v>
      </c>
      <c r="C157" s="168">
        <v>2242</v>
      </c>
      <c r="D157" s="168" t="s">
        <v>174</v>
      </c>
      <c r="E157" s="169">
        <v>60</v>
      </c>
      <c r="F157" s="169">
        <v>124</v>
      </c>
      <c r="G157" s="169">
        <f t="shared" si="8"/>
        <v>64</v>
      </c>
      <c r="H157" s="169">
        <f t="shared" si="9"/>
        <v>12.8</v>
      </c>
      <c r="I157" s="168" t="s">
        <v>170</v>
      </c>
      <c r="J157" s="168" t="s">
        <v>169</v>
      </c>
      <c r="K157" s="168" t="s">
        <v>165</v>
      </c>
    </row>
    <row r="158" spans="1:11">
      <c r="A158" s="166" t="s">
        <v>181</v>
      </c>
      <c r="B158" s="167">
        <v>1157</v>
      </c>
      <c r="C158" s="168">
        <v>9212</v>
      </c>
      <c r="D158" s="168" t="s">
        <v>177</v>
      </c>
      <c r="E158" s="169">
        <v>4</v>
      </c>
      <c r="F158" s="169">
        <v>7</v>
      </c>
      <c r="G158" s="169">
        <f t="shared" si="8"/>
        <v>3</v>
      </c>
      <c r="H158" s="169">
        <f t="shared" si="9"/>
        <v>0.30000000000000004</v>
      </c>
      <c r="I158" s="168" t="s">
        <v>170</v>
      </c>
      <c r="J158" s="168" t="s">
        <v>169</v>
      </c>
      <c r="K158" s="168" t="s">
        <v>173</v>
      </c>
    </row>
    <row r="159" spans="1:11">
      <c r="A159" s="166" t="s">
        <v>175</v>
      </c>
      <c r="B159" s="167">
        <v>1158</v>
      </c>
      <c r="C159" s="168">
        <v>8722</v>
      </c>
      <c r="D159" s="168" t="s">
        <v>171</v>
      </c>
      <c r="E159" s="169">
        <v>344</v>
      </c>
      <c r="F159" s="169">
        <v>502</v>
      </c>
      <c r="G159" s="169">
        <f t="shared" si="8"/>
        <v>158</v>
      </c>
      <c r="H159" s="169">
        <f t="shared" si="9"/>
        <v>31.6</v>
      </c>
      <c r="I159" s="168" t="s">
        <v>167</v>
      </c>
      <c r="J159" s="168" t="s">
        <v>166</v>
      </c>
      <c r="K159" s="168" t="s">
        <v>160</v>
      </c>
    </row>
    <row r="160" spans="1:11">
      <c r="A160" s="166" t="s">
        <v>175</v>
      </c>
      <c r="B160" s="167">
        <v>1159</v>
      </c>
      <c r="C160" s="168">
        <v>6622</v>
      </c>
      <c r="D160" s="168" t="s">
        <v>180</v>
      </c>
      <c r="E160" s="169">
        <v>42</v>
      </c>
      <c r="F160" s="169">
        <v>77</v>
      </c>
      <c r="G160" s="169">
        <f t="shared" si="8"/>
        <v>35</v>
      </c>
      <c r="H160" s="169">
        <f t="shared" si="9"/>
        <v>7</v>
      </c>
      <c r="I160" s="168" t="s">
        <v>170</v>
      </c>
      <c r="J160" s="168" t="s">
        <v>169</v>
      </c>
      <c r="K160" s="168" t="s">
        <v>165</v>
      </c>
    </row>
    <row r="161" spans="1:11">
      <c r="A161" s="166" t="s">
        <v>175</v>
      </c>
      <c r="B161" s="167">
        <v>1160</v>
      </c>
      <c r="C161" s="168">
        <v>9822</v>
      </c>
      <c r="D161" s="168" t="s">
        <v>172</v>
      </c>
      <c r="E161" s="169">
        <v>58.3</v>
      </c>
      <c r="F161" s="169">
        <v>98.4</v>
      </c>
      <c r="G161" s="169">
        <f t="shared" si="8"/>
        <v>40.100000000000009</v>
      </c>
      <c r="H161" s="169">
        <f t="shared" si="9"/>
        <v>8.0200000000000014</v>
      </c>
      <c r="I161" s="168" t="s">
        <v>179</v>
      </c>
      <c r="J161" s="168" t="s">
        <v>178</v>
      </c>
      <c r="K161" s="168" t="s">
        <v>160</v>
      </c>
    </row>
    <row r="162" spans="1:11">
      <c r="A162" s="166" t="s">
        <v>175</v>
      </c>
      <c r="B162" s="167">
        <v>1161</v>
      </c>
      <c r="C162" s="168">
        <v>4421</v>
      </c>
      <c r="D162" s="168" t="s">
        <v>163</v>
      </c>
      <c r="E162" s="169">
        <v>45</v>
      </c>
      <c r="F162" s="169">
        <v>87</v>
      </c>
      <c r="G162" s="169">
        <f t="shared" ref="G162:G193" si="10">F162-E162</f>
        <v>42</v>
      </c>
      <c r="H162" s="169">
        <f t="shared" ref="H162:H193" si="11">IF(F162&gt;50,G162*0.2,G162*0.1)</f>
        <v>8.4</v>
      </c>
      <c r="I162" s="168" t="s">
        <v>162</v>
      </c>
      <c r="J162" s="168" t="s">
        <v>161</v>
      </c>
      <c r="K162" s="168" t="s">
        <v>165</v>
      </c>
    </row>
    <row r="163" spans="1:11">
      <c r="A163" s="166" t="s">
        <v>175</v>
      </c>
      <c r="B163" s="167">
        <v>1162</v>
      </c>
      <c r="C163" s="168">
        <v>9212</v>
      </c>
      <c r="D163" s="168" t="s">
        <v>177</v>
      </c>
      <c r="E163" s="169">
        <v>4</v>
      </c>
      <c r="F163" s="169">
        <v>7</v>
      </c>
      <c r="G163" s="169">
        <f t="shared" si="10"/>
        <v>3</v>
      </c>
      <c r="H163" s="169">
        <f t="shared" si="11"/>
        <v>0.30000000000000004</v>
      </c>
      <c r="I163" s="168" t="s">
        <v>167</v>
      </c>
      <c r="J163" s="168" t="s">
        <v>166</v>
      </c>
      <c r="K163" s="168" t="s">
        <v>176</v>
      </c>
    </row>
    <row r="164" spans="1:11">
      <c r="A164" s="166" t="s">
        <v>175</v>
      </c>
      <c r="B164" s="167">
        <v>1163</v>
      </c>
      <c r="C164" s="168">
        <v>9212</v>
      </c>
      <c r="D164" s="168" t="s">
        <v>177</v>
      </c>
      <c r="E164" s="169">
        <v>4</v>
      </c>
      <c r="F164" s="169">
        <v>7</v>
      </c>
      <c r="G164" s="169">
        <f t="shared" si="10"/>
        <v>3</v>
      </c>
      <c r="H164" s="169">
        <f t="shared" si="11"/>
        <v>0.30000000000000004</v>
      </c>
      <c r="I164" s="168" t="s">
        <v>170</v>
      </c>
      <c r="J164" s="168" t="s">
        <v>169</v>
      </c>
      <c r="K164" s="168" t="s">
        <v>165</v>
      </c>
    </row>
    <row r="165" spans="1:11">
      <c r="A165" s="166" t="s">
        <v>175</v>
      </c>
      <c r="B165" s="167">
        <v>1164</v>
      </c>
      <c r="C165" s="168">
        <v>9822</v>
      </c>
      <c r="D165" s="168" t="s">
        <v>172</v>
      </c>
      <c r="E165" s="169">
        <v>58.3</v>
      </c>
      <c r="F165" s="169">
        <v>98.4</v>
      </c>
      <c r="G165" s="169">
        <f t="shared" si="10"/>
        <v>40.100000000000009</v>
      </c>
      <c r="H165" s="169">
        <f t="shared" si="11"/>
        <v>8.0200000000000014</v>
      </c>
      <c r="I165" s="168" t="s">
        <v>170</v>
      </c>
      <c r="J165" s="168" t="s">
        <v>169</v>
      </c>
      <c r="K165" s="168" t="s">
        <v>176</v>
      </c>
    </row>
    <row r="166" spans="1:11">
      <c r="A166" s="166" t="s">
        <v>175</v>
      </c>
      <c r="B166" s="167">
        <v>1165</v>
      </c>
      <c r="C166" s="168">
        <v>9822</v>
      </c>
      <c r="D166" s="168" t="s">
        <v>172</v>
      </c>
      <c r="E166" s="169">
        <v>58.3</v>
      </c>
      <c r="F166" s="169">
        <v>98.4</v>
      </c>
      <c r="G166" s="169">
        <f t="shared" si="10"/>
        <v>40.100000000000009</v>
      </c>
      <c r="H166" s="169">
        <f t="shared" si="11"/>
        <v>8.0200000000000014</v>
      </c>
      <c r="I166" s="168" t="s">
        <v>170</v>
      </c>
      <c r="J166" s="168" t="s">
        <v>169</v>
      </c>
      <c r="K166" s="168" t="s">
        <v>176</v>
      </c>
    </row>
    <row r="167" spans="1:11">
      <c r="A167" s="166" t="s">
        <v>175</v>
      </c>
      <c r="B167" s="167">
        <v>1166</v>
      </c>
      <c r="C167" s="168">
        <v>8722</v>
      </c>
      <c r="D167" s="168" t="s">
        <v>171</v>
      </c>
      <c r="E167" s="169">
        <v>344</v>
      </c>
      <c r="F167" s="169">
        <v>502</v>
      </c>
      <c r="G167" s="169">
        <f t="shared" si="10"/>
        <v>158</v>
      </c>
      <c r="H167" s="169">
        <f t="shared" si="11"/>
        <v>31.6</v>
      </c>
      <c r="I167" s="168" t="s">
        <v>170</v>
      </c>
      <c r="J167" s="168" t="s">
        <v>169</v>
      </c>
      <c r="K167" s="168" t="s">
        <v>160</v>
      </c>
    </row>
    <row r="168" spans="1:11">
      <c r="A168" s="166" t="s">
        <v>164</v>
      </c>
      <c r="B168" s="167">
        <v>1167</v>
      </c>
      <c r="C168" s="168">
        <v>2242</v>
      </c>
      <c r="D168" s="168" t="s">
        <v>174</v>
      </c>
      <c r="E168" s="169">
        <v>60</v>
      </c>
      <c r="F168" s="169">
        <v>124</v>
      </c>
      <c r="G168" s="169">
        <f t="shared" si="10"/>
        <v>64</v>
      </c>
      <c r="H168" s="169">
        <f t="shared" si="11"/>
        <v>12.8</v>
      </c>
      <c r="I168" s="168" t="s">
        <v>170</v>
      </c>
      <c r="J168" s="168" t="s">
        <v>169</v>
      </c>
      <c r="K168" s="168" t="s">
        <v>173</v>
      </c>
    </row>
    <row r="169" spans="1:11">
      <c r="A169" s="166" t="s">
        <v>164</v>
      </c>
      <c r="B169" s="167">
        <v>1168</v>
      </c>
      <c r="C169" s="168">
        <v>9822</v>
      </c>
      <c r="D169" s="168" t="s">
        <v>172</v>
      </c>
      <c r="E169" s="169">
        <v>58.3</v>
      </c>
      <c r="F169" s="169">
        <v>98.4</v>
      </c>
      <c r="G169" s="169">
        <f t="shared" si="10"/>
        <v>40.100000000000009</v>
      </c>
      <c r="H169" s="169">
        <f t="shared" si="11"/>
        <v>8.0200000000000014</v>
      </c>
      <c r="I169" s="168" t="s">
        <v>170</v>
      </c>
      <c r="J169" s="168" t="s">
        <v>169</v>
      </c>
      <c r="K169" s="168" t="s">
        <v>165</v>
      </c>
    </row>
    <row r="170" spans="1:11">
      <c r="A170" s="166" t="s">
        <v>164</v>
      </c>
      <c r="B170" s="167">
        <v>1169</v>
      </c>
      <c r="C170" s="168">
        <v>8722</v>
      </c>
      <c r="D170" s="168" t="s">
        <v>171</v>
      </c>
      <c r="E170" s="169">
        <v>344</v>
      </c>
      <c r="F170" s="169">
        <v>502</v>
      </c>
      <c r="G170" s="169">
        <f t="shared" si="10"/>
        <v>158</v>
      </c>
      <c r="H170" s="169">
        <f t="shared" si="11"/>
        <v>31.6</v>
      </c>
      <c r="I170" s="168" t="s">
        <v>170</v>
      </c>
      <c r="J170" s="168" t="s">
        <v>169</v>
      </c>
      <c r="K170" s="168" t="s">
        <v>168</v>
      </c>
    </row>
    <row r="171" spans="1:11">
      <c r="A171" s="166" t="s">
        <v>164</v>
      </c>
      <c r="B171" s="167">
        <v>1170</v>
      </c>
      <c r="C171" s="168">
        <v>4421</v>
      </c>
      <c r="D171" s="168" t="s">
        <v>163</v>
      </c>
      <c r="E171" s="169">
        <v>45</v>
      </c>
      <c r="F171" s="169">
        <v>87</v>
      </c>
      <c r="G171" s="169">
        <f t="shared" si="10"/>
        <v>42</v>
      </c>
      <c r="H171" s="169">
        <f t="shared" si="11"/>
        <v>8.4</v>
      </c>
      <c r="I171" s="168" t="s">
        <v>167</v>
      </c>
      <c r="J171" s="168" t="s">
        <v>166</v>
      </c>
      <c r="K171" s="168" t="s">
        <v>165</v>
      </c>
    </row>
    <row r="172" spans="1:11">
      <c r="A172" s="166" t="s">
        <v>164</v>
      </c>
      <c r="B172" s="167">
        <v>1171</v>
      </c>
      <c r="C172" s="168">
        <v>4421</v>
      </c>
      <c r="D172" s="168" t="s">
        <v>163</v>
      </c>
      <c r="E172" s="169">
        <v>45</v>
      </c>
      <c r="F172" s="169">
        <v>87</v>
      </c>
      <c r="G172" s="169">
        <f t="shared" si="10"/>
        <v>42</v>
      </c>
      <c r="H172" s="169">
        <f t="shared" si="11"/>
        <v>8.4</v>
      </c>
      <c r="I172" s="168" t="s">
        <v>162</v>
      </c>
      <c r="J172" s="168" t="s">
        <v>161</v>
      </c>
      <c r="K172" s="168" t="s">
        <v>160</v>
      </c>
    </row>
    <row r="177" spans="1:11">
      <c r="A177" s="192" t="s">
        <v>159</v>
      </c>
      <c r="B177" s="192"/>
      <c r="C177" s="192"/>
      <c r="D177" s="192"/>
      <c r="E177" s="192"/>
      <c r="F177" s="170">
        <f>SUM(F2:F172)</f>
        <v>17110.599999999995</v>
      </c>
    </row>
    <row r="178" spans="1:11">
      <c r="A178" s="192" t="s">
        <v>158</v>
      </c>
      <c r="B178" s="192"/>
      <c r="C178" s="192"/>
      <c r="D178" s="192"/>
      <c r="E178" s="192"/>
      <c r="F178" s="170">
        <f>SUMIF(F2:F172,"&gt;50")</f>
        <v>16088.399999999994</v>
      </c>
    </row>
    <row r="179" spans="1:11">
      <c r="A179" s="193" t="s">
        <v>157</v>
      </c>
      <c r="B179" s="194"/>
      <c r="C179" s="194"/>
      <c r="D179" s="194"/>
      <c r="E179" s="195"/>
      <c r="F179" s="170">
        <f>SUMIF(F2:F172,"&lt;50")</f>
        <v>1022.1999999999997</v>
      </c>
    </row>
    <row r="183" spans="1:11">
      <c r="K183" s="96" t="s">
        <v>70</v>
      </c>
    </row>
  </sheetData>
  <dataConsolidate topLabels="1">
    <dataRefs count="1">
      <dataRef ref="A2:G59" sheet="Sheet1" r:id="rId1"/>
    </dataRefs>
  </dataConsolidate>
  <mergeCells count="3">
    <mergeCell ref="A177:E177"/>
    <mergeCell ref="A178:E178"/>
    <mergeCell ref="A179:E179"/>
  </mergeCells>
  <pageMargins left="0.75" right="0.75" top="1" bottom="1" header="0.5" footer="0.5"/>
  <pageSetup orientation="portrait" horizontalDpi="4294967292" verticalDpi="4294967292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8"/>
  <sheetViews>
    <sheetView zoomScale="80" zoomScaleNormal="80" workbookViewId="0">
      <selection activeCell="J8" sqref="J8"/>
    </sheetView>
  </sheetViews>
  <sheetFormatPr defaultRowHeight="15.75"/>
  <cols>
    <col min="1" max="1" width="15" style="96" bestFit="1" customWidth="1"/>
    <col min="2" max="2" width="18.140625" style="96" customWidth="1"/>
    <col min="3" max="4" width="9.140625" style="96"/>
    <col min="5" max="9" width="11.42578125" style="96" bestFit="1" customWidth="1"/>
    <col min="10" max="11" width="12.5703125" style="96" bestFit="1" customWidth="1"/>
    <col min="12" max="12" width="13.28515625" style="96" bestFit="1" customWidth="1"/>
    <col min="13" max="16384" width="9.140625" style="96"/>
  </cols>
  <sheetData>
    <row r="3" spans="1:2">
      <c r="A3" s="99" t="s">
        <v>216</v>
      </c>
      <c r="B3" s="96" t="s">
        <v>215</v>
      </c>
    </row>
    <row r="4" spans="1:2">
      <c r="A4" s="98" t="s">
        <v>166</v>
      </c>
      <c r="B4" s="97">
        <v>6003.5</v>
      </c>
    </row>
    <row r="5" spans="1:2">
      <c r="A5" s="98" t="s">
        <v>161</v>
      </c>
      <c r="B5" s="97">
        <v>2410.7000000000003</v>
      </c>
    </row>
    <row r="6" spans="1:2">
      <c r="A6" s="98" t="s">
        <v>178</v>
      </c>
      <c r="B6" s="97">
        <v>3035.3</v>
      </c>
    </row>
    <row r="7" spans="1:2">
      <c r="A7" s="98" t="s">
        <v>169</v>
      </c>
      <c r="B7" s="97">
        <v>5661.0999999999985</v>
      </c>
    </row>
    <row r="8" spans="1:2">
      <c r="A8" s="98" t="s">
        <v>214</v>
      </c>
      <c r="B8" s="9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workbookViewId="0">
      <selection activeCell="R1" sqref="R1"/>
    </sheetView>
  </sheetViews>
  <sheetFormatPr defaultRowHeight="15"/>
  <cols>
    <col min="1" max="1" width="13.85546875" style="100" bestFit="1" customWidth="1"/>
    <col min="2" max="2" width="14.5703125" bestFit="1" customWidth="1"/>
    <col min="3" max="3" width="7.140625" bestFit="1" customWidth="1"/>
    <col min="4" max="4" width="8.140625" bestFit="1" customWidth="1"/>
    <col min="5" max="5" width="9" bestFit="1" customWidth="1"/>
    <col min="6" max="6" width="6.42578125" bestFit="1" customWidth="1"/>
    <col min="8" max="11" width="6.42578125" bestFit="1" customWidth="1"/>
  </cols>
  <sheetData>
    <row r="1" spans="1:13" ht="106.5">
      <c r="A1" s="111" t="s">
        <v>265</v>
      </c>
      <c r="B1" s="110"/>
      <c r="C1" s="110" t="s">
        <v>264</v>
      </c>
      <c r="D1" s="110" t="s">
        <v>263</v>
      </c>
      <c r="E1" s="110" t="s">
        <v>262</v>
      </c>
      <c r="F1" s="110" t="s">
        <v>261</v>
      </c>
      <c r="H1" s="110" t="s">
        <v>264</v>
      </c>
      <c r="I1" s="110" t="s">
        <v>263</v>
      </c>
      <c r="J1" s="110" t="s">
        <v>262</v>
      </c>
      <c r="K1" s="110" t="s">
        <v>261</v>
      </c>
      <c r="M1" s="110" t="s">
        <v>260</v>
      </c>
    </row>
    <row r="2" spans="1:13" s="108" customFormat="1">
      <c r="B2" s="109" t="s">
        <v>259</v>
      </c>
      <c r="C2" s="108">
        <v>10</v>
      </c>
      <c r="D2" s="108">
        <v>20</v>
      </c>
      <c r="E2" s="108">
        <v>100</v>
      </c>
      <c r="F2" s="108">
        <v>1</v>
      </c>
    </row>
    <row r="3" spans="1:13" s="108" customFormat="1">
      <c r="A3" s="108" t="s">
        <v>258</v>
      </c>
      <c r="B3" s="109" t="s">
        <v>204</v>
      </c>
    </row>
    <row r="4" spans="1:13">
      <c r="A4" s="107" t="s">
        <v>257</v>
      </c>
      <c r="B4" s="106" t="s">
        <v>256</v>
      </c>
      <c r="C4">
        <v>10</v>
      </c>
      <c r="D4">
        <v>19</v>
      </c>
      <c r="E4">
        <v>93</v>
      </c>
      <c r="F4">
        <v>1</v>
      </c>
      <c r="H4" s="73">
        <f t="shared" ref="H4:H24" si="0">C4/C$2</f>
        <v>1</v>
      </c>
      <c r="I4" s="73">
        <f t="shared" ref="I4:I24" si="1">D4/D$2</f>
        <v>0.95</v>
      </c>
      <c r="J4" s="73">
        <f t="shared" ref="J4:J24" si="2">E4/E$2</f>
        <v>0.93</v>
      </c>
      <c r="K4" s="73">
        <f t="shared" ref="K4:K24" si="3">F4/F$2</f>
        <v>1</v>
      </c>
      <c r="M4" s="73" t="b">
        <f t="shared" ref="M4:M24" si="4">OR(H4&lt;0.5, I4&lt;0.5,J4&lt;0.5,K4&lt;0.5)</f>
        <v>0</v>
      </c>
    </row>
    <row r="5" spans="1:13">
      <c r="A5" s="107" t="s">
        <v>222</v>
      </c>
      <c r="B5" s="106" t="s">
        <v>255</v>
      </c>
      <c r="C5">
        <v>9</v>
      </c>
      <c r="D5">
        <v>20</v>
      </c>
      <c r="E5">
        <v>100</v>
      </c>
      <c r="F5">
        <v>1</v>
      </c>
      <c r="H5" s="73">
        <f t="shared" si="0"/>
        <v>0.9</v>
      </c>
      <c r="I5" s="73">
        <f t="shared" si="1"/>
        <v>1</v>
      </c>
      <c r="J5" s="73">
        <f t="shared" si="2"/>
        <v>1</v>
      </c>
      <c r="K5" s="73">
        <f t="shared" si="3"/>
        <v>1</v>
      </c>
      <c r="M5" s="73" t="b">
        <f t="shared" si="4"/>
        <v>0</v>
      </c>
    </row>
    <row r="6" spans="1:13">
      <c r="A6" s="107" t="s">
        <v>254</v>
      </c>
      <c r="B6" s="106" t="s">
        <v>253</v>
      </c>
      <c r="C6">
        <v>8</v>
      </c>
      <c r="D6">
        <v>17</v>
      </c>
      <c r="E6">
        <v>82</v>
      </c>
      <c r="F6">
        <v>1</v>
      </c>
      <c r="H6" s="73">
        <f t="shared" si="0"/>
        <v>0.8</v>
      </c>
      <c r="I6" s="73">
        <f t="shared" si="1"/>
        <v>0.85</v>
      </c>
      <c r="J6" s="73">
        <f t="shared" si="2"/>
        <v>0.82</v>
      </c>
      <c r="K6" s="73">
        <f t="shared" si="3"/>
        <v>1</v>
      </c>
      <c r="M6" s="73" t="b">
        <f t="shared" si="4"/>
        <v>0</v>
      </c>
    </row>
    <row r="7" spans="1:13">
      <c r="A7" s="107" t="s">
        <v>252</v>
      </c>
      <c r="B7" s="106" t="s">
        <v>251</v>
      </c>
      <c r="C7">
        <v>9</v>
      </c>
      <c r="D7">
        <v>10</v>
      </c>
      <c r="E7">
        <v>73</v>
      </c>
      <c r="F7">
        <v>1</v>
      </c>
      <c r="H7" s="73">
        <f t="shared" si="0"/>
        <v>0.9</v>
      </c>
      <c r="I7" s="73">
        <f t="shared" si="1"/>
        <v>0.5</v>
      </c>
      <c r="J7" s="73">
        <f t="shared" si="2"/>
        <v>0.73</v>
      </c>
      <c r="K7" s="73">
        <f t="shared" si="3"/>
        <v>1</v>
      </c>
      <c r="M7" s="73" t="b">
        <f t="shared" si="4"/>
        <v>0</v>
      </c>
    </row>
    <row r="8" spans="1:13">
      <c r="A8" s="107" t="s">
        <v>250</v>
      </c>
      <c r="B8" s="106" t="s">
        <v>249</v>
      </c>
      <c r="C8">
        <v>10</v>
      </c>
      <c r="D8">
        <v>20</v>
      </c>
      <c r="E8">
        <v>59</v>
      </c>
      <c r="F8">
        <v>1</v>
      </c>
      <c r="H8" s="73">
        <f t="shared" si="0"/>
        <v>1</v>
      </c>
      <c r="I8" s="73">
        <f t="shared" si="1"/>
        <v>1</v>
      </c>
      <c r="J8" s="73">
        <f t="shared" si="2"/>
        <v>0.59</v>
      </c>
      <c r="K8" s="73">
        <f t="shared" si="3"/>
        <v>1</v>
      </c>
      <c r="M8" s="73" t="b">
        <f t="shared" si="4"/>
        <v>0</v>
      </c>
    </row>
    <row r="9" spans="1:13">
      <c r="A9" s="107" t="s">
        <v>248</v>
      </c>
      <c r="B9" s="106" t="s">
        <v>247</v>
      </c>
      <c r="C9">
        <v>9</v>
      </c>
      <c r="D9">
        <v>17</v>
      </c>
      <c r="E9">
        <v>100</v>
      </c>
      <c r="F9">
        <v>1</v>
      </c>
      <c r="H9" s="73">
        <f t="shared" si="0"/>
        <v>0.9</v>
      </c>
      <c r="I9" s="73">
        <f t="shared" si="1"/>
        <v>0.85</v>
      </c>
      <c r="J9" s="73">
        <f t="shared" si="2"/>
        <v>1</v>
      </c>
      <c r="K9" s="73">
        <f t="shared" si="3"/>
        <v>1</v>
      </c>
      <c r="M9" s="73" t="b">
        <f t="shared" si="4"/>
        <v>0</v>
      </c>
    </row>
    <row r="10" spans="1:13">
      <c r="A10" s="105" t="s">
        <v>246</v>
      </c>
      <c r="B10" s="104" t="s">
        <v>245</v>
      </c>
      <c r="C10">
        <v>8</v>
      </c>
      <c r="D10">
        <v>20</v>
      </c>
      <c r="E10">
        <v>100</v>
      </c>
      <c r="F10">
        <v>0</v>
      </c>
      <c r="H10" s="73">
        <f t="shared" si="0"/>
        <v>0.8</v>
      </c>
      <c r="I10" s="73">
        <f t="shared" si="1"/>
        <v>1</v>
      </c>
      <c r="J10" s="73">
        <f t="shared" si="2"/>
        <v>1</v>
      </c>
      <c r="K10" s="73">
        <f t="shared" si="3"/>
        <v>0</v>
      </c>
      <c r="M10" s="73" t="b">
        <f t="shared" si="4"/>
        <v>1</v>
      </c>
    </row>
    <row r="11" spans="1:13">
      <c r="A11" s="105" t="s">
        <v>244</v>
      </c>
      <c r="B11" s="104" t="s">
        <v>243</v>
      </c>
      <c r="C11">
        <v>5</v>
      </c>
      <c r="D11">
        <v>6</v>
      </c>
      <c r="E11">
        <v>100</v>
      </c>
      <c r="F11">
        <v>1</v>
      </c>
      <c r="H11" s="73">
        <f t="shared" si="0"/>
        <v>0.5</v>
      </c>
      <c r="I11" s="73">
        <f t="shared" si="1"/>
        <v>0.3</v>
      </c>
      <c r="J11" s="73">
        <f t="shared" si="2"/>
        <v>1</v>
      </c>
      <c r="K11" s="73">
        <f t="shared" si="3"/>
        <v>1</v>
      </c>
      <c r="M11" s="73" t="b">
        <f t="shared" si="4"/>
        <v>1</v>
      </c>
    </row>
    <row r="12" spans="1:13">
      <c r="A12" s="105" t="s">
        <v>242</v>
      </c>
      <c r="B12" s="104" t="s">
        <v>241</v>
      </c>
      <c r="C12">
        <v>10</v>
      </c>
      <c r="D12">
        <v>20</v>
      </c>
      <c r="E12">
        <v>67</v>
      </c>
      <c r="F12">
        <v>1</v>
      </c>
      <c r="H12" s="73">
        <f t="shared" si="0"/>
        <v>1</v>
      </c>
      <c r="I12" s="73">
        <f t="shared" si="1"/>
        <v>1</v>
      </c>
      <c r="J12" s="73">
        <f t="shared" si="2"/>
        <v>0.67</v>
      </c>
      <c r="K12" s="73">
        <f t="shared" si="3"/>
        <v>1</v>
      </c>
      <c r="M12" s="73" t="b">
        <f t="shared" si="4"/>
        <v>0</v>
      </c>
    </row>
    <row r="13" spans="1:13">
      <c r="A13" s="105" t="s">
        <v>240</v>
      </c>
      <c r="B13" s="104" t="s">
        <v>239</v>
      </c>
      <c r="C13">
        <v>8</v>
      </c>
      <c r="D13">
        <v>19</v>
      </c>
      <c r="E13">
        <v>100</v>
      </c>
      <c r="F13">
        <v>1</v>
      </c>
      <c r="H13" s="73">
        <f t="shared" si="0"/>
        <v>0.8</v>
      </c>
      <c r="I13" s="73">
        <f t="shared" si="1"/>
        <v>0.95</v>
      </c>
      <c r="J13" s="73">
        <f t="shared" si="2"/>
        <v>1</v>
      </c>
      <c r="K13" s="73">
        <f t="shared" si="3"/>
        <v>1</v>
      </c>
      <c r="M13" s="73" t="b">
        <f t="shared" si="4"/>
        <v>0</v>
      </c>
    </row>
    <row r="14" spans="1:13">
      <c r="A14" s="105" t="s">
        <v>238</v>
      </c>
      <c r="B14" s="104" t="s">
        <v>237</v>
      </c>
      <c r="C14">
        <v>9</v>
      </c>
      <c r="D14">
        <v>17</v>
      </c>
      <c r="E14">
        <v>70</v>
      </c>
      <c r="F14">
        <v>1</v>
      </c>
      <c r="H14" s="73">
        <f t="shared" si="0"/>
        <v>0.9</v>
      </c>
      <c r="I14" s="73">
        <f t="shared" si="1"/>
        <v>0.85</v>
      </c>
      <c r="J14" s="73">
        <f t="shared" si="2"/>
        <v>0.7</v>
      </c>
      <c r="K14" s="73">
        <f t="shared" si="3"/>
        <v>1</v>
      </c>
      <c r="M14" s="73" t="b">
        <f t="shared" si="4"/>
        <v>0</v>
      </c>
    </row>
    <row r="15" spans="1:13">
      <c r="A15" s="105" t="s">
        <v>236</v>
      </c>
      <c r="B15" s="104" t="s">
        <v>235</v>
      </c>
      <c r="C15">
        <v>7</v>
      </c>
      <c r="D15">
        <v>19</v>
      </c>
      <c r="E15">
        <v>80</v>
      </c>
      <c r="F15">
        <v>0</v>
      </c>
      <c r="H15" s="73">
        <f t="shared" si="0"/>
        <v>0.7</v>
      </c>
      <c r="I15" s="73">
        <f t="shared" si="1"/>
        <v>0.95</v>
      </c>
      <c r="J15" s="73">
        <f t="shared" si="2"/>
        <v>0.8</v>
      </c>
      <c r="K15" s="73">
        <f t="shared" si="3"/>
        <v>0</v>
      </c>
      <c r="M15" s="73" t="b">
        <f t="shared" si="4"/>
        <v>1</v>
      </c>
    </row>
    <row r="16" spans="1:13">
      <c r="A16" s="105" t="s">
        <v>234</v>
      </c>
      <c r="B16" s="104" t="s">
        <v>233</v>
      </c>
      <c r="C16">
        <v>10</v>
      </c>
      <c r="D16">
        <v>20</v>
      </c>
      <c r="E16">
        <v>90</v>
      </c>
      <c r="F16">
        <v>0</v>
      </c>
      <c r="H16" s="73">
        <f t="shared" si="0"/>
        <v>1</v>
      </c>
      <c r="I16" s="73">
        <f t="shared" si="1"/>
        <v>1</v>
      </c>
      <c r="J16" s="73">
        <f t="shared" si="2"/>
        <v>0.9</v>
      </c>
      <c r="K16" s="73">
        <f t="shared" si="3"/>
        <v>0</v>
      </c>
      <c r="M16" s="73" t="b">
        <f t="shared" si="4"/>
        <v>1</v>
      </c>
    </row>
    <row r="17" spans="1:13">
      <c r="A17" s="105" t="s">
        <v>232</v>
      </c>
      <c r="B17" s="104" t="s">
        <v>231</v>
      </c>
      <c r="C17">
        <v>8</v>
      </c>
      <c r="D17">
        <v>10</v>
      </c>
      <c r="E17">
        <v>45</v>
      </c>
      <c r="F17">
        <v>1</v>
      </c>
      <c r="H17" s="73">
        <f t="shared" si="0"/>
        <v>0.8</v>
      </c>
      <c r="I17" s="73">
        <f t="shared" si="1"/>
        <v>0.5</v>
      </c>
      <c r="J17" s="73">
        <f t="shared" si="2"/>
        <v>0.45</v>
      </c>
      <c r="K17" s="73">
        <f t="shared" si="3"/>
        <v>1</v>
      </c>
      <c r="M17" s="73" t="b">
        <f t="shared" si="4"/>
        <v>1</v>
      </c>
    </row>
    <row r="18" spans="1:13">
      <c r="A18" s="105" t="s">
        <v>230</v>
      </c>
      <c r="B18" s="104" t="s">
        <v>229</v>
      </c>
      <c r="C18">
        <v>9</v>
      </c>
      <c r="D18">
        <v>20</v>
      </c>
      <c r="E18">
        <v>90</v>
      </c>
      <c r="F18">
        <v>1</v>
      </c>
      <c r="H18" s="73">
        <f t="shared" si="0"/>
        <v>0.9</v>
      </c>
      <c r="I18" s="73">
        <f t="shared" si="1"/>
        <v>1</v>
      </c>
      <c r="J18" s="73">
        <f t="shared" si="2"/>
        <v>0.9</v>
      </c>
      <c r="K18" s="73">
        <f t="shared" si="3"/>
        <v>1</v>
      </c>
      <c r="M18" s="73" t="b">
        <f t="shared" si="4"/>
        <v>0</v>
      </c>
    </row>
    <row r="19" spans="1:13">
      <c r="A19" s="105" t="s">
        <v>228</v>
      </c>
      <c r="B19" s="104" t="s">
        <v>227</v>
      </c>
      <c r="C19">
        <v>7</v>
      </c>
      <c r="D19">
        <v>14</v>
      </c>
      <c r="E19">
        <v>80</v>
      </c>
      <c r="F19">
        <v>1</v>
      </c>
      <c r="H19" s="73">
        <f t="shared" si="0"/>
        <v>0.7</v>
      </c>
      <c r="I19" s="73">
        <f t="shared" si="1"/>
        <v>0.7</v>
      </c>
      <c r="J19" s="73">
        <f t="shared" si="2"/>
        <v>0.8</v>
      </c>
      <c r="K19" s="73">
        <f t="shared" si="3"/>
        <v>1</v>
      </c>
      <c r="M19" s="73" t="b">
        <f t="shared" si="4"/>
        <v>0</v>
      </c>
    </row>
    <row r="20" spans="1:13">
      <c r="A20" s="105" t="s">
        <v>226</v>
      </c>
      <c r="B20" s="104" t="s">
        <v>225</v>
      </c>
      <c r="C20">
        <v>10</v>
      </c>
      <c r="D20">
        <v>16</v>
      </c>
      <c r="E20">
        <v>69</v>
      </c>
      <c r="F20">
        <v>1</v>
      </c>
      <c r="H20" s="73">
        <f t="shared" si="0"/>
        <v>1</v>
      </c>
      <c r="I20" s="73">
        <f t="shared" si="1"/>
        <v>0.8</v>
      </c>
      <c r="J20" s="73">
        <f t="shared" si="2"/>
        <v>0.69</v>
      </c>
      <c r="K20" s="73">
        <f t="shared" si="3"/>
        <v>1</v>
      </c>
      <c r="M20" s="73" t="b">
        <f t="shared" si="4"/>
        <v>0</v>
      </c>
    </row>
    <row r="21" spans="1:13">
      <c r="A21" s="105" t="s">
        <v>224</v>
      </c>
      <c r="B21" s="104" t="s">
        <v>223</v>
      </c>
      <c r="C21">
        <v>11</v>
      </c>
      <c r="D21">
        <v>19</v>
      </c>
      <c r="E21">
        <v>90</v>
      </c>
      <c r="F21">
        <v>1</v>
      </c>
      <c r="H21" s="73">
        <f t="shared" si="0"/>
        <v>1.1000000000000001</v>
      </c>
      <c r="I21" s="73">
        <f t="shared" si="1"/>
        <v>0.95</v>
      </c>
      <c r="J21" s="73">
        <f t="shared" si="2"/>
        <v>0.9</v>
      </c>
      <c r="K21" s="73">
        <f t="shared" si="3"/>
        <v>1</v>
      </c>
      <c r="M21" s="73" t="b">
        <f t="shared" si="4"/>
        <v>0</v>
      </c>
    </row>
    <row r="22" spans="1:13">
      <c r="A22" s="105" t="s">
        <v>222</v>
      </c>
      <c r="B22" s="104" t="s">
        <v>221</v>
      </c>
      <c r="C22">
        <v>10</v>
      </c>
      <c r="D22">
        <v>14</v>
      </c>
      <c r="E22">
        <v>88</v>
      </c>
      <c r="F22">
        <v>1</v>
      </c>
      <c r="H22" s="73">
        <f t="shared" si="0"/>
        <v>1</v>
      </c>
      <c r="I22" s="73">
        <f t="shared" si="1"/>
        <v>0.7</v>
      </c>
      <c r="J22" s="73">
        <f t="shared" si="2"/>
        <v>0.88</v>
      </c>
      <c r="K22" s="73">
        <f t="shared" si="3"/>
        <v>1</v>
      </c>
      <c r="M22" s="73" t="b">
        <f t="shared" si="4"/>
        <v>0</v>
      </c>
    </row>
    <row r="23" spans="1:13">
      <c r="A23" s="105" t="s">
        <v>220</v>
      </c>
      <c r="B23" s="104" t="s">
        <v>219</v>
      </c>
      <c r="C23">
        <v>6</v>
      </c>
      <c r="D23">
        <v>20</v>
      </c>
      <c r="E23">
        <v>75</v>
      </c>
      <c r="F23">
        <v>0</v>
      </c>
      <c r="H23" s="73">
        <f t="shared" si="0"/>
        <v>0.6</v>
      </c>
      <c r="I23" s="73">
        <f t="shared" si="1"/>
        <v>1</v>
      </c>
      <c r="J23" s="73">
        <f t="shared" si="2"/>
        <v>0.75</v>
      </c>
      <c r="K23" s="73">
        <f t="shared" si="3"/>
        <v>0</v>
      </c>
      <c r="M23" s="73" t="b">
        <f t="shared" si="4"/>
        <v>1</v>
      </c>
    </row>
    <row r="24" spans="1:13">
      <c r="A24" s="105" t="s">
        <v>218</v>
      </c>
      <c r="B24" s="104" t="s">
        <v>217</v>
      </c>
      <c r="C24">
        <v>8</v>
      </c>
      <c r="D24">
        <v>20</v>
      </c>
      <c r="E24">
        <v>78</v>
      </c>
      <c r="F24">
        <v>1</v>
      </c>
      <c r="H24" s="73">
        <f t="shared" si="0"/>
        <v>0.8</v>
      </c>
      <c r="I24" s="73">
        <f t="shared" si="1"/>
        <v>1</v>
      </c>
      <c r="J24" s="73">
        <f t="shared" si="2"/>
        <v>0.78</v>
      </c>
      <c r="K24" s="73">
        <f t="shared" si="3"/>
        <v>1</v>
      </c>
      <c r="M24" s="73" t="b">
        <f t="shared" si="4"/>
        <v>0</v>
      </c>
    </row>
    <row r="25" spans="1:13">
      <c r="A25" s="103"/>
      <c r="B25" s="102"/>
    </row>
    <row r="26" spans="1:13">
      <c r="A26" s="103"/>
      <c r="B26" s="102"/>
    </row>
    <row r="27" spans="1:13">
      <c r="A27" s="101" t="s">
        <v>76</v>
      </c>
      <c r="B27" s="102"/>
      <c r="C27" s="73">
        <f>MAX(C4:C24)</f>
        <v>11</v>
      </c>
      <c r="D27" s="73">
        <f>MAX(D4:D24)</f>
        <v>20</v>
      </c>
      <c r="E27" s="73">
        <f>MAX(E4:E24)</f>
        <v>100</v>
      </c>
      <c r="F27" s="73">
        <f>MAX(F4:F24)</f>
        <v>1</v>
      </c>
      <c r="H27" s="73">
        <f>MAX(H4:H24)</f>
        <v>1.1000000000000001</v>
      </c>
      <c r="I27" s="73">
        <f>MAX(I4:I24)</f>
        <v>1</v>
      </c>
      <c r="J27" s="73">
        <f>MAX(J4:J24)</f>
        <v>1</v>
      </c>
      <c r="K27" s="73">
        <f>MAX(K4:K24)</f>
        <v>1</v>
      </c>
    </row>
    <row r="28" spans="1:13">
      <c r="A28" s="101" t="s">
        <v>75</v>
      </c>
      <c r="B28" s="102"/>
      <c r="C28" s="73">
        <f>MIN(C5:C25)</f>
        <v>5</v>
      </c>
      <c r="D28" s="73">
        <f>MIN(D5:D25)</f>
        <v>6</v>
      </c>
      <c r="E28" s="73">
        <f>MIN(E5:E25)</f>
        <v>45</v>
      </c>
      <c r="F28" s="73">
        <f>MIN(F5:F25)</f>
        <v>0</v>
      </c>
      <c r="H28" s="73">
        <f>MIN(H5:H25)</f>
        <v>0.5</v>
      </c>
      <c r="I28" s="73">
        <f>MIN(I5:I25)</f>
        <v>0.3</v>
      </c>
      <c r="J28" s="73">
        <f>MIN(J5:J25)</f>
        <v>0.45</v>
      </c>
      <c r="K28" s="73">
        <f>MIN(K5:K25)</f>
        <v>0</v>
      </c>
    </row>
    <row r="29" spans="1:13">
      <c r="A29" s="101" t="s">
        <v>77</v>
      </c>
      <c r="C29" s="73">
        <f>AVERAGE(C6:C26)</f>
        <v>8.526315789473685</v>
      </c>
      <c r="D29" s="73">
        <f>AVERAGE(D6:D26)</f>
        <v>16.736842105263158</v>
      </c>
      <c r="E29" s="73">
        <f>AVERAGE(E6:E26)</f>
        <v>80.84210526315789</v>
      </c>
      <c r="F29" s="73">
        <f>AVERAGE(F6:F26)</f>
        <v>0.78947368421052633</v>
      </c>
      <c r="H29" s="73">
        <f>AVERAGE(H6:H26)</f>
        <v>0.85263157894736841</v>
      </c>
      <c r="I29" s="73">
        <f>AVERAGE(I6:I26)</f>
        <v>0.83684210526315783</v>
      </c>
      <c r="J29" s="73">
        <f>AVERAGE(J6:J26)</f>
        <v>0.80842105263157904</v>
      </c>
      <c r="K29" s="73">
        <f>AVERAGE(K6:K26)</f>
        <v>0.78947368421052633</v>
      </c>
    </row>
  </sheetData>
  <conditionalFormatting sqref="C4:C2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4 M4:M24">
    <cfRule type="cellIs" dxfId="2" priority="2" operator="lessThan">
      <formula>0.5</formula>
    </cfRule>
  </conditionalFormatting>
  <conditionalFormatting sqref="M4:M24">
    <cfRule type="cellIs" dxfId="1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M25" sqref="M25"/>
    </sheetView>
  </sheetViews>
  <sheetFormatPr defaultRowHeight="15"/>
  <cols>
    <col min="1" max="1" width="20" bestFit="1" customWidth="1"/>
    <col min="2" max="3" width="9.42578125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0" max="10" width="9.5703125" bestFit="1" customWidth="1"/>
    <col min="11" max="11" width="9.5703125" customWidth="1"/>
  </cols>
  <sheetData>
    <row r="1" spans="1:12">
      <c r="A1" t="s">
        <v>280</v>
      </c>
    </row>
    <row r="4" spans="1:12">
      <c r="A4" s="119" t="s">
        <v>279</v>
      </c>
      <c r="B4" s="117" t="s">
        <v>278</v>
      </c>
      <c r="C4" s="117">
        <v>4</v>
      </c>
      <c r="D4" s="116" t="s">
        <v>277</v>
      </c>
      <c r="E4" s="116">
        <v>5</v>
      </c>
      <c r="F4" s="115" t="s">
        <v>276</v>
      </c>
      <c r="G4" s="115">
        <v>5</v>
      </c>
      <c r="H4" s="114" t="s">
        <v>275</v>
      </c>
      <c r="I4" s="114">
        <v>3.5</v>
      </c>
      <c r="J4" s="113" t="s">
        <v>274</v>
      </c>
      <c r="K4" s="113">
        <v>2</v>
      </c>
      <c r="L4" s="119"/>
    </row>
    <row r="5" spans="1:12">
      <c r="A5" s="118" t="s">
        <v>273</v>
      </c>
      <c r="B5" s="117">
        <v>4.5</v>
      </c>
      <c r="C5" s="117">
        <f t="shared" ref="C5:C12" si="0">C$4*B5</f>
        <v>18</v>
      </c>
      <c r="D5" s="116">
        <v>4</v>
      </c>
      <c r="E5" s="116">
        <f t="shared" ref="E5:E12" si="1">E$4*D5</f>
        <v>20</v>
      </c>
      <c r="F5" s="115">
        <v>3</v>
      </c>
      <c r="G5" s="115">
        <f t="shared" ref="G5:G12" si="2">G$4*F5</f>
        <v>15</v>
      </c>
      <c r="H5" s="114">
        <v>4</v>
      </c>
      <c r="I5" s="114">
        <f t="shared" ref="I5:I12" si="3">I$4*H5</f>
        <v>14</v>
      </c>
      <c r="J5" s="113">
        <v>3.5</v>
      </c>
      <c r="K5" s="113">
        <f t="shared" ref="K5:K12" si="4">K$4*J5</f>
        <v>7</v>
      </c>
      <c r="L5" s="112">
        <f t="shared" ref="L5:L12" si="5">C5+E5+G5+I5</f>
        <v>67</v>
      </c>
    </row>
    <row r="6" spans="1:12">
      <c r="A6" s="118" t="s">
        <v>272</v>
      </c>
      <c r="B6" s="117">
        <v>3</v>
      </c>
      <c r="C6" s="117">
        <f t="shared" si="0"/>
        <v>12</v>
      </c>
      <c r="D6" s="116">
        <v>2</v>
      </c>
      <c r="E6" s="116">
        <f t="shared" si="1"/>
        <v>10</v>
      </c>
      <c r="F6" s="115">
        <v>2</v>
      </c>
      <c r="G6" s="115">
        <f t="shared" si="2"/>
        <v>10</v>
      </c>
      <c r="H6" s="114">
        <v>2.5</v>
      </c>
      <c r="I6" s="114">
        <f t="shared" si="3"/>
        <v>8.75</v>
      </c>
      <c r="J6" s="113">
        <v>3.5</v>
      </c>
      <c r="K6" s="113">
        <f t="shared" si="4"/>
        <v>7</v>
      </c>
      <c r="L6" s="112">
        <f t="shared" si="5"/>
        <v>40.75</v>
      </c>
    </row>
    <row r="7" spans="1:12">
      <c r="A7" s="118" t="s">
        <v>271</v>
      </c>
      <c r="B7" s="117">
        <v>4</v>
      </c>
      <c r="C7" s="117">
        <f t="shared" si="0"/>
        <v>16</v>
      </c>
      <c r="D7" s="116">
        <v>1.5</v>
      </c>
      <c r="E7" s="116">
        <f t="shared" si="1"/>
        <v>7.5</v>
      </c>
      <c r="F7" s="115">
        <v>5</v>
      </c>
      <c r="G7" s="115">
        <f t="shared" si="2"/>
        <v>25</v>
      </c>
      <c r="H7" s="114">
        <v>5</v>
      </c>
      <c r="I7" s="114">
        <f t="shared" si="3"/>
        <v>17.5</v>
      </c>
      <c r="J7" s="113">
        <v>4</v>
      </c>
      <c r="K7" s="113">
        <f t="shared" si="4"/>
        <v>8</v>
      </c>
      <c r="L7" s="112">
        <f t="shared" si="5"/>
        <v>66</v>
      </c>
    </row>
    <row r="8" spans="1:12">
      <c r="A8" s="118" t="s">
        <v>270</v>
      </c>
      <c r="B8" s="117">
        <v>4</v>
      </c>
      <c r="C8" s="117">
        <f t="shared" si="0"/>
        <v>16</v>
      </c>
      <c r="D8" s="116">
        <v>1</v>
      </c>
      <c r="E8" s="116">
        <f t="shared" si="1"/>
        <v>5</v>
      </c>
      <c r="F8" s="115">
        <v>5</v>
      </c>
      <c r="G8" s="115">
        <f t="shared" si="2"/>
        <v>25</v>
      </c>
      <c r="H8" s="114">
        <v>5</v>
      </c>
      <c r="I8" s="114">
        <f t="shared" si="3"/>
        <v>17.5</v>
      </c>
      <c r="J8" s="113">
        <v>4</v>
      </c>
      <c r="K8" s="113">
        <f t="shared" si="4"/>
        <v>8</v>
      </c>
      <c r="L8" s="112">
        <f t="shared" si="5"/>
        <v>63.5</v>
      </c>
    </row>
    <row r="9" spans="1:12">
      <c r="A9" s="118" t="s">
        <v>269</v>
      </c>
      <c r="B9" s="117">
        <v>3</v>
      </c>
      <c r="C9" s="117">
        <f t="shared" si="0"/>
        <v>12</v>
      </c>
      <c r="D9" s="116">
        <v>2</v>
      </c>
      <c r="E9" s="116">
        <f t="shared" si="1"/>
        <v>10</v>
      </c>
      <c r="F9" s="115">
        <v>3.5</v>
      </c>
      <c r="G9" s="115">
        <f t="shared" si="2"/>
        <v>17.5</v>
      </c>
      <c r="H9" s="114">
        <v>5</v>
      </c>
      <c r="I9" s="114">
        <f t="shared" si="3"/>
        <v>17.5</v>
      </c>
      <c r="J9" s="113">
        <v>3.5</v>
      </c>
      <c r="K9" s="113">
        <f t="shared" si="4"/>
        <v>7</v>
      </c>
      <c r="L9" s="112">
        <f t="shared" si="5"/>
        <v>57</v>
      </c>
    </row>
    <row r="10" spans="1:12">
      <c r="A10" s="118" t="s">
        <v>268</v>
      </c>
      <c r="B10" s="117">
        <v>4.5</v>
      </c>
      <c r="C10" s="117">
        <f t="shared" si="0"/>
        <v>18</v>
      </c>
      <c r="D10" s="116">
        <v>5</v>
      </c>
      <c r="E10" s="116">
        <f t="shared" si="1"/>
        <v>25</v>
      </c>
      <c r="F10" s="115">
        <v>2.5</v>
      </c>
      <c r="G10" s="115">
        <f t="shared" si="2"/>
        <v>12.5</v>
      </c>
      <c r="H10" s="114">
        <v>3</v>
      </c>
      <c r="I10" s="114">
        <f t="shared" si="3"/>
        <v>10.5</v>
      </c>
      <c r="J10" s="113">
        <v>1</v>
      </c>
      <c r="K10" s="113">
        <f t="shared" si="4"/>
        <v>2</v>
      </c>
      <c r="L10" s="112">
        <f t="shared" si="5"/>
        <v>66</v>
      </c>
    </row>
    <row r="11" spans="1:12">
      <c r="A11" s="118" t="s">
        <v>267</v>
      </c>
      <c r="B11" s="117">
        <v>4</v>
      </c>
      <c r="C11" s="117">
        <f t="shared" si="0"/>
        <v>16</v>
      </c>
      <c r="D11" s="116">
        <v>5</v>
      </c>
      <c r="E11" s="116">
        <f t="shared" si="1"/>
        <v>25</v>
      </c>
      <c r="F11" s="115">
        <v>5</v>
      </c>
      <c r="G11" s="115">
        <f t="shared" si="2"/>
        <v>25</v>
      </c>
      <c r="H11" s="114">
        <v>3.5</v>
      </c>
      <c r="I11" s="114">
        <f t="shared" si="3"/>
        <v>12.25</v>
      </c>
      <c r="J11" s="113">
        <v>5</v>
      </c>
      <c r="K11" s="113">
        <f t="shared" si="4"/>
        <v>10</v>
      </c>
      <c r="L11" s="112">
        <f t="shared" si="5"/>
        <v>78.25</v>
      </c>
    </row>
    <row r="12" spans="1:12">
      <c r="A12" s="118" t="s">
        <v>266</v>
      </c>
      <c r="B12" s="117">
        <v>3.5</v>
      </c>
      <c r="C12" s="117">
        <f t="shared" si="0"/>
        <v>14</v>
      </c>
      <c r="D12" s="116">
        <v>5</v>
      </c>
      <c r="E12" s="116">
        <f t="shared" si="1"/>
        <v>25</v>
      </c>
      <c r="F12" s="115">
        <v>2.5</v>
      </c>
      <c r="G12" s="115">
        <f t="shared" si="2"/>
        <v>12.5</v>
      </c>
      <c r="H12" s="114">
        <v>5</v>
      </c>
      <c r="I12" s="114">
        <f t="shared" si="3"/>
        <v>17.5</v>
      </c>
      <c r="J12" s="113">
        <v>5</v>
      </c>
      <c r="K12" s="113">
        <f t="shared" si="4"/>
        <v>10</v>
      </c>
      <c r="L12" s="112">
        <f t="shared" si="5"/>
        <v>69</v>
      </c>
    </row>
  </sheetData>
  <conditionalFormatting sqref="L5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3" percent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5" zoomScaleNormal="85" workbookViewId="0">
      <selection activeCell="P16" sqref="P16"/>
    </sheetView>
  </sheetViews>
  <sheetFormatPr defaultRowHeight="15"/>
  <cols>
    <col min="1" max="1" width="18.28515625" bestFit="1" customWidth="1"/>
    <col min="2" max="3" width="10.5703125" bestFit="1" customWidth="1"/>
    <col min="4" max="4" width="11.42578125" bestFit="1" customWidth="1"/>
    <col min="5" max="5" width="8.28515625" bestFit="1" customWidth="1"/>
    <col min="6" max="6" width="14.5703125" customWidth="1"/>
    <col min="7" max="7" width="12.28515625" customWidth="1"/>
    <col min="8" max="8" width="13.28515625" customWidth="1"/>
    <col min="10" max="13" width="13.28515625" customWidth="1"/>
  </cols>
  <sheetData>
    <row r="1" spans="1:13" s="129" customFormat="1" ht="45">
      <c r="B1" s="129" t="s">
        <v>283</v>
      </c>
      <c r="C1" s="129" t="s">
        <v>282</v>
      </c>
      <c r="D1" s="129" t="s">
        <v>281</v>
      </c>
      <c r="E1" s="126" t="s">
        <v>130</v>
      </c>
      <c r="F1" s="126" t="s">
        <v>301</v>
      </c>
      <c r="G1" s="126" t="s">
        <v>300</v>
      </c>
      <c r="H1" s="126" t="s">
        <v>299</v>
      </c>
      <c r="J1" s="124" t="s">
        <v>129</v>
      </c>
      <c r="K1" s="124" t="s">
        <v>301</v>
      </c>
      <c r="L1" s="124" t="s">
        <v>300</v>
      </c>
      <c r="M1" s="124" t="s">
        <v>299</v>
      </c>
    </row>
    <row r="2" spans="1:13">
      <c r="A2" t="s">
        <v>298</v>
      </c>
      <c r="B2" s="128">
        <v>0.5</v>
      </c>
      <c r="C2" s="128">
        <v>0.4</v>
      </c>
      <c r="D2" s="128">
        <v>1.4</v>
      </c>
      <c r="E2" s="127">
        <v>3</v>
      </c>
      <c r="F2" s="122">
        <f t="shared" ref="F2:F16" si="0">$E2*B2</f>
        <v>1.5</v>
      </c>
      <c r="G2" s="122">
        <f t="shared" ref="G2:G16" si="1">$E2*C2</f>
        <v>1.2000000000000002</v>
      </c>
      <c r="H2" s="122">
        <f t="shared" ref="H2:H16" si="2">$E2*D2</f>
        <v>4.1999999999999993</v>
      </c>
      <c r="J2" s="125">
        <v>5</v>
      </c>
      <c r="K2" s="120">
        <f t="shared" ref="K2:K16" si="3">$J2*B2</f>
        <v>2.5</v>
      </c>
      <c r="L2" s="120">
        <f t="shared" ref="L2:L16" si="4">$J2*C2</f>
        <v>2</v>
      </c>
      <c r="M2" s="120">
        <f t="shared" ref="M2:M16" si="5">$J2*D2</f>
        <v>7</v>
      </c>
    </row>
    <row r="3" spans="1:13">
      <c r="A3" t="s">
        <v>297</v>
      </c>
      <c r="B3" s="128">
        <v>28</v>
      </c>
      <c r="C3" s="128">
        <v>33</v>
      </c>
      <c r="D3" s="128">
        <v>31</v>
      </c>
      <c r="E3" s="127">
        <v>1</v>
      </c>
      <c r="F3" s="122">
        <f t="shared" si="0"/>
        <v>28</v>
      </c>
      <c r="G3" s="122">
        <f t="shared" si="1"/>
        <v>33</v>
      </c>
      <c r="H3" s="122">
        <f t="shared" si="2"/>
        <v>31</v>
      </c>
      <c r="J3" s="125">
        <v>1</v>
      </c>
      <c r="K3" s="120">
        <f t="shared" si="3"/>
        <v>28</v>
      </c>
      <c r="L3" s="120">
        <f t="shared" si="4"/>
        <v>33</v>
      </c>
      <c r="M3" s="120">
        <f t="shared" si="5"/>
        <v>31</v>
      </c>
    </row>
    <row r="4" spans="1:13">
      <c r="A4" t="s">
        <v>296</v>
      </c>
      <c r="B4" s="128">
        <v>1.8</v>
      </c>
      <c r="C4" s="128">
        <v>1</v>
      </c>
      <c r="D4" s="128">
        <v>2</v>
      </c>
      <c r="E4" s="127">
        <v>7</v>
      </c>
      <c r="F4" s="122">
        <f t="shared" si="0"/>
        <v>12.6</v>
      </c>
      <c r="G4" s="122">
        <f t="shared" si="1"/>
        <v>7</v>
      </c>
      <c r="H4" s="122">
        <f t="shared" si="2"/>
        <v>14</v>
      </c>
      <c r="J4" s="125">
        <v>4</v>
      </c>
      <c r="K4" s="120">
        <f t="shared" si="3"/>
        <v>7.2</v>
      </c>
      <c r="L4" s="120">
        <f t="shared" si="4"/>
        <v>4</v>
      </c>
      <c r="M4" s="120">
        <f t="shared" si="5"/>
        <v>8</v>
      </c>
    </row>
    <row r="5" spans="1:13">
      <c r="A5" t="s">
        <v>295</v>
      </c>
      <c r="B5" s="128">
        <v>1.2</v>
      </c>
      <c r="C5" s="128">
        <v>0.8</v>
      </c>
      <c r="D5" s="128">
        <v>1.5</v>
      </c>
      <c r="E5" s="127">
        <v>1</v>
      </c>
      <c r="F5" s="122">
        <f t="shared" si="0"/>
        <v>1.2</v>
      </c>
      <c r="G5" s="122">
        <f t="shared" si="1"/>
        <v>0.8</v>
      </c>
      <c r="H5" s="122">
        <f t="shared" si="2"/>
        <v>1.5</v>
      </c>
      <c r="J5" s="125">
        <v>2</v>
      </c>
      <c r="K5" s="120">
        <f t="shared" si="3"/>
        <v>2.4</v>
      </c>
      <c r="L5" s="120">
        <f t="shared" si="4"/>
        <v>1.6</v>
      </c>
      <c r="M5" s="120">
        <f t="shared" si="5"/>
        <v>3</v>
      </c>
    </row>
    <row r="6" spans="1:13">
      <c r="A6" t="s">
        <v>294</v>
      </c>
      <c r="B6" s="128">
        <v>2.4</v>
      </c>
      <c r="C6" s="128">
        <v>1.4</v>
      </c>
      <c r="D6" s="128">
        <v>2.4</v>
      </c>
      <c r="E6" s="127">
        <v>2</v>
      </c>
      <c r="F6" s="122">
        <f t="shared" si="0"/>
        <v>4.8</v>
      </c>
      <c r="G6" s="122">
        <f t="shared" si="1"/>
        <v>2.8</v>
      </c>
      <c r="H6" s="122">
        <f t="shared" si="2"/>
        <v>4.8</v>
      </c>
      <c r="J6" s="125">
        <v>2</v>
      </c>
      <c r="K6" s="120">
        <f t="shared" si="3"/>
        <v>4.8</v>
      </c>
      <c r="L6" s="120">
        <f t="shared" si="4"/>
        <v>2.8</v>
      </c>
      <c r="M6" s="120">
        <f t="shared" si="5"/>
        <v>4.8</v>
      </c>
    </row>
    <row r="7" spans="1:13">
      <c r="A7" t="s">
        <v>293</v>
      </c>
      <c r="B7" s="128">
        <v>0.9</v>
      </c>
      <c r="C7" s="128">
        <v>0.2</v>
      </c>
      <c r="D7" s="128">
        <v>0.8</v>
      </c>
      <c r="E7" s="127">
        <v>2</v>
      </c>
      <c r="F7" s="122">
        <f t="shared" si="0"/>
        <v>1.8</v>
      </c>
      <c r="G7" s="122">
        <f t="shared" si="1"/>
        <v>0.4</v>
      </c>
      <c r="H7" s="122">
        <f t="shared" si="2"/>
        <v>1.6</v>
      </c>
      <c r="J7" s="125">
        <v>2</v>
      </c>
      <c r="K7" s="120">
        <f t="shared" si="3"/>
        <v>1.8</v>
      </c>
      <c r="L7" s="120">
        <f t="shared" si="4"/>
        <v>0.4</v>
      </c>
      <c r="M7" s="120">
        <f t="shared" si="5"/>
        <v>1.6</v>
      </c>
    </row>
    <row r="8" spans="1:13">
      <c r="A8" t="s">
        <v>292</v>
      </c>
      <c r="B8" s="128">
        <v>0.99</v>
      </c>
      <c r="C8" s="128">
        <v>0.59</v>
      </c>
      <c r="D8" s="128">
        <v>2.59</v>
      </c>
      <c r="E8" s="127">
        <v>1</v>
      </c>
      <c r="F8" s="122">
        <f t="shared" si="0"/>
        <v>0.99</v>
      </c>
      <c r="G8" s="122">
        <f t="shared" si="1"/>
        <v>0.59</v>
      </c>
      <c r="H8" s="122">
        <f t="shared" si="2"/>
        <v>2.59</v>
      </c>
      <c r="J8" s="125">
        <v>10</v>
      </c>
      <c r="K8" s="120">
        <f t="shared" si="3"/>
        <v>9.9</v>
      </c>
      <c r="L8" s="120">
        <f t="shared" si="4"/>
        <v>5.8999999999999995</v>
      </c>
      <c r="M8" s="120">
        <f t="shared" si="5"/>
        <v>25.9</v>
      </c>
    </row>
    <row r="9" spans="1:13">
      <c r="A9" t="s">
        <v>291</v>
      </c>
      <c r="B9" s="128">
        <v>1.25</v>
      </c>
      <c r="C9" s="128">
        <v>3.25</v>
      </c>
      <c r="D9" s="128">
        <v>2.15</v>
      </c>
      <c r="E9" s="127">
        <v>4</v>
      </c>
      <c r="F9" s="122">
        <f t="shared" si="0"/>
        <v>5</v>
      </c>
      <c r="G9" s="122">
        <f t="shared" si="1"/>
        <v>13</v>
      </c>
      <c r="H9" s="122">
        <f t="shared" si="2"/>
        <v>8.6</v>
      </c>
      <c r="J9" s="125">
        <v>12</v>
      </c>
      <c r="K9" s="120">
        <f t="shared" si="3"/>
        <v>15</v>
      </c>
      <c r="L9" s="120">
        <f t="shared" si="4"/>
        <v>39</v>
      </c>
      <c r="M9" s="120">
        <f t="shared" si="5"/>
        <v>25.799999999999997</v>
      </c>
    </row>
    <row r="10" spans="1:13">
      <c r="A10" t="s">
        <v>290</v>
      </c>
      <c r="B10" s="128">
        <v>9.5</v>
      </c>
      <c r="C10" s="128">
        <v>14</v>
      </c>
      <c r="D10" s="128">
        <v>13</v>
      </c>
      <c r="E10" s="127">
        <v>1</v>
      </c>
      <c r="F10" s="122">
        <f t="shared" si="0"/>
        <v>9.5</v>
      </c>
      <c r="G10" s="122">
        <f t="shared" si="1"/>
        <v>14</v>
      </c>
      <c r="H10" s="122">
        <f t="shared" si="2"/>
        <v>13</v>
      </c>
      <c r="J10" s="125">
        <v>1</v>
      </c>
      <c r="K10" s="120">
        <f t="shared" si="3"/>
        <v>9.5</v>
      </c>
      <c r="L10" s="120">
        <f t="shared" si="4"/>
        <v>14</v>
      </c>
      <c r="M10" s="120">
        <f t="shared" si="5"/>
        <v>13</v>
      </c>
    </row>
    <row r="11" spans="1:13">
      <c r="A11" t="s">
        <v>289</v>
      </c>
      <c r="B11" s="128">
        <v>4.55</v>
      </c>
      <c r="C11" s="128">
        <v>2.5499999999999998</v>
      </c>
      <c r="D11" s="128">
        <v>6</v>
      </c>
      <c r="E11" s="127">
        <v>1</v>
      </c>
      <c r="F11" s="122">
        <f t="shared" si="0"/>
        <v>4.55</v>
      </c>
      <c r="G11" s="122">
        <f t="shared" si="1"/>
        <v>2.5499999999999998</v>
      </c>
      <c r="H11" s="122">
        <f t="shared" si="2"/>
        <v>6</v>
      </c>
      <c r="J11" s="125">
        <v>1</v>
      </c>
      <c r="K11" s="120">
        <f t="shared" si="3"/>
        <v>4.55</v>
      </c>
      <c r="L11" s="120">
        <f t="shared" si="4"/>
        <v>2.5499999999999998</v>
      </c>
      <c r="M11" s="120">
        <f t="shared" si="5"/>
        <v>6</v>
      </c>
    </row>
    <row r="12" spans="1:13">
      <c r="A12" t="s">
        <v>288</v>
      </c>
      <c r="B12" s="128">
        <v>4.2</v>
      </c>
      <c r="C12" s="128">
        <v>2.2000000000000002</v>
      </c>
      <c r="D12" s="128">
        <v>3</v>
      </c>
      <c r="E12" s="127">
        <v>1</v>
      </c>
      <c r="F12" s="122">
        <f t="shared" si="0"/>
        <v>4.2</v>
      </c>
      <c r="G12" s="122">
        <f t="shared" si="1"/>
        <v>2.2000000000000002</v>
      </c>
      <c r="H12" s="122">
        <f t="shared" si="2"/>
        <v>3</v>
      </c>
      <c r="J12" s="125">
        <v>0</v>
      </c>
      <c r="K12" s="120">
        <f t="shared" si="3"/>
        <v>0</v>
      </c>
      <c r="L12" s="120">
        <f t="shared" si="4"/>
        <v>0</v>
      </c>
      <c r="M12" s="120">
        <f t="shared" si="5"/>
        <v>0</v>
      </c>
    </row>
    <row r="13" spans="1:13">
      <c r="A13" t="s">
        <v>287</v>
      </c>
      <c r="B13" s="128">
        <v>3.9</v>
      </c>
      <c r="C13" s="128">
        <v>5</v>
      </c>
      <c r="D13" s="128">
        <v>8</v>
      </c>
      <c r="E13" s="127">
        <v>1</v>
      </c>
      <c r="F13" s="122">
        <f t="shared" si="0"/>
        <v>3.9</v>
      </c>
      <c r="G13" s="122">
        <f t="shared" si="1"/>
        <v>5</v>
      </c>
      <c r="H13" s="122">
        <f t="shared" si="2"/>
        <v>8</v>
      </c>
      <c r="J13" s="125">
        <v>0</v>
      </c>
      <c r="K13" s="120">
        <f t="shared" si="3"/>
        <v>0</v>
      </c>
      <c r="L13" s="120">
        <f t="shared" si="4"/>
        <v>0</v>
      </c>
      <c r="M13" s="120">
        <f t="shared" si="5"/>
        <v>0</v>
      </c>
    </row>
    <row r="14" spans="1:13">
      <c r="A14" t="s">
        <v>286</v>
      </c>
      <c r="B14" s="128">
        <v>1</v>
      </c>
      <c r="C14" s="128">
        <v>2</v>
      </c>
      <c r="D14" s="128">
        <v>1</v>
      </c>
      <c r="E14" s="127">
        <v>1</v>
      </c>
      <c r="F14" s="122">
        <f t="shared" si="0"/>
        <v>1</v>
      </c>
      <c r="G14" s="122">
        <f t="shared" si="1"/>
        <v>2</v>
      </c>
      <c r="H14" s="122">
        <f t="shared" si="2"/>
        <v>1</v>
      </c>
      <c r="J14" s="125">
        <v>0</v>
      </c>
      <c r="K14" s="120">
        <f t="shared" si="3"/>
        <v>0</v>
      </c>
      <c r="L14" s="120">
        <f t="shared" si="4"/>
        <v>0</v>
      </c>
      <c r="M14" s="120">
        <f t="shared" si="5"/>
        <v>0</v>
      </c>
    </row>
    <row r="15" spans="1:13">
      <c r="A15" t="s">
        <v>285</v>
      </c>
      <c r="B15" s="128">
        <v>1.75</v>
      </c>
      <c r="C15" s="128">
        <v>2</v>
      </c>
      <c r="D15" s="128">
        <v>1</v>
      </c>
      <c r="E15" s="127">
        <v>1</v>
      </c>
      <c r="F15" s="122">
        <f t="shared" si="0"/>
        <v>1.75</v>
      </c>
      <c r="G15" s="122">
        <f t="shared" si="1"/>
        <v>2</v>
      </c>
      <c r="H15" s="122">
        <f t="shared" si="2"/>
        <v>1</v>
      </c>
      <c r="J15" s="125">
        <v>0</v>
      </c>
      <c r="K15" s="120">
        <f t="shared" si="3"/>
        <v>0</v>
      </c>
      <c r="L15" s="120">
        <f t="shared" si="4"/>
        <v>0</v>
      </c>
      <c r="M15" s="120">
        <f t="shared" si="5"/>
        <v>0</v>
      </c>
    </row>
    <row r="16" spans="1:13">
      <c r="A16" t="s">
        <v>284</v>
      </c>
      <c r="B16" s="128">
        <v>2</v>
      </c>
      <c r="C16" s="128">
        <v>1</v>
      </c>
      <c r="D16" s="128">
        <v>3</v>
      </c>
      <c r="E16" s="127">
        <v>1</v>
      </c>
      <c r="F16" s="122">
        <f t="shared" si="0"/>
        <v>2</v>
      </c>
      <c r="G16" s="122">
        <f t="shared" si="1"/>
        <v>1</v>
      </c>
      <c r="H16" s="122">
        <f t="shared" si="2"/>
        <v>3</v>
      </c>
      <c r="J16" s="125">
        <v>2</v>
      </c>
      <c r="K16" s="120">
        <f t="shared" si="3"/>
        <v>4</v>
      </c>
      <c r="L16" s="120">
        <f t="shared" si="4"/>
        <v>2</v>
      </c>
      <c r="M16" s="120">
        <f t="shared" si="5"/>
        <v>6</v>
      </c>
    </row>
    <row r="17" spans="5:13">
      <c r="E17" s="127"/>
      <c r="F17" s="126" t="s">
        <v>283</v>
      </c>
      <c r="G17" s="126" t="s">
        <v>282</v>
      </c>
      <c r="H17" s="126" t="s">
        <v>281</v>
      </c>
      <c r="J17" s="125"/>
      <c r="K17" s="124" t="s">
        <v>283</v>
      </c>
      <c r="L17" s="124" t="s">
        <v>282</v>
      </c>
      <c r="M17" s="124" t="s">
        <v>281</v>
      </c>
    </row>
    <row r="18" spans="5:13">
      <c r="E18" s="123" t="s">
        <v>78</v>
      </c>
      <c r="F18" s="122">
        <f>SUM(F2:F16)</f>
        <v>82.79</v>
      </c>
      <c r="G18" s="122">
        <f>SUM(G2:G16)</f>
        <v>87.539999999999992</v>
      </c>
      <c r="H18" s="122">
        <f>SUM(H2:H16)</f>
        <v>103.28999999999999</v>
      </c>
      <c r="J18" s="121" t="s">
        <v>78</v>
      </c>
      <c r="K18" s="120">
        <f>SUM(K2:K16)</f>
        <v>89.649999999999991</v>
      </c>
      <c r="L18" s="120">
        <f>SUM(L2:L16)</f>
        <v>107.24999999999999</v>
      </c>
      <c r="M18" s="120">
        <f>SUM(M2:M16)</f>
        <v>132.1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Payroll</vt:lpstr>
      <vt:lpstr>Loan Repayments</vt:lpstr>
      <vt:lpstr>Printer Decision</vt:lpstr>
      <vt:lpstr>Holiday Decision</vt:lpstr>
      <vt:lpstr>Crystal Car Pool Data</vt:lpstr>
      <vt:lpstr>Crystal Car Pool Pivot</vt:lpstr>
      <vt:lpstr>GradeBook</vt:lpstr>
      <vt:lpstr>Career Decision Making</vt:lpstr>
      <vt:lpstr>Shopping Decision</vt:lpstr>
      <vt:lpstr>Car Inventory</vt:lpstr>
      <vt:lpstr>Car Inventory Pivot Table</vt:lpstr>
      <vt:lpstr>Pet Buying Decision</vt:lpstr>
      <vt:lpstr>Car Cost Decision Maker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2023-03-28T17:15:49Z</dcterms:created>
  <dcterms:modified xsi:type="dcterms:W3CDTF">2023-04-12T18:40:41Z</dcterms:modified>
</cp:coreProperties>
</file>