
<file path=[Content_Types].xml><?xml version="1.0" encoding="utf-8"?>
<Types xmlns="http://schemas.openxmlformats.org/package/2006/content-types">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ml.chartshapes+xml"/>
  <Override PartName="/xl/drawings/drawing39.xml" ContentType="application/vnd.openxmlformats-officedocument.drawing+xml"/>
  <Override PartName="/xl/drawings/drawing57.xml" ContentType="application/vnd.openxmlformats-officedocument.drawing+xml"/>
  <Override PartName="/xl/worksheets/sheet7.xml" ContentType="application/vnd.openxmlformats-officedocument.spreadsheetml.worksheet+xml"/>
  <Override PartName="/xl/drawings/drawing17.xml" ContentType="application/vnd.openxmlformats-officedocument.drawingml.chartshapes+xml"/>
  <Override PartName="/xl/drawings/drawing28.xml" ContentType="application/vnd.openxmlformats-officedocument.drawingml.chartshapes+xml"/>
  <Override PartName="/xl/drawings/drawing46.xml" ContentType="application/vnd.openxmlformats-officedocument.drawingml.chartshapes+xml"/>
  <Override PartName="/xl/drawings/drawing64.xml" ContentType="application/vnd.openxmlformats-officedocument.drawingml.chartshapes+xml"/>
  <Default Extension="xml" ContentType="application/xml"/>
  <Override PartName="/xl/drawings/drawing2.xml" ContentType="application/vnd.openxmlformats-officedocument.drawingml.chartshapes+xml"/>
  <Override PartName="/xl/drawings/drawing35.xml" ContentType="application/vnd.openxmlformats-officedocument.drawingml.chartshapes+xml"/>
  <Override PartName="/xl/charts/chart49.xml" ContentType="application/vnd.openxmlformats-officedocument.drawingml.chart+xml"/>
  <Override PartName="/xl/drawings/drawing53.xml" ContentType="application/vnd.openxmlformats-officedocument.drawingml.chartshapes+xml"/>
  <Override PartName="/xl/worksheets/sheet3.xml" ContentType="application/vnd.openxmlformats-officedocument.spreadsheetml.worksheet+xml"/>
  <Override PartName="/xl/drawings/drawing13.xml" ContentType="application/vnd.openxmlformats-officedocument.drawingml.chartshapes+xml"/>
  <Override PartName="/xl/drawings/drawing24.xml" ContentType="application/vnd.openxmlformats-officedocument.drawingml.chartshapes+xml"/>
  <Override PartName="/xl/charts/chart27.xml" ContentType="application/vnd.openxmlformats-officedocument.drawingml.chart+xml"/>
  <Override PartName="/xl/charts/chart38.xml" ContentType="application/vnd.openxmlformats-officedocument.drawingml.chart+xml"/>
  <Override PartName="/xl/drawings/drawing42.xml" ContentType="application/vnd.openxmlformats-officedocument.drawingml.chartshapes+xml"/>
  <Override PartName="/xl/charts/chart56.xml" ContentType="application/vnd.openxmlformats-officedocument.drawingml.chart+xml"/>
  <Override PartName="/xl/drawings/drawing60.xml" ContentType="application/vnd.openxmlformats-officedocument.drawingml.chartshapes+xml"/>
  <Override PartName="/xl/charts/chart16.xml" ContentType="application/vnd.openxmlformats-officedocument.drawingml.chart+xml"/>
  <Override PartName="/xl/drawings/drawing20.xml" ContentType="application/vnd.openxmlformats-officedocument.drawingml.chartshapes+xml"/>
  <Override PartName="/xl/drawings/drawing31.xml" ContentType="application/vnd.openxmlformats-officedocument.drawingml.chartshapes+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Default Extension="bin" ContentType="application/vnd.openxmlformats-officedocument.spreadsheetml.printerSettings"/>
  <Override PartName="/xl/charts/chart5.xml" ContentType="application/vnd.openxmlformats-officedocument.drawingml.chart+xml"/>
  <Override PartName="/xl/drawings/drawing7.xml" ContentType="application/vnd.openxmlformats-officedocument.drawingml.chartshapes+xml"/>
  <Override PartName="/xl/drawings/drawing29.xml" ContentType="application/vnd.openxmlformats-officedocument.drawingml.chartshapes+xml"/>
  <Override PartName="/xl/drawings/drawing38.xml" ContentType="application/vnd.openxmlformats-officedocument.drawingml.chartshapes+xml"/>
  <Override PartName="/xl/drawings/drawing49.xml" ContentType="application/vnd.openxmlformats-officedocument.drawingml.chartshapes+xml"/>
  <Override PartName="/xl/drawings/drawing58.xml" ContentType="application/vnd.openxmlformats-officedocument.drawingml.chartshapes+xml"/>
  <Override PartName="/xl/worksheets/sheet6.xml" ContentType="application/vnd.openxmlformats-officedocument.spreadsheetml.worksheet+xml"/>
  <Override PartName="/xl/worksheets/sheet8.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ml.chartshapes+xml"/>
  <Override PartName="/xl/drawings/drawing18.xml" ContentType="application/vnd.openxmlformats-officedocument.drawingml.chartshapes+xml"/>
  <Override PartName="/xl/drawings/drawing27.xml" ContentType="application/vnd.openxmlformats-officedocument.drawingml.chartshapes+xml"/>
  <Override PartName="/xl/drawings/drawing36.xml" ContentType="application/vnd.openxmlformats-officedocument.drawingml.chartshapes+xml"/>
  <Override PartName="/xl/drawings/drawing45.xml" ContentType="application/vnd.openxmlformats-officedocument.drawingml.chartshapes+xml"/>
  <Override PartName="/xl/drawings/drawing47.xml" ContentType="application/vnd.openxmlformats-officedocument.drawingml.chartshapes+xml"/>
  <Override PartName="/xl/drawings/drawing56.xml" ContentType="application/vnd.openxmlformats-officedocument.drawingml.chartshapes+xml"/>
  <Override PartName="/xl/charts/chart59.xml" ContentType="application/vnd.openxmlformats-officedocument.drawingml.chart+xml"/>
  <Override PartName="/xl/drawings/drawing65.xml" ContentType="application/vnd.openxmlformats-officedocument.drawingml.chartshapes+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ml.chartshapes+xml"/>
  <Override PartName="/xl/drawings/drawing16.xml" ContentType="application/vnd.openxmlformats-officedocument.drawingml.chartshapes+xml"/>
  <Override PartName="/xl/drawings/drawing25.xml" ContentType="application/vnd.openxmlformats-officedocument.drawingml.chartshapes+xml"/>
  <Override PartName="/xl/drawings/drawing34.xml" ContentType="application/vnd.openxmlformats-officedocument.drawingml.chartshapes+xml"/>
  <Override PartName="/xl/charts/chart39.xml" ContentType="application/vnd.openxmlformats-officedocument.drawingml.chart+xml"/>
  <Override PartName="/xl/drawings/drawing43.xml" ContentType="application/vnd.openxmlformats-officedocument.drawingml.chartshapes+xml"/>
  <Override PartName="/xl/charts/chart48.xml" ContentType="application/vnd.openxmlformats-officedocument.drawingml.chart+xml"/>
  <Override PartName="/xl/drawings/drawing54.xml" ContentType="application/vnd.openxmlformats-officedocument.drawingml.chartshapes+xml"/>
  <Override PartName="/xl/charts/chart57.xml" ContentType="application/vnd.openxmlformats-officedocument.drawingml.chart+xml"/>
  <Override PartName="/xl/drawings/drawing6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ml.chartshapes+xml"/>
  <Override PartName="/xl/charts/chart19.xml" ContentType="application/vnd.openxmlformats-officedocument.drawingml.chart+xml"/>
  <Override PartName="/xl/drawings/drawing23.xml" ContentType="application/vnd.openxmlformats-officedocument.drawingml.chartshapes+xml"/>
  <Override PartName="/xl/charts/chart28.xml" ContentType="application/vnd.openxmlformats-officedocument.drawingml.chart+xml"/>
  <Override PartName="/xl/drawings/drawing32.xml" ContentType="application/vnd.openxmlformats-officedocument.drawingml.chartshapes+xml"/>
  <Override PartName="/xl/charts/chart37.xml" ContentType="application/vnd.openxmlformats-officedocument.drawingml.chart+xml"/>
  <Override PartName="/xl/drawings/drawing41.xml" ContentType="application/vnd.openxmlformats-officedocument.drawingml.chartshapes+xml"/>
  <Override PartName="/xl/charts/chart46.xml" ContentType="application/vnd.openxmlformats-officedocument.drawingml.chart+xml"/>
  <Override PartName="/xl/drawings/drawing52.xml" ContentType="application/vnd.openxmlformats-officedocument.drawingml.chartshapes+xml"/>
  <Override PartName="/xl/charts/chart55.xml" ContentType="application/vnd.openxmlformats-officedocument.drawingml.chart+xml"/>
  <Override PartName="/xl/drawings/drawing61.xml" ContentType="application/vnd.openxmlformats-officedocument.drawingml.chartshapes+xml"/>
  <Override PartName="/xl/drawings/drawing12.xml" ContentType="application/vnd.openxmlformats-officedocument.drawingml.chartshapes+xml"/>
  <Override PartName="/xl/charts/chart17.xml" ContentType="application/vnd.openxmlformats-officedocument.drawingml.chart+xml"/>
  <Override PartName="/xl/drawings/drawing21.xml" ContentType="application/vnd.openxmlformats-officedocument.drawing+xml"/>
  <Override PartName="/xl/charts/chart26.xml" ContentType="application/vnd.openxmlformats-officedocument.drawingml.chart+xml"/>
  <Override PartName="/xl/drawings/drawing30.xml" ContentType="application/vnd.openxmlformats-officedocument.drawing+xml"/>
  <Override PartName="/xl/charts/chart35.xml" ContentType="application/vnd.openxmlformats-officedocument.drawingml.chart+xml"/>
  <Override PartName="/xl/charts/chart44.xml" ContentType="application/vnd.openxmlformats-officedocument.drawingml.chart+xml"/>
  <Override PartName="/xl/drawings/drawing50.xml" ContentType="application/vnd.openxmlformats-officedocument.drawingml.chartshapes+xml"/>
  <Override PartName="/xl/charts/chart53.xml" ContentType="application/vnd.openxmlformats-officedocument.drawingml.chart+xml"/>
  <Override PartName="/xl/calcChain.xml" ContentType="application/vnd.openxmlformats-officedocument.spreadsheetml.calcChain+xml"/>
  <Override PartName="/xl/drawings/drawing10.xml" ContentType="application/vnd.openxmlformats-officedocument.drawingml.chartshapes+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charts/chart6.xml" ContentType="application/vnd.openxmlformats-officedocument.drawingml.chart+xml"/>
  <Override PartName="/xl/charts/chart20.xml" ContentType="application/vnd.openxmlformats-officedocument.drawingml.chart+xml"/>
  <Override PartName="/xl/queryTables/queryTable1.xml" ContentType="application/vnd.openxmlformats-officedocument.spreadsheetml.queryTable+xml"/>
  <Override PartName="/xl/drawings/drawing59.xml" ContentType="application/vnd.openxmlformats-officedocument.drawingml.chartshapes+xml"/>
  <Override PartName="/xl/worksheets/sheet9.xml" ContentType="application/vnd.openxmlformats-officedocument.spreadsheetml.worksheet+xml"/>
  <Override PartName="/xl/theme/theme1.xml" ContentType="application/vnd.openxmlformats-officedocument.theme+xml"/>
  <Override PartName="/xl/drawings/drawing8.xml" ContentType="application/vnd.openxmlformats-officedocument.drawingml.chartshapes+xml"/>
  <Override PartName="/xl/drawings/drawing19.xml" ContentType="application/vnd.openxmlformats-officedocument.drawingml.chartshapes+xml"/>
  <Override PartName="/xl/drawings/drawing48.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37.xml" ContentType="application/vnd.openxmlformats-officedocument.drawingml.chartshapes+xml"/>
  <Override PartName="/xl/drawings/drawing55.xml" ContentType="application/vnd.openxmlformats-officedocument.drawingml.chartshapes+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ml.chartshapes+xml"/>
  <Override PartName="/xl/drawings/drawing26.xml" ContentType="application/vnd.openxmlformats-officedocument.drawingml.chartshapes+xml"/>
  <Override PartName="/xl/charts/chart29.xml" ContentType="application/vnd.openxmlformats-officedocument.drawingml.chart+xml"/>
  <Override PartName="/xl/drawings/drawing44.xml" ContentType="application/vnd.openxmlformats-officedocument.drawingml.chartshapes+xml"/>
  <Override PartName="/xl/charts/chart58.xml" ContentType="application/vnd.openxmlformats-officedocument.drawingml.chart+xml"/>
  <Override PartName="/xl/drawings/drawing62.xml" ContentType="application/vnd.openxmlformats-officedocument.drawingml.chartshapes+xml"/>
  <Override PartName="/xl/connections.xml" ContentType="application/vnd.openxmlformats-officedocument.spreadsheetml.connections+xml"/>
  <Override PartName="/xl/charts/chart18.xml" ContentType="application/vnd.openxmlformats-officedocument.drawingml.chart+xml"/>
  <Override PartName="/xl/drawings/drawing22.xml" ContentType="application/vnd.openxmlformats-officedocument.drawingml.chartshapes+xml"/>
  <Override PartName="/xl/drawings/drawing33.xml" ContentType="application/vnd.openxmlformats-officedocument.drawingml.chartshapes+xml"/>
  <Override PartName="/xl/charts/chart36.xml" ContentType="application/vnd.openxmlformats-officedocument.drawingml.chart+xml"/>
  <Override PartName="/xl/charts/chart47.xml" ContentType="application/vnd.openxmlformats-officedocument.drawingml.chart+xml"/>
  <Override PartName="/xl/drawings/drawing51.xml" ContentType="application/vnd.openxmlformats-officedocument.drawingml.chartshapes+xml"/>
  <Override PartName="/xl/worksheets/sheet1.xml" ContentType="application/vnd.openxmlformats-officedocument.spreadsheetml.worksheet+xml"/>
  <Override PartName="/xl/drawings/drawing11.xml" ContentType="application/vnd.openxmlformats-officedocument.drawing+xml"/>
  <Override PartName="/xl/charts/chart25.xml" ContentType="application/vnd.openxmlformats-officedocument.drawingml.chart+xml"/>
  <Override PartName="/xl/drawings/drawing40.xml" ContentType="application/vnd.openxmlformats-officedocument.drawingml.chartshapes+xml"/>
  <Override PartName="/xl/charts/chart54.xml" ContentType="application/vnd.openxmlformats-officedocument.drawingml.chart+xml"/>
  <Override PartName="/xl/charts/chart14.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charts/chart7.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Override PartName="/xl/queryTables/queryTable2.xml" ContentType="application/vnd.openxmlformats-officedocument.spreadsheetml.query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7035" yWindow="420" windowWidth="14805" windowHeight="8010" firstSheet="2" activeTab="4"/>
  </bookViews>
  <sheets>
    <sheet name="Sheet1" sheetId="1" state="hidden" r:id="rId1"/>
    <sheet name="pre5OBU" sheetId="2" state="hidden" r:id="rId2"/>
    <sheet name="1OBU" sheetId="3" r:id="rId3"/>
    <sheet name="10OBU" sheetId="5" r:id="rId4"/>
    <sheet name="20OBU" sheetId="7" r:id="rId5"/>
    <sheet name="40OBU" sheetId="9" r:id="rId6"/>
    <sheet name="60OBU" sheetId="10" r:id="rId7"/>
    <sheet name="80OBU" sheetId="11" r:id="rId8"/>
    <sheet name="100OBU" sheetId="12" r:id="rId9"/>
  </sheets>
  <definedNames>
    <definedName name="_100obu.80211_N101_P1_InOutThrput" localSheetId="8">'100OBU'!$HP$3:$HP$32</definedName>
    <definedName name="_100obu.80211_N102_P1_InOutThrput" localSheetId="8">'100OBU'!$HQ$3:$HQ$32</definedName>
  </definedNames>
  <calcPr calcId="125725"/>
</workbook>
</file>

<file path=xl/calcChain.xml><?xml version="1.0" encoding="utf-8"?>
<calcChain xmlns="http://schemas.openxmlformats.org/spreadsheetml/2006/main">
  <c r="M33" i="10"/>
  <c r="G33"/>
  <c r="M33" i="3"/>
  <c r="L33" i="11"/>
  <c r="L33" i="10"/>
  <c r="F33"/>
  <c r="L33" i="3"/>
  <c r="DS33" i="12"/>
  <c r="G4"/>
  <c r="G5"/>
  <c r="G6"/>
  <c r="G8"/>
  <c r="G10"/>
  <c r="G12"/>
  <c r="G13"/>
  <c r="G15"/>
  <c r="G16"/>
  <c r="G18"/>
  <c r="G21"/>
  <c r="G23"/>
  <c r="G24"/>
  <c r="G26"/>
  <c r="G28"/>
  <c r="G30"/>
  <c r="G31"/>
  <c r="G3"/>
  <c r="F4"/>
  <c r="F5"/>
  <c r="F6"/>
  <c r="F7"/>
  <c r="G7" s="1"/>
  <c r="F8"/>
  <c r="F9"/>
  <c r="G9" s="1"/>
  <c r="F10"/>
  <c r="F11"/>
  <c r="G11" s="1"/>
  <c r="F12"/>
  <c r="F13"/>
  <c r="F14"/>
  <c r="F15"/>
  <c r="F16"/>
  <c r="F17"/>
  <c r="G17" s="1"/>
  <c r="F18"/>
  <c r="F19"/>
  <c r="G19" s="1"/>
  <c r="F20"/>
  <c r="G20" s="1"/>
  <c r="F21"/>
  <c r="F22"/>
  <c r="G22" s="1"/>
  <c r="F23"/>
  <c r="F24"/>
  <c r="F25"/>
  <c r="F26"/>
  <c r="F27"/>
  <c r="G27" s="1"/>
  <c r="F28"/>
  <c r="F29"/>
  <c r="G29" s="1"/>
  <c r="F30"/>
  <c r="F31"/>
  <c r="F32"/>
  <c r="DX37"/>
  <c r="DX38"/>
  <c r="DX39"/>
  <c r="DX41"/>
  <c r="DX42"/>
  <c r="DX43"/>
  <c r="DX44"/>
  <c r="DX45"/>
  <c r="DX46"/>
  <c r="DX47"/>
  <c r="DX48"/>
  <c r="DX49"/>
  <c r="DX50"/>
  <c r="DX51"/>
  <c r="DX53"/>
  <c r="DX54"/>
  <c r="DX55"/>
  <c r="DX56"/>
  <c r="DX59"/>
  <c r="DX60"/>
  <c r="DX61"/>
  <c r="DS69"/>
  <c r="DS71"/>
  <c r="DS73"/>
  <c r="DS74"/>
  <c r="DS76"/>
  <c r="DS78"/>
  <c r="DS79"/>
  <c r="DS81"/>
  <c r="DS83"/>
  <c r="DS85"/>
  <c r="DS87"/>
  <c r="DS88"/>
  <c r="DS90"/>
  <c r="DS92"/>
  <c r="DS93"/>
  <c r="DS94"/>
  <c r="DS95"/>
  <c r="DS96"/>
  <c r="DS97"/>
  <c r="DS99"/>
  <c r="DS101"/>
  <c r="DS103"/>
  <c r="DS105"/>
  <c r="DS107"/>
  <c r="DS109"/>
  <c r="DS111"/>
  <c r="DS112"/>
  <c r="DS114"/>
  <c r="DS116"/>
  <c r="DS117"/>
  <c r="DS119"/>
  <c r="DS121"/>
  <c r="DS123"/>
  <c r="DS124"/>
  <c r="DS126"/>
  <c r="DS128"/>
  <c r="DS130"/>
  <c r="DS132"/>
  <c r="M4"/>
  <c r="M6"/>
  <c r="M12"/>
  <c r="M15"/>
  <c r="M18"/>
  <c r="M19"/>
  <c r="M21"/>
  <c r="M22"/>
  <c r="M24"/>
  <c r="M28"/>
  <c r="M30"/>
  <c r="M31"/>
  <c r="M3"/>
  <c r="L4"/>
  <c r="L5"/>
  <c r="L6"/>
  <c r="L7"/>
  <c r="L8"/>
  <c r="L9"/>
  <c r="L10"/>
  <c r="L11"/>
  <c r="L12"/>
  <c r="L13"/>
  <c r="L14"/>
  <c r="L15"/>
  <c r="L16"/>
  <c r="L17"/>
  <c r="L18"/>
  <c r="L19"/>
  <c r="L20"/>
  <c r="L21"/>
  <c r="L22"/>
  <c r="L23"/>
  <c r="L24"/>
  <c r="L25"/>
  <c r="L26"/>
  <c r="L27"/>
  <c r="L28"/>
  <c r="L29"/>
  <c r="L30"/>
  <c r="L31"/>
  <c r="L32"/>
  <c r="J4"/>
  <c r="J5"/>
  <c r="M5" s="1"/>
  <c r="J6"/>
  <c r="J7"/>
  <c r="M7" s="1"/>
  <c r="J8"/>
  <c r="M8" s="1"/>
  <c r="J9"/>
  <c r="M9" s="1"/>
  <c r="J10"/>
  <c r="M10" s="1"/>
  <c r="J11"/>
  <c r="M11" s="1"/>
  <c r="J12"/>
  <c r="J13"/>
  <c r="M13" s="1"/>
  <c r="J14"/>
  <c r="M14" s="1"/>
  <c r="J15"/>
  <c r="J16"/>
  <c r="M16" s="1"/>
  <c r="J17"/>
  <c r="M17" s="1"/>
  <c r="J18"/>
  <c r="J19"/>
  <c r="J20"/>
  <c r="M20" s="1"/>
  <c r="J21"/>
  <c r="J22"/>
  <c r="J23"/>
  <c r="M23" s="1"/>
  <c r="J24"/>
  <c r="J25"/>
  <c r="M25" s="1"/>
  <c r="J26"/>
  <c r="M26" s="1"/>
  <c r="J27"/>
  <c r="M27" s="1"/>
  <c r="J28"/>
  <c r="J29"/>
  <c r="M29" s="1"/>
  <c r="J30"/>
  <c r="J31"/>
  <c r="J32"/>
  <c r="M32" s="1"/>
  <c r="J3"/>
  <c r="D4"/>
  <c r="D5"/>
  <c r="D6"/>
  <c r="D7"/>
  <c r="D8"/>
  <c r="D9"/>
  <c r="D10"/>
  <c r="D11"/>
  <c r="D12"/>
  <c r="D13"/>
  <c r="D14"/>
  <c r="D15"/>
  <c r="D16"/>
  <c r="D17"/>
  <c r="D18"/>
  <c r="D19"/>
  <c r="D20"/>
  <c r="D21"/>
  <c r="D22"/>
  <c r="D23"/>
  <c r="D24"/>
  <c r="D25"/>
  <c r="G25" s="1"/>
  <c r="D26"/>
  <c r="D27"/>
  <c r="D28"/>
  <c r="D29"/>
  <c r="D30"/>
  <c r="D31"/>
  <c r="D32"/>
  <c r="G32" s="1"/>
  <c r="D3"/>
  <c r="DC65" i="11"/>
  <c r="DC64"/>
  <c r="DC63"/>
  <c r="DC62"/>
  <c r="DC61"/>
  <c r="DC60"/>
  <c r="DC59"/>
  <c r="DC58"/>
  <c r="DC57"/>
  <c r="DC56"/>
  <c r="DC55"/>
  <c r="DC54"/>
  <c r="DC53"/>
  <c r="DC52"/>
  <c r="DC51"/>
  <c r="DC50"/>
  <c r="DC49"/>
  <c r="DC48"/>
  <c r="DC47"/>
  <c r="DC46"/>
  <c r="DC45"/>
  <c r="DC44"/>
  <c r="DC43"/>
  <c r="DC42"/>
  <c r="DC41"/>
  <c r="DC40"/>
  <c r="DC39"/>
  <c r="DC38"/>
  <c r="DC37"/>
  <c r="G4"/>
  <c r="G5"/>
  <c r="G7"/>
  <c r="G8"/>
  <c r="G10"/>
  <c r="G11"/>
  <c r="G13"/>
  <c r="G15"/>
  <c r="G16"/>
  <c r="G18"/>
  <c r="G20"/>
  <c r="G21"/>
  <c r="G22"/>
  <c r="G24"/>
  <c r="G25"/>
  <c r="G27"/>
  <c r="G28"/>
  <c r="G29"/>
  <c r="G30"/>
  <c r="G32"/>
  <c r="G3"/>
  <c r="F4"/>
  <c r="F5"/>
  <c r="F6"/>
  <c r="F7"/>
  <c r="F8"/>
  <c r="F9"/>
  <c r="F10"/>
  <c r="F11"/>
  <c r="F12"/>
  <c r="F13"/>
  <c r="F14"/>
  <c r="F15"/>
  <c r="F16"/>
  <c r="F17"/>
  <c r="F18"/>
  <c r="F19"/>
  <c r="F20"/>
  <c r="F21"/>
  <c r="F22"/>
  <c r="F23"/>
  <c r="F24"/>
  <c r="F25"/>
  <c r="F26"/>
  <c r="F27"/>
  <c r="F28"/>
  <c r="F29"/>
  <c r="F30"/>
  <c r="F31"/>
  <c r="F32"/>
  <c r="CY88"/>
  <c r="CY90"/>
  <c r="CY91"/>
  <c r="CY93"/>
  <c r="CY95"/>
  <c r="CY96"/>
  <c r="CY98"/>
  <c r="CY99"/>
  <c r="CY101"/>
  <c r="CY103"/>
  <c r="CY104"/>
  <c r="CY105"/>
  <c r="CY106"/>
  <c r="CY108"/>
  <c r="CY110"/>
  <c r="CY112"/>
  <c r="CY114"/>
  <c r="CY115"/>
  <c r="CY116"/>
  <c r="CY118"/>
  <c r="CY120"/>
  <c r="CY122"/>
  <c r="CY123"/>
  <c r="CY125"/>
  <c r="CY127"/>
  <c r="CY129"/>
  <c r="CY131"/>
  <c r="CY133"/>
  <c r="CY135"/>
  <c r="CY137"/>
  <c r="CY139"/>
  <c r="CY140"/>
  <c r="CY142"/>
  <c r="CY144"/>
  <c r="CY145"/>
  <c r="CY147"/>
  <c r="CY148"/>
  <c r="CY149"/>
  <c r="CY151"/>
  <c r="CY152"/>
  <c r="CY153"/>
  <c r="CY154"/>
  <c r="CY156"/>
  <c r="CY158"/>
  <c r="CY159"/>
  <c r="CY161"/>
  <c r="CY163"/>
  <c r="CY165"/>
  <c r="CY167"/>
  <c r="CY169"/>
  <c r="CY170"/>
  <c r="CY172"/>
  <c r="CY174"/>
  <c r="CY176"/>
  <c r="CY178"/>
  <c r="L33" i="12" l="1"/>
  <c r="M33"/>
  <c r="F33"/>
  <c r="G14"/>
  <c r="G33"/>
  <c r="G14" i="11"/>
  <c r="G19"/>
  <c r="F33"/>
  <c r="J4"/>
  <c r="M4" s="1"/>
  <c r="J5"/>
  <c r="M5" s="1"/>
  <c r="J6"/>
  <c r="M6" s="1"/>
  <c r="J7"/>
  <c r="M7" s="1"/>
  <c r="J8"/>
  <c r="M8" s="1"/>
  <c r="J9"/>
  <c r="M9" s="1"/>
  <c r="J10"/>
  <c r="M10" s="1"/>
  <c r="J11"/>
  <c r="M11" s="1"/>
  <c r="J12"/>
  <c r="M12" s="1"/>
  <c r="J13"/>
  <c r="M13" s="1"/>
  <c r="J14"/>
  <c r="M14" s="1"/>
  <c r="J15"/>
  <c r="M15" s="1"/>
  <c r="J16"/>
  <c r="M16" s="1"/>
  <c r="J17"/>
  <c r="M17" s="1"/>
  <c r="J18"/>
  <c r="M18" s="1"/>
  <c r="J19"/>
  <c r="M19" s="1"/>
  <c r="J20"/>
  <c r="M20" s="1"/>
  <c r="J21"/>
  <c r="M21" s="1"/>
  <c r="J22"/>
  <c r="M22" s="1"/>
  <c r="J23"/>
  <c r="M23" s="1"/>
  <c r="J24"/>
  <c r="M24" s="1"/>
  <c r="J25"/>
  <c r="M25" s="1"/>
  <c r="J26"/>
  <c r="M26" s="1"/>
  <c r="J27"/>
  <c r="M27" s="1"/>
  <c r="J28"/>
  <c r="M28" s="1"/>
  <c r="J29"/>
  <c r="M29" s="1"/>
  <c r="J30"/>
  <c r="M30" s="1"/>
  <c r="J31"/>
  <c r="M31" s="1"/>
  <c r="J32"/>
  <c r="M32" s="1"/>
  <c r="J3"/>
  <c r="M3" s="1"/>
  <c r="D4"/>
  <c r="D5"/>
  <c r="D6"/>
  <c r="G6" s="1"/>
  <c r="D7"/>
  <c r="D8"/>
  <c r="D9"/>
  <c r="G9" s="1"/>
  <c r="D10"/>
  <c r="D11"/>
  <c r="D12"/>
  <c r="G12" s="1"/>
  <c r="D13"/>
  <c r="D14"/>
  <c r="D15"/>
  <c r="D16"/>
  <c r="D17"/>
  <c r="G17" s="1"/>
  <c r="D18"/>
  <c r="D19"/>
  <c r="D20"/>
  <c r="D21"/>
  <c r="D22"/>
  <c r="D23"/>
  <c r="G23" s="1"/>
  <c r="D24"/>
  <c r="D25"/>
  <c r="D26"/>
  <c r="G26" s="1"/>
  <c r="D27"/>
  <c r="D28"/>
  <c r="D29"/>
  <c r="D30"/>
  <c r="D31"/>
  <c r="G31" s="1"/>
  <c r="D32"/>
  <c r="D3"/>
  <c r="L32" i="10"/>
  <c r="CK67"/>
  <c r="CK66"/>
  <c r="CK65"/>
  <c r="CK64"/>
  <c r="CK63"/>
  <c r="CK62"/>
  <c r="CK61"/>
  <c r="CK60"/>
  <c r="CK59"/>
  <c r="CK58"/>
  <c r="CK57"/>
  <c r="CK56"/>
  <c r="CK55"/>
  <c r="CK54"/>
  <c r="CK53"/>
  <c r="CK52"/>
  <c r="CK51"/>
  <c r="CK50"/>
  <c r="CK49"/>
  <c r="CK48"/>
  <c r="CK47"/>
  <c r="CK46"/>
  <c r="CK45"/>
  <c r="CK44"/>
  <c r="CK43"/>
  <c r="CK42"/>
  <c r="CK41"/>
  <c r="CK40"/>
  <c r="CK39"/>
  <c r="N4"/>
  <c r="N5"/>
  <c r="N6"/>
  <c r="N7"/>
  <c r="N8"/>
  <c r="N9"/>
  <c r="N10"/>
  <c r="N11"/>
  <c r="N12"/>
  <c r="N13"/>
  <c r="N14"/>
  <c r="N15"/>
  <c r="N16"/>
  <c r="N17"/>
  <c r="N18"/>
  <c r="N19"/>
  <c r="N20"/>
  <c r="N21"/>
  <c r="N22"/>
  <c r="N23"/>
  <c r="N24"/>
  <c r="N25"/>
  <c r="N26"/>
  <c r="N27"/>
  <c r="N28"/>
  <c r="N29"/>
  <c r="N30"/>
  <c r="N31"/>
  <c r="N32"/>
  <c r="N3"/>
  <c r="J32"/>
  <c r="J31"/>
  <c r="J30"/>
  <c r="J29"/>
  <c r="J28"/>
  <c r="J27"/>
  <c r="J26"/>
  <c r="J25"/>
  <c r="J24"/>
  <c r="J23"/>
  <c r="J22"/>
  <c r="J21"/>
  <c r="J20"/>
  <c r="J19"/>
  <c r="J18"/>
  <c r="J17"/>
  <c r="J16"/>
  <c r="J15"/>
  <c r="J14"/>
  <c r="J13"/>
  <c r="J12"/>
  <c r="J11"/>
  <c r="J10"/>
  <c r="J9"/>
  <c r="J8"/>
  <c r="J7"/>
  <c r="J6"/>
  <c r="J5"/>
  <c r="J4"/>
  <c r="D32"/>
  <c r="D31"/>
  <c r="D30"/>
  <c r="D29"/>
  <c r="D28"/>
  <c r="D27"/>
  <c r="D26"/>
  <c r="D25"/>
  <c r="D24"/>
  <c r="D23"/>
  <c r="D22"/>
  <c r="D21"/>
  <c r="D20"/>
  <c r="D19"/>
  <c r="D18"/>
  <c r="D17"/>
  <c r="D16"/>
  <c r="D15"/>
  <c r="D14"/>
  <c r="D13"/>
  <c r="D12"/>
  <c r="D11"/>
  <c r="D10"/>
  <c r="D9"/>
  <c r="D8"/>
  <c r="D7"/>
  <c r="D6"/>
  <c r="D5"/>
  <c r="D4"/>
  <c r="BR65" i="9"/>
  <c r="BR64"/>
  <c r="BR63"/>
  <c r="BR62"/>
  <c r="BR61"/>
  <c r="BR60"/>
  <c r="BR59"/>
  <c r="BR58"/>
  <c r="BR57"/>
  <c r="BR56"/>
  <c r="BR55"/>
  <c r="BR54"/>
  <c r="BR53"/>
  <c r="BR52"/>
  <c r="BR51"/>
  <c r="BR50"/>
  <c r="BR49"/>
  <c r="BR48"/>
  <c r="BR47"/>
  <c r="BR46"/>
  <c r="BR45"/>
  <c r="BR44"/>
  <c r="BR43"/>
  <c r="BR42"/>
  <c r="BR41"/>
  <c r="BR40"/>
  <c r="BR39"/>
  <c r="BR38"/>
  <c r="BR37"/>
  <c r="BK5"/>
  <c r="BK6"/>
  <c r="BK7"/>
  <c r="BK8"/>
  <c r="BK9"/>
  <c r="BK10"/>
  <c r="BK11"/>
  <c r="BK12"/>
  <c r="BK13"/>
  <c r="BK14"/>
  <c r="BK15"/>
  <c r="BK16"/>
  <c r="BK17"/>
  <c r="BK18"/>
  <c r="BK19"/>
  <c r="BK20"/>
  <c r="BK21"/>
  <c r="BK22"/>
  <c r="BK23"/>
  <c r="BK24"/>
  <c r="BK25"/>
  <c r="BK26"/>
  <c r="BK27"/>
  <c r="BK28"/>
  <c r="BK29"/>
  <c r="BK30"/>
  <c r="BK31"/>
  <c r="BK32"/>
  <c r="BK4"/>
  <c r="N4"/>
  <c r="N5"/>
  <c r="N6"/>
  <c r="N7"/>
  <c r="N8"/>
  <c r="N9"/>
  <c r="N10"/>
  <c r="N11"/>
  <c r="N12"/>
  <c r="N13"/>
  <c r="N14"/>
  <c r="N15"/>
  <c r="N16"/>
  <c r="N17"/>
  <c r="N18"/>
  <c r="N19"/>
  <c r="N20"/>
  <c r="N21"/>
  <c r="N22"/>
  <c r="N23"/>
  <c r="N24"/>
  <c r="N25"/>
  <c r="N26"/>
  <c r="N27"/>
  <c r="N28"/>
  <c r="N29"/>
  <c r="N30"/>
  <c r="N31"/>
  <c r="N32"/>
  <c r="N3"/>
  <c r="L5"/>
  <c r="L6"/>
  <c r="L7"/>
  <c r="L8"/>
  <c r="L9"/>
  <c r="L10"/>
  <c r="L11"/>
  <c r="L12"/>
  <c r="L13"/>
  <c r="L14"/>
  <c r="L15"/>
  <c r="L16"/>
  <c r="L17"/>
  <c r="L18"/>
  <c r="L19"/>
  <c r="L20"/>
  <c r="L21"/>
  <c r="L22"/>
  <c r="L23"/>
  <c r="L24"/>
  <c r="L25"/>
  <c r="L26"/>
  <c r="L27"/>
  <c r="L28"/>
  <c r="L29"/>
  <c r="L30"/>
  <c r="L31"/>
  <c r="L32"/>
  <c r="L4"/>
  <c r="J4"/>
  <c r="J5"/>
  <c r="J6"/>
  <c r="J7"/>
  <c r="J8"/>
  <c r="J9"/>
  <c r="J10"/>
  <c r="J11"/>
  <c r="J12"/>
  <c r="J13"/>
  <c r="J14"/>
  <c r="J15"/>
  <c r="J16"/>
  <c r="J17"/>
  <c r="J18"/>
  <c r="J19"/>
  <c r="J20"/>
  <c r="J21"/>
  <c r="J22"/>
  <c r="J23"/>
  <c r="J24"/>
  <c r="J25"/>
  <c r="J26"/>
  <c r="J27"/>
  <c r="J28"/>
  <c r="J29"/>
  <c r="J30"/>
  <c r="J31"/>
  <c r="J32"/>
  <c r="J3"/>
  <c r="M3" s="1"/>
  <c r="G3"/>
  <c r="F5"/>
  <c r="F6"/>
  <c r="F7"/>
  <c r="F8"/>
  <c r="F9"/>
  <c r="F10"/>
  <c r="F11"/>
  <c r="F12"/>
  <c r="F13"/>
  <c r="F14"/>
  <c r="F15"/>
  <c r="F16"/>
  <c r="F17"/>
  <c r="F18"/>
  <c r="F19"/>
  <c r="F20"/>
  <c r="F21"/>
  <c r="F22"/>
  <c r="F23"/>
  <c r="F24"/>
  <c r="F25"/>
  <c r="F26"/>
  <c r="F27"/>
  <c r="F28"/>
  <c r="F29"/>
  <c r="F30"/>
  <c r="F31"/>
  <c r="F32"/>
  <c r="F4"/>
  <c r="D5"/>
  <c r="D6"/>
  <c r="D7"/>
  <c r="D8"/>
  <c r="D9"/>
  <c r="D10"/>
  <c r="D11"/>
  <c r="D12"/>
  <c r="D13"/>
  <c r="D14"/>
  <c r="D15"/>
  <c r="D16"/>
  <c r="D17"/>
  <c r="D18"/>
  <c r="D19"/>
  <c r="D20"/>
  <c r="D21"/>
  <c r="D22"/>
  <c r="D23"/>
  <c r="D24"/>
  <c r="D25"/>
  <c r="D26"/>
  <c r="D27"/>
  <c r="D28"/>
  <c r="D29"/>
  <c r="D30"/>
  <c r="D31"/>
  <c r="D32"/>
  <c r="D4"/>
  <c r="AX64" i="7"/>
  <c r="AX63"/>
  <c r="AX62"/>
  <c r="AX61"/>
  <c r="AX60"/>
  <c r="AX59"/>
  <c r="AX58"/>
  <c r="AX57"/>
  <c r="AX56"/>
  <c r="AX55"/>
  <c r="AX54"/>
  <c r="AX53"/>
  <c r="AX52"/>
  <c r="AX51"/>
  <c r="AX50"/>
  <c r="AX49"/>
  <c r="AX48"/>
  <c r="AX47"/>
  <c r="AX46"/>
  <c r="AX44"/>
  <c r="AX43"/>
  <c r="AX42"/>
  <c r="AX41"/>
  <c r="AX40"/>
  <c r="AX39"/>
  <c r="AX38"/>
  <c r="AX37"/>
  <c r="AX36"/>
  <c r="N32"/>
  <c r="N4"/>
  <c r="N5"/>
  <c r="N6"/>
  <c r="N7"/>
  <c r="N8"/>
  <c r="N9"/>
  <c r="N10"/>
  <c r="N11"/>
  <c r="N12"/>
  <c r="N13"/>
  <c r="N14"/>
  <c r="N15"/>
  <c r="N16"/>
  <c r="N17"/>
  <c r="N18"/>
  <c r="N19"/>
  <c r="N20"/>
  <c r="N21"/>
  <c r="N22"/>
  <c r="N23"/>
  <c r="N24"/>
  <c r="N25"/>
  <c r="N26"/>
  <c r="N27"/>
  <c r="N28"/>
  <c r="N29"/>
  <c r="N30"/>
  <c r="N31"/>
  <c r="N3"/>
  <c r="L5"/>
  <c r="L6"/>
  <c r="L7"/>
  <c r="L8"/>
  <c r="L9"/>
  <c r="L10"/>
  <c r="L11"/>
  <c r="L12"/>
  <c r="L13"/>
  <c r="L14"/>
  <c r="L15"/>
  <c r="L16"/>
  <c r="L17"/>
  <c r="L18"/>
  <c r="L19"/>
  <c r="L20"/>
  <c r="L21"/>
  <c r="L22"/>
  <c r="L23"/>
  <c r="L24"/>
  <c r="L25"/>
  <c r="L26"/>
  <c r="L27"/>
  <c r="L28"/>
  <c r="L29"/>
  <c r="L30"/>
  <c r="L31"/>
  <c r="L32"/>
  <c r="L4"/>
  <c r="J4"/>
  <c r="J5"/>
  <c r="J6"/>
  <c r="J7"/>
  <c r="J8"/>
  <c r="M8" s="1"/>
  <c r="J9"/>
  <c r="J10"/>
  <c r="J11"/>
  <c r="J12"/>
  <c r="M12" s="1"/>
  <c r="J13"/>
  <c r="J14"/>
  <c r="J15"/>
  <c r="J16"/>
  <c r="M16" s="1"/>
  <c r="J17"/>
  <c r="J18"/>
  <c r="J19"/>
  <c r="J20"/>
  <c r="J21"/>
  <c r="J22"/>
  <c r="J23"/>
  <c r="J24"/>
  <c r="M24" s="1"/>
  <c r="J25"/>
  <c r="J26"/>
  <c r="J27"/>
  <c r="J28"/>
  <c r="M28" s="1"/>
  <c r="J29"/>
  <c r="J30"/>
  <c r="J31"/>
  <c r="J32"/>
  <c r="M32" s="1"/>
  <c r="J3"/>
  <c r="F5"/>
  <c r="F6"/>
  <c r="F7"/>
  <c r="F8"/>
  <c r="F9"/>
  <c r="F10"/>
  <c r="F11"/>
  <c r="F12"/>
  <c r="F13"/>
  <c r="F14"/>
  <c r="F15"/>
  <c r="F16"/>
  <c r="F17"/>
  <c r="F18"/>
  <c r="F19"/>
  <c r="F20"/>
  <c r="F21"/>
  <c r="F22"/>
  <c r="F23"/>
  <c r="F24"/>
  <c r="F25"/>
  <c r="F26"/>
  <c r="F27"/>
  <c r="F28"/>
  <c r="F29"/>
  <c r="F30"/>
  <c r="F31"/>
  <c r="F32"/>
  <c r="F4"/>
  <c r="D4"/>
  <c r="D5"/>
  <c r="D6"/>
  <c r="D7"/>
  <c r="D8"/>
  <c r="D9"/>
  <c r="D10"/>
  <c r="D11"/>
  <c r="D12"/>
  <c r="D13"/>
  <c r="D14"/>
  <c r="D15"/>
  <c r="D16"/>
  <c r="D17"/>
  <c r="D18"/>
  <c r="D19"/>
  <c r="D20"/>
  <c r="D21"/>
  <c r="D22"/>
  <c r="D23"/>
  <c r="D24"/>
  <c r="D25"/>
  <c r="D26"/>
  <c r="D27"/>
  <c r="D28"/>
  <c r="D29"/>
  <c r="D30"/>
  <c r="D31"/>
  <c r="D32"/>
  <c r="D3"/>
  <c r="L4" i="5"/>
  <c r="L5"/>
  <c r="L6"/>
  <c r="L7"/>
  <c r="L8"/>
  <c r="L9"/>
  <c r="L10"/>
  <c r="L11"/>
  <c r="L12"/>
  <c r="L33" s="1"/>
  <c r="L13"/>
  <c r="L14"/>
  <c r="L15"/>
  <c r="L16"/>
  <c r="L17"/>
  <c r="L18"/>
  <c r="L19"/>
  <c r="L20"/>
  <c r="L21"/>
  <c r="L22"/>
  <c r="L23"/>
  <c r="L24"/>
  <c r="L25"/>
  <c r="L26"/>
  <c r="L27"/>
  <c r="L28"/>
  <c r="L29"/>
  <c r="L30"/>
  <c r="L31"/>
  <c r="L32"/>
  <c r="J4"/>
  <c r="J5"/>
  <c r="J6"/>
  <c r="J7"/>
  <c r="J8"/>
  <c r="J9"/>
  <c r="J10"/>
  <c r="J11"/>
  <c r="J12"/>
  <c r="J13"/>
  <c r="J14"/>
  <c r="J15"/>
  <c r="J16"/>
  <c r="J17"/>
  <c r="J18"/>
  <c r="J19"/>
  <c r="J20"/>
  <c r="J21"/>
  <c r="J22"/>
  <c r="J23"/>
  <c r="J24"/>
  <c r="J25"/>
  <c r="J26"/>
  <c r="J27"/>
  <c r="J28"/>
  <c r="J29"/>
  <c r="J30"/>
  <c r="J31"/>
  <c r="J32"/>
  <c r="J3"/>
  <c r="M3" s="1"/>
  <c r="F4"/>
  <c r="F5"/>
  <c r="F6"/>
  <c r="F7"/>
  <c r="F8"/>
  <c r="F9"/>
  <c r="F10"/>
  <c r="F11"/>
  <c r="F12"/>
  <c r="F13"/>
  <c r="F14"/>
  <c r="F15"/>
  <c r="F16"/>
  <c r="F17"/>
  <c r="F18"/>
  <c r="F19"/>
  <c r="F20"/>
  <c r="F21"/>
  <c r="F22"/>
  <c r="F23"/>
  <c r="F24"/>
  <c r="F25"/>
  <c r="F26"/>
  <c r="F27"/>
  <c r="F28"/>
  <c r="F29"/>
  <c r="F30"/>
  <c r="F31"/>
  <c r="F32"/>
  <c r="D4"/>
  <c r="D5"/>
  <c r="D6"/>
  <c r="D7"/>
  <c r="D8"/>
  <c r="D9"/>
  <c r="D10"/>
  <c r="D11"/>
  <c r="D12"/>
  <c r="D13"/>
  <c r="D14"/>
  <c r="D15"/>
  <c r="D16"/>
  <c r="D17"/>
  <c r="D18"/>
  <c r="D19"/>
  <c r="D20"/>
  <c r="D21"/>
  <c r="D22"/>
  <c r="D23"/>
  <c r="D24"/>
  <c r="D25"/>
  <c r="D26"/>
  <c r="D27"/>
  <c r="D28"/>
  <c r="D29"/>
  <c r="D30"/>
  <c r="D31"/>
  <c r="D32"/>
  <c r="D3"/>
  <c r="G3" s="1"/>
  <c r="L4" i="3"/>
  <c r="L5"/>
  <c r="L6"/>
  <c r="L7"/>
  <c r="L8"/>
  <c r="L9"/>
  <c r="L10"/>
  <c r="L11"/>
  <c r="L12"/>
  <c r="L13"/>
  <c r="L14"/>
  <c r="L15"/>
  <c r="L16"/>
  <c r="L17"/>
  <c r="L18"/>
  <c r="L19"/>
  <c r="L20"/>
  <c r="L21"/>
  <c r="L22"/>
  <c r="L23"/>
  <c r="L24"/>
  <c r="L25"/>
  <c r="L26"/>
  <c r="L27"/>
  <c r="L28"/>
  <c r="L29"/>
  <c r="L30"/>
  <c r="L31"/>
  <c r="L32"/>
  <c r="J4"/>
  <c r="J5"/>
  <c r="J6"/>
  <c r="J7"/>
  <c r="M7" s="1"/>
  <c r="J8"/>
  <c r="J9"/>
  <c r="J10"/>
  <c r="J11"/>
  <c r="M11" s="1"/>
  <c r="J12"/>
  <c r="J13"/>
  <c r="J14"/>
  <c r="J15"/>
  <c r="J16"/>
  <c r="J17"/>
  <c r="J18"/>
  <c r="J19"/>
  <c r="J20"/>
  <c r="J21"/>
  <c r="J22"/>
  <c r="J23"/>
  <c r="M23" s="1"/>
  <c r="J24"/>
  <c r="J25"/>
  <c r="J26"/>
  <c r="J27"/>
  <c r="J28"/>
  <c r="J29"/>
  <c r="J30"/>
  <c r="J31"/>
  <c r="J32"/>
  <c r="J3"/>
  <c r="F4"/>
  <c r="F5"/>
  <c r="F6"/>
  <c r="F7"/>
  <c r="F8"/>
  <c r="F9"/>
  <c r="F10"/>
  <c r="F11"/>
  <c r="F12"/>
  <c r="F13"/>
  <c r="G13" s="1"/>
  <c r="F14"/>
  <c r="F33" s="1"/>
  <c r="F15"/>
  <c r="F16"/>
  <c r="F17"/>
  <c r="G17" s="1"/>
  <c r="F18"/>
  <c r="F19"/>
  <c r="F20"/>
  <c r="F21"/>
  <c r="G21" s="1"/>
  <c r="F22"/>
  <c r="F23"/>
  <c r="F24"/>
  <c r="F25"/>
  <c r="G25" s="1"/>
  <c r="F26"/>
  <c r="F27"/>
  <c r="F28"/>
  <c r="F29"/>
  <c r="G29" s="1"/>
  <c r="F30"/>
  <c r="F31"/>
  <c r="F32"/>
  <c r="D4"/>
  <c r="D5"/>
  <c r="D6"/>
  <c r="D7"/>
  <c r="D8"/>
  <c r="D9"/>
  <c r="D10"/>
  <c r="D11"/>
  <c r="G11" s="1"/>
  <c r="D12"/>
  <c r="D13"/>
  <c r="D14"/>
  <c r="D15"/>
  <c r="G15" s="1"/>
  <c r="D16"/>
  <c r="D17"/>
  <c r="D18"/>
  <c r="D19"/>
  <c r="G19" s="1"/>
  <c r="D20"/>
  <c r="D21"/>
  <c r="D22"/>
  <c r="D23"/>
  <c r="D24"/>
  <c r="D25"/>
  <c r="D26"/>
  <c r="D27"/>
  <c r="G27" s="1"/>
  <c r="D28"/>
  <c r="D29"/>
  <c r="D30"/>
  <c r="D31"/>
  <c r="D32"/>
  <c r="D3"/>
  <c r="F9" i="2"/>
  <c r="D9" s="1"/>
  <c r="F10"/>
  <c r="D10" s="1"/>
  <c r="F11"/>
  <c r="D11" s="1"/>
  <c r="F12"/>
  <c r="D12" s="1"/>
  <c r="F13"/>
  <c r="D13" s="1"/>
  <c r="F14"/>
  <c r="D14" s="1"/>
  <c r="F15"/>
  <c r="D15" s="1"/>
  <c r="F16"/>
  <c r="D16" s="1"/>
  <c r="F17"/>
  <c r="D17" s="1"/>
  <c r="F18"/>
  <c r="D18" s="1"/>
  <c r="F19"/>
  <c r="D19" s="1"/>
  <c r="F20"/>
  <c r="D20" s="1"/>
  <c r="F21"/>
  <c r="D21" s="1"/>
  <c r="F22"/>
  <c r="D22" s="1"/>
  <c r="F23"/>
  <c r="D23" s="1"/>
  <c r="F24"/>
  <c r="D24" s="1"/>
  <c r="F25"/>
  <c r="D25" s="1"/>
  <c r="F26"/>
  <c r="D26" s="1"/>
  <c r="F27"/>
  <c r="D27" s="1"/>
  <c r="F28"/>
  <c r="D28" s="1"/>
  <c r="F29"/>
  <c r="D29" s="1"/>
  <c r="F30"/>
  <c r="D30" s="1"/>
  <c r="F31"/>
  <c r="D31" s="1"/>
  <c r="F32"/>
  <c r="D32" s="1"/>
  <c r="F33"/>
  <c r="D33" s="1"/>
  <c r="F34"/>
  <c r="D34" s="1"/>
  <c r="F35"/>
  <c r="D35" s="1"/>
  <c r="F36"/>
  <c r="D36" s="1"/>
  <c r="F37"/>
  <c r="D37" s="1"/>
  <c r="F38"/>
  <c r="D38" s="1"/>
  <c r="F39"/>
  <c r="D39" s="1"/>
  <c r="F40"/>
  <c r="D40" s="1"/>
  <c r="F41"/>
  <c r="D41" s="1"/>
  <c r="F42"/>
  <c r="D42" s="1"/>
  <c r="F43"/>
  <c r="D43" s="1"/>
  <c r="F44"/>
  <c r="D44" s="1"/>
  <c r="F45"/>
  <c r="D45" s="1"/>
  <c r="F46"/>
  <c r="D46" s="1"/>
  <c r="F47"/>
  <c r="D47" s="1"/>
  <c r="F48"/>
  <c r="D48" s="1"/>
  <c r="F49"/>
  <c r="D49" s="1"/>
  <c r="F50"/>
  <c r="D50" s="1"/>
  <c r="F51"/>
  <c r="D51" s="1"/>
  <c r="F4"/>
  <c r="D4" s="1"/>
  <c r="F5"/>
  <c r="D5" s="1"/>
  <c r="F6"/>
  <c r="D6" s="1"/>
  <c r="F7"/>
  <c r="D7" s="1"/>
  <c r="F8"/>
  <c r="D8" s="1"/>
  <c r="F3"/>
  <c r="D3" s="1"/>
  <c r="M20" i="7" l="1"/>
  <c r="L33"/>
  <c r="L33" i="9"/>
  <c r="M33" i="11"/>
  <c r="G33"/>
  <c r="F33" i="9"/>
  <c r="F33" i="7"/>
  <c r="F33" i="5"/>
  <c r="M4" i="9"/>
  <c r="G32"/>
  <c r="G28"/>
  <c r="G24"/>
  <c r="G20"/>
  <c r="G16"/>
  <c r="G12"/>
  <c r="M29"/>
  <c r="M25"/>
  <c r="M21"/>
  <c r="M17"/>
  <c r="M13"/>
  <c r="M9"/>
  <c r="M5"/>
  <c r="M30"/>
  <c r="M26"/>
  <c r="M22"/>
  <c r="M18"/>
  <c r="M14"/>
  <c r="M10"/>
  <c r="M6"/>
  <c r="G31"/>
  <c r="G27"/>
  <c r="G23"/>
  <c r="G19"/>
  <c r="G15"/>
  <c r="G11"/>
  <c r="G33" s="1"/>
  <c r="M31"/>
  <c r="M27"/>
  <c r="M23"/>
  <c r="M19"/>
  <c r="M15"/>
  <c r="M11"/>
  <c r="M7"/>
  <c r="M32"/>
  <c r="M28"/>
  <c r="M24"/>
  <c r="M20"/>
  <c r="M16"/>
  <c r="M12"/>
  <c r="M8"/>
  <c r="G4"/>
  <c r="G29"/>
  <c r="G25"/>
  <c r="G21"/>
  <c r="G17"/>
  <c r="G13"/>
  <c r="G9"/>
  <c r="G5"/>
  <c r="G30"/>
  <c r="G26"/>
  <c r="G22"/>
  <c r="G18"/>
  <c r="G14"/>
  <c r="G10"/>
  <c r="G6"/>
  <c r="G7"/>
  <c r="G8"/>
  <c r="G7" i="3"/>
  <c r="G9"/>
  <c r="M5" i="7"/>
  <c r="M22"/>
  <c r="M30"/>
  <c r="M26"/>
  <c r="M18"/>
  <c r="M11"/>
  <c r="G22"/>
  <c r="M31"/>
  <c r="M27"/>
  <c r="M23"/>
  <c r="M19"/>
  <c r="M15"/>
  <c r="M7"/>
  <c r="G30"/>
  <c r="G26"/>
  <c r="G18"/>
  <c r="G14"/>
  <c r="G10"/>
  <c r="G32"/>
  <c r="G28"/>
  <c r="G24"/>
  <c r="G20"/>
  <c r="G16"/>
  <c r="G12"/>
  <c r="G8"/>
  <c r="G4"/>
  <c r="M14"/>
  <c r="M10"/>
  <c r="M6"/>
  <c r="G6"/>
  <c r="G31"/>
  <c r="G27"/>
  <c r="G23"/>
  <c r="G19"/>
  <c r="G15"/>
  <c r="G11"/>
  <c r="G7"/>
  <c r="G29"/>
  <c r="G25"/>
  <c r="G21"/>
  <c r="G17"/>
  <c r="G13"/>
  <c r="G9"/>
  <c r="G5"/>
  <c r="M29"/>
  <c r="M25"/>
  <c r="M21"/>
  <c r="M17"/>
  <c r="M13"/>
  <c r="M9"/>
  <c r="M4"/>
  <c r="G31" i="5"/>
  <c r="G19"/>
  <c r="G23"/>
  <c r="G27"/>
  <c r="G32"/>
  <c r="G28"/>
  <c r="G24"/>
  <c r="G20"/>
  <c r="G16"/>
  <c r="G12"/>
  <c r="G33" s="1"/>
  <c r="G8"/>
  <c r="G4"/>
  <c r="G30"/>
  <c r="G26"/>
  <c r="G22"/>
  <c r="G18"/>
  <c r="G14"/>
  <c r="G10"/>
  <c r="G6"/>
  <c r="M29"/>
  <c r="M25"/>
  <c r="M21"/>
  <c r="M17"/>
  <c r="M13"/>
  <c r="M9"/>
  <c r="M5"/>
  <c r="G15"/>
  <c r="G11"/>
  <c r="G7"/>
  <c r="G29"/>
  <c r="G25"/>
  <c r="G21"/>
  <c r="G17"/>
  <c r="G13"/>
  <c r="G9"/>
  <c r="G5"/>
  <c r="M32"/>
  <c r="M28"/>
  <c r="M24"/>
  <c r="M20"/>
  <c r="M16"/>
  <c r="M12"/>
  <c r="M33" s="1"/>
  <c r="M8"/>
  <c r="M4"/>
  <c r="M30"/>
  <c r="M26"/>
  <c r="M22"/>
  <c r="M18"/>
  <c r="M14"/>
  <c r="M10"/>
  <c r="M6"/>
  <c r="M31"/>
  <c r="M27"/>
  <c r="M23"/>
  <c r="M19"/>
  <c r="M15"/>
  <c r="M11"/>
  <c r="M7"/>
  <c r="G5" i="3"/>
  <c r="M27"/>
  <c r="M19"/>
  <c r="M15"/>
  <c r="M31"/>
  <c r="G23"/>
  <c r="G31"/>
  <c r="G30"/>
  <c r="G26"/>
  <c r="G22"/>
  <c r="G18"/>
  <c r="G14"/>
  <c r="G33" s="1"/>
  <c r="G6"/>
  <c r="M30"/>
  <c r="M26"/>
  <c r="M22"/>
  <c r="M18"/>
  <c r="M14"/>
  <c r="M10"/>
  <c r="M6"/>
  <c r="G10"/>
  <c r="M3"/>
  <c r="M29"/>
  <c r="M25"/>
  <c r="M21"/>
  <c r="M17"/>
  <c r="G32"/>
  <c r="G28"/>
  <c r="G24"/>
  <c r="G20"/>
  <c r="G16"/>
  <c r="G12"/>
  <c r="G8"/>
  <c r="G4"/>
  <c r="M32"/>
  <c r="M28"/>
  <c r="M24"/>
  <c r="M20"/>
  <c r="M16"/>
  <c r="M12"/>
  <c r="M8"/>
  <c r="M4"/>
  <c r="M13"/>
  <c r="M9"/>
  <c r="M5"/>
  <c r="M33" i="7" l="1"/>
  <c r="M33" i="9"/>
  <c r="G33" i="7"/>
</calcChain>
</file>

<file path=xl/connections.xml><?xml version="1.0" encoding="utf-8"?>
<connections xmlns="http://schemas.openxmlformats.org/spreadsheetml/2006/main">
  <connection id="1" name="100obu.80211_N101_P1_InOutThrput" type="6" refreshedVersion="3" background="1" saveData="1">
    <textPr codePage="437" sourceFile="C:\Users\Sharaf\Desktop\100 cars-data\100obu.80211_N100_P1_InOutThrput.log">
      <textFields>
        <textField/>
      </textFields>
    </textPr>
  </connection>
  <connection id="2" name="100obu.80211_N102_P1_InOutThrput" type="6" refreshedVersion="3" background="1" saveData="1">
    <textPr codePage="437" sourceFile="C:\Users\Sharaf\Desktop\100 cars-data\100obu.80211_N102_P1_InOutThrput.log">
      <textFields count="2">
        <textField/>
        <textField/>
      </textFields>
    </textPr>
  </connection>
</connections>
</file>

<file path=xl/sharedStrings.xml><?xml version="1.0" encoding="utf-8"?>
<sst xmlns="http://schemas.openxmlformats.org/spreadsheetml/2006/main" count="7554" uniqueCount="1510">
  <si>
    <t>19.6 bps</t>
  </si>
  <si>
    <t>1 RSU + 5 OBU + 4 Traffic Lights</t>
  </si>
  <si>
    <t>RSU Sent Packets</t>
  </si>
  <si>
    <t>RSU max RSS (Tx-mode)</t>
  </si>
  <si>
    <t>RSU min RSS (Tx-mode)</t>
  </si>
  <si>
    <t>RSU max RSS (Rx-mode)</t>
  </si>
  <si>
    <t>RSU min RSS (Rx-mode)</t>
  </si>
  <si>
    <t>1 RSU + 10 OBU + 4 Traffic Lights</t>
  </si>
  <si>
    <t>1 RSU + 20 OBU + 4 Traffic Lights</t>
  </si>
  <si>
    <t>NOTES</t>
  </si>
  <si>
    <t>137.12 pps</t>
  </si>
  <si>
    <t>Avg b-Rx</t>
  </si>
  <si>
    <t>145.84 pps</t>
  </si>
  <si>
    <t>123.96 pps</t>
  </si>
  <si>
    <t>Non-Attacker Scenario (Urban [20-50 mph])</t>
  </si>
  <si>
    <t>Non-Attacker Scenario (Highway [45-80 mph])</t>
  </si>
  <si>
    <t>Avg RSU-OBU P-Rx</t>
  </si>
  <si>
    <t xml:space="preserve">OBU-RSU Received Packets </t>
  </si>
  <si>
    <t>19.4 bps</t>
  </si>
  <si>
    <t>115.35 pps</t>
  </si>
  <si>
    <t>1 RSU + 15 OBU + 4 Traffic Lights</t>
  </si>
  <si>
    <t>19.008 bps</t>
  </si>
  <si>
    <t>145.36 pps</t>
  </si>
  <si>
    <t>74.25 pps</t>
  </si>
  <si>
    <t>65.2 pps</t>
  </si>
  <si>
    <t>Highway (starts 1 end 5 OBUs)</t>
  </si>
  <si>
    <t>98.56 pps</t>
  </si>
  <si>
    <t>109.54 pps</t>
  </si>
  <si>
    <t>37.802 pps</t>
  </si>
  <si>
    <t>18.476 bps</t>
  </si>
  <si>
    <t>Highway (starts 1 end 10 OBUs)</t>
  </si>
  <si>
    <t>Highway (starts 1 end 20 OBUs)</t>
  </si>
  <si>
    <t>Highway (starts 1 end 15 OBUs)</t>
  </si>
  <si>
    <t>34.3 pps</t>
  </si>
  <si>
    <t>Avg OBU b-Rx</t>
  </si>
  <si>
    <t>22.48 pps</t>
  </si>
  <si>
    <t>103.56 pps</t>
  </si>
  <si>
    <t>17.016 bps</t>
  </si>
  <si>
    <t>43.62 pps</t>
  </si>
  <si>
    <t>Rx Packet (Sink)</t>
  </si>
  <si>
    <t>16.92 bps</t>
  </si>
  <si>
    <t>16.97 bps</t>
  </si>
  <si>
    <t>30.26 pps</t>
  </si>
  <si>
    <t>12.67 pps</t>
  </si>
  <si>
    <t>20.051 pps</t>
  </si>
  <si>
    <t>136.76 pps</t>
  </si>
  <si>
    <t>Highway (starts 1 end 35 OBUs)</t>
  </si>
  <si>
    <t>16.3 pps</t>
  </si>
  <si>
    <t>29.68 pps</t>
  </si>
  <si>
    <t>25.46 pps</t>
  </si>
  <si>
    <t>40.06 pps</t>
  </si>
  <si>
    <t>81.21 pps</t>
  </si>
  <si>
    <t>57.32 pps</t>
  </si>
  <si>
    <t>61.54 pps</t>
  </si>
  <si>
    <t>31.02 pps</t>
  </si>
  <si>
    <t>66.4 pps</t>
  </si>
  <si>
    <t>52.6 pps</t>
  </si>
  <si>
    <t>21.1 pps</t>
  </si>
  <si>
    <t>11 pps</t>
  </si>
  <si>
    <t>69.3 pps</t>
  </si>
  <si>
    <t>71.7 pps</t>
  </si>
  <si>
    <t>1 RSU + 35 OBU + 4 Traffic Lights</t>
  </si>
  <si>
    <t>118.4 pps</t>
  </si>
  <si>
    <t>Cars</t>
  </si>
  <si>
    <t>9.78 bps</t>
  </si>
  <si>
    <t>169.35 pps</t>
  </si>
  <si>
    <t>4.2 pps</t>
  </si>
  <si>
    <t>15.25 pps</t>
  </si>
  <si>
    <t>8.25 pps</t>
  </si>
  <si>
    <t>3.21 pps</t>
  </si>
  <si>
    <t>6.5 pps</t>
  </si>
  <si>
    <t>Avg RSU Tx bp</t>
  </si>
  <si>
    <t>17.4 bps</t>
  </si>
  <si>
    <t>11.7 bps</t>
  </si>
  <si>
    <t>6.75 bps</t>
  </si>
  <si>
    <t>13.11 bps</t>
  </si>
  <si>
    <t>19.37 bps</t>
  </si>
  <si>
    <t>81.9 pps</t>
  </si>
  <si>
    <t>41.74 pps</t>
  </si>
  <si>
    <t>32.06 pps</t>
  </si>
  <si>
    <t>23.68 pps</t>
  </si>
  <si>
    <t>19.5 pps</t>
  </si>
  <si>
    <t>15.93 pps</t>
  </si>
  <si>
    <t>9.12 pps</t>
  </si>
  <si>
    <t>104.88 pps</t>
  </si>
  <si>
    <t>1 RSU + 50 OBU + 4 Traffic Lights</t>
  </si>
  <si>
    <t>PDSR% =[(PDR+PSR)/2 * 100]</t>
  </si>
  <si>
    <t>3.01 pps</t>
  </si>
  <si>
    <t>5.2 pps</t>
  </si>
  <si>
    <t>7.32 pps</t>
  </si>
  <si>
    <t>7.94 pps</t>
  </si>
  <si>
    <t>6.23 pps</t>
  </si>
  <si>
    <t>3.76 pps</t>
  </si>
  <si>
    <t>RSU min RSS</t>
  </si>
  <si>
    <t>RSU max RSS</t>
  </si>
  <si>
    <t>Attacker (Stationary-Reactive) Scenario (Highway [45-80 mph])</t>
  </si>
  <si>
    <t>Attacker (Stationary-Constant) Scenario (Highway [45-80 mph])</t>
  </si>
  <si>
    <t>141.3 pps</t>
  </si>
  <si>
    <t>110.41 pps</t>
  </si>
  <si>
    <t>103.95 pps</t>
  </si>
  <si>
    <t>139.32 pps</t>
  </si>
  <si>
    <t>142.14 pps</t>
  </si>
  <si>
    <t>167.19 pps</t>
  </si>
  <si>
    <t>11.65 pps</t>
  </si>
  <si>
    <t>13.74 pps</t>
  </si>
  <si>
    <t>13.36 pps</t>
  </si>
  <si>
    <t>7.11 pps</t>
  </si>
  <si>
    <t>1.2 pps</t>
  </si>
  <si>
    <t>14.63 pps</t>
  </si>
  <si>
    <t>Attacker (Mobile-Reactive) Scenario (Urban [20-50 mph])</t>
  </si>
  <si>
    <t>57.12 pps</t>
  </si>
  <si>
    <t>60.48 pps</t>
  </si>
  <si>
    <t>50.31 pps</t>
  </si>
  <si>
    <t>68.14 pps</t>
  </si>
  <si>
    <t>69.57 pps</t>
  </si>
  <si>
    <t>82.16 pps</t>
  </si>
  <si>
    <t>7.14 pps</t>
  </si>
  <si>
    <t>4.1 pps</t>
  </si>
  <si>
    <t>3.6 pps</t>
  </si>
  <si>
    <t>6.74 pps</t>
  </si>
  <si>
    <t>3.46 pps</t>
  </si>
  <si>
    <t>2.13 pps</t>
  </si>
  <si>
    <t>PSR</t>
  </si>
  <si>
    <t>RSS</t>
  </si>
  <si>
    <t>Time s</t>
  </si>
  <si>
    <t>Non-Attacker Scenario [Highway (45-80mph)]</t>
  </si>
  <si>
    <t>Aggregated in\out Thput Kb</t>
  </si>
  <si>
    <t>Packet sent to RSU</t>
  </si>
  <si>
    <t>RSU-PDR</t>
  </si>
  <si>
    <t>RSU received</t>
  </si>
  <si>
    <t>N3-RSU</t>
  </si>
  <si>
    <t>N4-RSU</t>
  </si>
  <si>
    <t>N2-RSU</t>
  </si>
  <si>
    <t>N6-RSU</t>
  </si>
  <si>
    <t>N7-RSU</t>
  </si>
  <si>
    <t>T (s)</t>
  </si>
  <si>
    <t>RSU-PSR (%)</t>
  </si>
  <si>
    <t>RSU Intended-Tx</t>
  </si>
  <si>
    <t>Car P-Received</t>
  </si>
  <si>
    <t>Car-PDR (%)</t>
  </si>
  <si>
    <t>Car2 Rx</t>
  </si>
  <si>
    <t>Car3 Rx</t>
  </si>
  <si>
    <t>Car4 Rx</t>
  </si>
  <si>
    <t>Car5 Rx</t>
  </si>
  <si>
    <t xml:space="preserve">Packets received from RSU node </t>
  </si>
  <si>
    <t>Car6 Rx</t>
  </si>
  <si>
    <t>Car7 Rx</t>
  </si>
  <si>
    <t>Car8 Rx</t>
  </si>
  <si>
    <t>Car9 Rx</t>
  </si>
  <si>
    <t>Car10 Rx</t>
  </si>
  <si>
    <t>X</t>
  </si>
  <si>
    <t>RSU-BTx-Car</t>
  </si>
  <si>
    <t>Car Received power (dBm)</t>
  </si>
  <si>
    <t>Car-Btx-RSU</t>
  </si>
  <si>
    <t>CAR Intended-Tx</t>
  </si>
  <si>
    <t>Car-PSR (%)</t>
  </si>
  <si>
    <t>RSU P-Received</t>
  </si>
  <si>
    <t>RSU-PDR (%)</t>
  </si>
  <si>
    <t>RSU-PDSR (%)</t>
  </si>
  <si>
    <t>Car-PDSR (%)</t>
  </si>
  <si>
    <t>Car Received SNR (dBm)</t>
  </si>
  <si>
    <t>RSU Received power (dBm)</t>
  </si>
  <si>
    <t>RSU Received SNR (dBm)</t>
  </si>
  <si>
    <t>pkt number</t>
  </si>
  <si>
    <t>no.11</t>
  </si>
  <si>
    <t>500 byte,</t>
  </si>
  <si>
    <t>0.050894 sec</t>
  </si>
  <si>
    <t>no.12</t>
  </si>
  <si>
    <t>0.051786 sec</t>
  </si>
  <si>
    <t>no.13</t>
  </si>
  <si>
    <t>0.051825 sec</t>
  </si>
  <si>
    <t>no.14</t>
  </si>
  <si>
    <t>0.050842 sec</t>
  </si>
  <si>
    <t>no.15</t>
  </si>
  <si>
    <t>no.16</t>
  </si>
  <si>
    <t>0.051812 sec</t>
  </si>
  <si>
    <t>no.17</t>
  </si>
  <si>
    <t>0.050933 sec</t>
  </si>
  <si>
    <t>no.18</t>
  </si>
  <si>
    <t>0.050959 sec</t>
  </si>
  <si>
    <t>no.19</t>
  </si>
  <si>
    <t>0.050946 sec</t>
  </si>
  <si>
    <t>no.20</t>
  </si>
  <si>
    <t>0.050816 sec</t>
  </si>
  <si>
    <t>no.21</t>
  </si>
  <si>
    <t>0.051773 sec</t>
  </si>
  <si>
    <t>no.22</t>
  </si>
  <si>
    <t>0.050829 sec</t>
  </si>
  <si>
    <t>no.23</t>
  </si>
  <si>
    <t>no.24</t>
  </si>
  <si>
    <t>0.051760 sec</t>
  </si>
  <si>
    <t>no.25</t>
  </si>
  <si>
    <t>no.26</t>
  </si>
  <si>
    <t>no.27</t>
  </si>
  <si>
    <t>no.28</t>
  </si>
  <si>
    <t>no.29</t>
  </si>
  <si>
    <t>no.30</t>
  </si>
  <si>
    <t>0.050855 sec</t>
  </si>
  <si>
    <t>no.31</t>
  </si>
  <si>
    <t>no.32</t>
  </si>
  <si>
    <t>0.050881 sec</t>
  </si>
  <si>
    <t>no.33</t>
  </si>
  <si>
    <t>0.051721 sec</t>
  </si>
  <si>
    <t>no.34</t>
  </si>
  <si>
    <t>no.35</t>
  </si>
  <si>
    <t>no.36</t>
  </si>
  <si>
    <t>0.051877 sec</t>
  </si>
  <si>
    <t>no.37</t>
  </si>
  <si>
    <t>no.38</t>
  </si>
  <si>
    <t>0.051851 sec</t>
  </si>
  <si>
    <t>no.39</t>
  </si>
  <si>
    <t>no.40</t>
  </si>
  <si>
    <t>no.41</t>
  </si>
  <si>
    <t>no.42</t>
  </si>
  <si>
    <t>no.43</t>
  </si>
  <si>
    <t>0.050868 sec</t>
  </si>
  <si>
    <t>no.44</t>
  </si>
  <si>
    <t>no.45</t>
  </si>
  <si>
    <t>no.46</t>
  </si>
  <si>
    <t>0.050920 sec</t>
  </si>
  <si>
    <t>no.47</t>
  </si>
  <si>
    <t>0.051799 sec</t>
  </si>
  <si>
    <t>no.48</t>
  </si>
  <si>
    <t>no.49</t>
  </si>
  <si>
    <t>no.50</t>
  </si>
  <si>
    <t>no.51</t>
  </si>
  <si>
    <t>no.52</t>
  </si>
  <si>
    <t>no.53</t>
  </si>
  <si>
    <t>0.050907 sec</t>
  </si>
  <si>
    <t>no.54</t>
  </si>
  <si>
    <t>no.55</t>
  </si>
  <si>
    <t>no.56</t>
  </si>
  <si>
    <t>no.57</t>
  </si>
  <si>
    <t>no.58</t>
  </si>
  <si>
    <t>no.59</t>
  </si>
  <si>
    <t>no.60</t>
  </si>
  <si>
    <t>no.61</t>
  </si>
  <si>
    <t>no.62</t>
  </si>
  <si>
    <t>no.63</t>
  </si>
  <si>
    <t>no.64</t>
  </si>
  <si>
    <t>no.65</t>
  </si>
  <si>
    <t>no.66</t>
  </si>
  <si>
    <t>no.67</t>
  </si>
  <si>
    <t>no.68</t>
  </si>
  <si>
    <t>no.69</t>
  </si>
  <si>
    <t>no.70</t>
  </si>
  <si>
    <t>no.71</t>
  </si>
  <si>
    <t>no.72</t>
  </si>
  <si>
    <t>no.73</t>
  </si>
  <si>
    <t>0.051864 sec</t>
  </si>
  <si>
    <t>no.74</t>
  </si>
  <si>
    <t>no.75</t>
  </si>
  <si>
    <t>no.76</t>
  </si>
  <si>
    <t>no.77</t>
  </si>
  <si>
    <t>no.78</t>
  </si>
  <si>
    <t>no.79</t>
  </si>
  <si>
    <t>0.051838 sec</t>
  </si>
  <si>
    <t>no.80</t>
  </si>
  <si>
    <t>no.81</t>
  </si>
  <si>
    <t>no.82</t>
  </si>
  <si>
    <t>no.83</t>
  </si>
  <si>
    <t>no.84</t>
  </si>
  <si>
    <t>no.85</t>
  </si>
  <si>
    <t>no.86</t>
  </si>
  <si>
    <t>no.87</t>
  </si>
  <si>
    <t>no.88</t>
  </si>
  <si>
    <t>no.89</t>
  </si>
  <si>
    <t>no.90</t>
  </si>
  <si>
    <t>no.91</t>
  </si>
  <si>
    <t>no.92</t>
  </si>
  <si>
    <t>no.93</t>
  </si>
  <si>
    <t>0.051747 sec</t>
  </si>
  <si>
    <t>no.94</t>
  </si>
  <si>
    <t>no.95</t>
  </si>
  <si>
    <t>no.97</t>
  </si>
  <si>
    <t>no.99</t>
  </si>
  <si>
    <t>no.100</t>
  </si>
  <si>
    <t>no.101</t>
  </si>
  <si>
    <t>no.102</t>
  </si>
  <si>
    <t>no.103</t>
  </si>
  <si>
    <t>no.104</t>
  </si>
  <si>
    <t>no.105</t>
  </si>
  <si>
    <t>no.106</t>
  </si>
  <si>
    <t>no.107</t>
  </si>
  <si>
    <t>no.108</t>
  </si>
  <si>
    <t>no.109</t>
  </si>
  <si>
    <t>no.110</t>
  </si>
  <si>
    <t>no.111</t>
  </si>
  <si>
    <t>no.113</t>
  </si>
  <si>
    <t>no.114</t>
  </si>
  <si>
    <t>no.115</t>
  </si>
  <si>
    <t>no.116</t>
  </si>
  <si>
    <t>no.117</t>
  </si>
  <si>
    <t>no.118</t>
  </si>
  <si>
    <t>no.119</t>
  </si>
  <si>
    <t>no.120</t>
  </si>
  <si>
    <t>no.121</t>
  </si>
  <si>
    <t>no.122</t>
  </si>
  <si>
    <t>no.123</t>
  </si>
  <si>
    <t>no.124</t>
  </si>
  <si>
    <t>no.125</t>
  </si>
  <si>
    <t>no.126</t>
  </si>
  <si>
    <t>no.127</t>
  </si>
  <si>
    <t>no.128</t>
  </si>
  <si>
    <t>no.129</t>
  </si>
  <si>
    <t>no.130</t>
  </si>
  <si>
    <t>no.131</t>
  </si>
  <si>
    <t>no.132</t>
  </si>
  <si>
    <t>no.133</t>
  </si>
  <si>
    <t>no.134</t>
  </si>
  <si>
    <t>no.135</t>
  </si>
  <si>
    <t>no.136</t>
  </si>
  <si>
    <t>no.137</t>
  </si>
  <si>
    <t>no.138</t>
  </si>
  <si>
    <t>no.139</t>
  </si>
  <si>
    <t>no.140</t>
  </si>
  <si>
    <t>no.141</t>
  </si>
  <si>
    <t>no.142</t>
  </si>
  <si>
    <t>no.143</t>
  </si>
  <si>
    <t>no.144</t>
  </si>
  <si>
    <t>no.145</t>
  </si>
  <si>
    <t>no.146</t>
  </si>
  <si>
    <t>no.147</t>
  </si>
  <si>
    <t>no.148</t>
  </si>
  <si>
    <t>no.149</t>
  </si>
  <si>
    <t>no.150</t>
  </si>
  <si>
    <t>no.151</t>
  </si>
  <si>
    <t>no.152</t>
  </si>
  <si>
    <t>no.153</t>
  </si>
  <si>
    <t>no.154</t>
  </si>
  <si>
    <t>no.155</t>
  </si>
  <si>
    <t>no.157</t>
  </si>
  <si>
    <t>no.159</t>
  </si>
  <si>
    <t>no.160</t>
  </si>
  <si>
    <t>no.161</t>
  </si>
  <si>
    <t>no.162</t>
  </si>
  <si>
    <t>no.163</t>
  </si>
  <si>
    <t>0.050856 sec</t>
  </si>
  <si>
    <t>no.164</t>
  </si>
  <si>
    <t>0.051761 sec</t>
  </si>
  <si>
    <t>no.165</t>
  </si>
  <si>
    <t>0.051774 sec</t>
  </si>
  <si>
    <t>no.166</t>
  </si>
  <si>
    <t>0.050830 sec</t>
  </si>
  <si>
    <t>no.168</t>
  </si>
  <si>
    <t>0.050921 sec</t>
  </si>
  <si>
    <t>no.170</t>
  </si>
  <si>
    <t>0.050882 sec</t>
  </si>
  <si>
    <t>no.172</t>
  </si>
  <si>
    <t>0.051878 sec</t>
  </si>
  <si>
    <t>no.173</t>
  </si>
  <si>
    <t>no.174</t>
  </si>
  <si>
    <t>0.051800 sec</t>
  </si>
  <si>
    <t>no.175</t>
  </si>
  <si>
    <t>no.176</t>
  </si>
  <si>
    <t>no.177</t>
  </si>
  <si>
    <t>0.051839 sec</t>
  </si>
  <si>
    <t>no.178</t>
  </si>
  <si>
    <t>0.051826 sec</t>
  </si>
  <si>
    <t>no.179</t>
  </si>
  <si>
    <t>no.180</t>
  </si>
  <si>
    <t>no.181</t>
  </si>
  <si>
    <t>no.182</t>
  </si>
  <si>
    <t>no.183</t>
  </si>
  <si>
    <t>0.050895 sec</t>
  </si>
  <si>
    <t>no.184</t>
  </si>
  <si>
    <t>no.185</t>
  </si>
  <si>
    <t>no.186</t>
  </si>
  <si>
    <t>no.187</t>
  </si>
  <si>
    <t>no.188</t>
  </si>
  <si>
    <t>no.189</t>
  </si>
  <si>
    <t>0.050973 sec</t>
  </si>
  <si>
    <t>no.190</t>
  </si>
  <si>
    <t>0.050908 sec</t>
  </si>
  <si>
    <t>no.191</t>
  </si>
  <si>
    <t>0.050869 sec</t>
  </si>
  <si>
    <t>no.192</t>
  </si>
  <si>
    <t>no.193</t>
  </si>
  <si>
    <t>0.051813 sec</t>
  </si>
  <si>
    <t>no.194</t>
  </si>
  <si>
    <t>no.195</t>
  </si>
  <si>
    <t>0.051787 sec</t>
  </si>
  <si>
    <t>no.196</t>
  </si>
  <si>
    <t>0.050986 sec</t>
  </si>
  <si>
    <t>no.197</t>
  </si>
  <si>
    <t>no.198</t>
  </si>
  <si>
    <t>no.199</t>
  </si>
  <si>
    <t>no.200</t>
  </si>
  <si>
    <t>no.201</t>
  </si>
  <si>
    <t>0.050843 sec</t>
  </si>
  <si>
    <t>no.202</t>
  </si>
  <si>
    <t>no.203</t>
  </si>
  <si>
    <t>0.050817 sec</t>
  </si>
  <si>
    <t>no.204</t>
  </si>
  <si>
    <t>no.205</t>
  </si>
  <si>
    <t>no.207</t>
  </si>
  <si>
    <t>no.208</t>
  </si>
  <si>
    <t>0.051865 sec</t>
  </si>
  <si>
    <t>no.209</t>
  </si>
  <si>
    <t>no.210</t>
  </si>
  <si>
    <t>no.211</t>
  </si>
  <si>
    <t>no.212</t>
  </si>
  <si>
    <t>no.213</t>
  </si>
  <si>
    <t>no.215</t>
  </si>
  <si>
    <t>no.216</t>
  </si>
  <si>
    <t>no.217</t>
  </si>
  <si>
    <t>no.218</t>
  </si>
  <si>
    <t>no.219</t>
  </si>
  <si>
    <t>no.220</t>
  </si>
  <si>
    <t>no.221</t>
  </si>
  <si>
    <t>no.222</t>
  </si>
  <si>
    <t>no.224</t>
  </si>
  <si>
    <t>no.227</t>
  </si>
  <si>
    <t>no.228</t>
  </si>
  <si>
    <t>0.050947 sec</t>
  </si>
  <si>
    <t>no.229</t>
  </si>
  <si>
    <t>no.230</t>
  </si>
  <si>
    <t>no.231</t>
  </si>
  <si>
    <t>no.232</t>
  </si>
  <si>
    <t>no.233</t>
  </si>
  <si>
    <t>no.234</t>
  </si>
  <si>
    <t>0.051852 sec</t>
  </si>
  <si>
    <t>no.235</t>
  </si>
  <si>
    <t>no.236</t>
  </si>
  <si>
    <t>no.237</t>
  </si>
  <si>
    <t>no.238</t>
  </si>
  <si>
    <t>no.239</t>
  </si>
  <si>
    <t>no.240</t>
  </si>
  <si>
    <t>no.242</t>
  </si>
  <si>
    <t>no.243</t>
  </si>
  <si>
    <t>no.244</t>
  </si>
  <si>
    <t>no.245</t>
  </si>
  <si>
    <t>no.246</t>
  </si>
  <si>
    <t>no.248</t>
  </si>
  <si>
    <t>no.249</t>
  </si>
  <si>
    <t>no.250</t>
  </si>
  <si>
    <t>no.251</t>
  </si>
  <si>
    <t>0.050960 sec</t>
  </si>
  <si>
    <t>no.253</t>
  </si>
  <si>
    <t>no.255</t>
  </si>
  <si>
    <t>no.256</t>
  </si>
  <si>
    <t>no.259</t>
  </si>
  <si>
    <t>no.260</t>
  </si>
  <si>
    <t>0.051722 sec</t>
  </si>
  <si>
    <t>no.261</t>
  </si>
  <si>
    <t>no.262</t>
  </si>
  <si>
    <t>no.263</t>
  </si>
  <si>
    <t>no.264</t>
  </si>
  <si>
    <t>no.265</t>
  </si>
  <si>
    <t>no.266</t>
  </si>
  <si>
    <t>no.267</t>
  </si>
  <si>
    <t>no.268</t>
  </si>
  <si>
    <t>no.270</t>
  </si>
  <si>
    <t>no.271</t>
  </si>
  <si>
    <t>no.272</t>
  </si>
  <si>
    <t>no.273</t>
  </si>
  <si>
    <t>no.274</t>
  </si>
  <si>
    <t>0.051709 sec</t>
  </si>
  <si>
    <t>no.275</t>
  </si>
  <si>
    <t>no.276</t>
  </si>
  <si>
    <t>no.277</t>
  </si>
  <si>
    <t>no.278</t>
  </si>
  <si>
    <t>no.279</t>
  </si>
  <si>
    <t>no.280</t>
  </si>
  <si>
    <t>no.281</t>
  </si>
  <si>
    <t>no.282</t>
  </si>
  <si>
    <t>no.283</t>
  </si>
  <si>
    <t>no.284</t>
  </si>
  <si>
    <t>no.285</t>
  </si>
  <si>
    <t>no.286</t>
  </si>
  <si>
    <t>no.287</t>
  </si>
  <si>
    <t>no.288</t>
  </si>
  <si>
    <t>no.289</t>
  </si>
  <si>
    <t>no.290</t>
  </si>
  <si>
    <t>no.291</t>
  </si>
  <si>
    <t>no.292</t>
  </si>
  <si>
    <t>no.293</t>
  </si>
  <si>
    <t>no.294</t>
  </si>
  <si>
    <t>no.295</t>
  </si>
  <si>
    <t>no.296</t>
  </si>
  <si>
    <t>no.297</t>
  </si>
  <si>
    <t>no.298</t>
  </si>
  <si>
    <t>no.299</t>
  </si>
  <si>
    <t>no.300</t>
  </si>
  <si>
    <t>pkt no. 1 to pkt no. 10 lost. Accumlated packet lost = 10</t>
  </si>
  <si>
    <t>pkt size</t>
  </si>
  <si>
    <t>delay time</t>
  </si>
  <si>
    <t>pkt no. 96 to pkt no. 96 lost. Accumlated packet lost = 11</t>
  </si>
  <si>
    <t>pkt no. 158 to pkt no. 158 lost. Accumlated packet lost = 15</t>
  </si>
  <si>
    <t>pkt no. 156 to pkt no. 156 lost. Accumlated packet lost = 14</t>
  </si>
  <si>
    <t>pkt no. 112 to pkt no. 112 lost. Accumlated packet lost = 13</t>
  </si>
  <si>
    <t>pkt no. 98 to pkt no. 98 lost. Accumlated packet lost = 12</t>
  </si>
  <si>
    <t>pkt no. 167 to pkt no. 167 lost. Accumlated packet lost = 16</t>
  </si>
  <si>
    <t>pkt no. 169 to pkt no. 169 lost. Accumlated packet lost = 17</t>
  </si>
  <si>
    <t>pkt no. 171 to pkt no. 171 lost. Accumlated packet lost = 18</t>
  </si>
  <si>
    <t>pkt no. 206 to pkt no. 206 lost. Accumlated packet lost = 19</t>
  </si>
  <si>
    <t>pkt no. 214 to pkt no. 214 lost. Accumlated packet lost = 20</t>
  </si>
  <si>
    <t>pkt no. 223 to pkt no. 223 lost. Accumlated packet lost = 21</t>
  </si>
  <si>
    <t>pkt no. 225 to pkt no. 226 lost. Accumlated packet lost = 23</t>
  </si>
  <si>
    <t>pkt no. 241 to pkt no. 241 lost. Accumlated packet lost = 24</t>
  </si>
  <si>
    <t>pkt no. 247 to pkt no. 247 lost. Accumlated packet lost = 25</t>
  </si>
  <si>
    <t>pkt no. 252 to pkt no. 252 lost. Accumlated packet lost = 26</t>
  </si>
  <si>
    <t>pkt no. 254 to pkt no. 254 lost. Accumlated packet lost = 27</t>
  </si>
  <si>
    <t>pkt no. 257 to pkt no. 258 lost. Accumlated packet lost = 29</t>
  </si>
  <si>
    <t>pkt no. 269 to pkt no. 269 lost. Accumlated packet lost = 30</t>
  </si>
  <si>
    <t>Car received pkts analysis</t>
  </si>
  <si>
    <t>Car-rx-AVG BER</t>
  </si>
  <si>
    <t xml:space="preserve">CAR-PDR VS. RSS (chart1) </t>
  </si>
  <si>
    <t>CAR-PDR Vs. SNR (chart2)</t>
  </si>
  <si>
    <t>CAR-PDR Vs. CAR-PSR (chart3)</t>
  </si>
  <si>
    <t>CAR-PDSR Vs. RSS (chart4)</t>
  </si>
  <si>
    <t>RSU-PDR Vs. RSS (chart5)</t>
  </si>
  <si>
    <t xml:space="preserve">RSU-PDR Vs. SNR (chart6) </t>
  </si>
  <si>
    <t>RSU-PDR Vs. RSU- PSR (chart7)</t>
  </si>
  <si>
    <t xml:space="preserve">RSU-PDSR Vs. RSS (chart8) </t>
  </si>
  <si>
    <t>RSU In/Out</t>
  </si>
  <si>
    <t xml:space="preserve">Car1 </t>
  </si>
  <si>
    <t>In/ Out throughput per node analysis</t>
  </si>
  <si>
    <t>1-10</t>
  </si>
  <si>
    <t>11-20</t>
  </si>
  <si>
    <t>21-30</t>
  </si>
  <si>
    <t>31-40</t>
  </si>
  <si>
    <t>41-50</t>
  </si>
  <si>
    <t>51-60</t>
  </si>
  <si>
    <t>61-70</t>
  </si>
  <si>
    <t>71-80</t>
  </si>
  <si>
    <t>81-90</t>
  </si>
  <si>
    <t>91-100</t>
  </si>
  <si>
    <t>101-110</t>
  </si>
  <si>
    <t>111-120</t>
  </si>
  <si>
    <t>121-130</t>
  </si>
  <si>
    <t>131-140</t>
  </si>
  <si>
    <t>141-150</t>
  </si>
  <si>
    <t>151-160</t>
  </si>
  <si>
    <t>161-170</t>
  </si>
  <si>
    <t>171-180</t>
  </si>
  <si>
    <t>181-190</t>
  </si>
  <si>
    <t>191-200</t>
  </si>
  <si>
    <t>201-210</t>
  </si>
  <si>
    <t>211-220</t>
  </si>
  <si>
    <t>221-230</t>
  </si>
  <si>
    <t>231-240</t>
  </si>
  <si>
    <t>241-250</t>
  </si>
  <si>
    <t>251-260</t>
  </si>
  <si>
    <t>261-270</t>
  </si>
  <si>
    <t>271-280</t>
  </si>
  <si>
    <t>281-290</t>
  </si>
  <si>
    <t>291-300</t>
  </si>
  <si>
    <t>out of range</t>
  </si>
  <si>
    <t>Car2</t>
  </si>
  <si>
    <t>Car3</t>
  </si>
  <si>
    <t>Car4</t>
  </si>
  <si>
    <t>Car5</t>
  </si>
  <si>
    <t>Car6</t>
  </si>
  <si>
    <t>Car7</t>
  </si>
  <si>
    <t>Car8</t>
  </si>
  <si>
    <t>Car9</t>
  </si>
  <si>
    <t>Car10</t>
  </si>
  <si>
    <t>packet  no.1 to no.13  lost, accumulate 13 pkts lost!!</t>
  </si>
  <si>
    <t>pkt no.14   size=  500 byte,  delay time= 0.056245 sec</t>
  </si>
  <si>
    <t>packet  no.15 to no.18  lost, accumulate 17 pkts lost!!</t>
  </si>
  <si>
    <t>pkt no.19   size=  500 byte,  delay time= 0.052715 sec</t>
  </si>
  <si>
    <t>packet  no.20 to no.21  lost, accumulate 19 pkts lost!!</t>
  </si>
  <si>
    <t>pkt no.22   size=  500 byte,  delay time= 0.052676 sec</t>
  </si>
  <si>
    <t>pkt no.23   size=  500 byte,  delay time= 0.056258 sec</t>
  </si>
  <si>
    <t>packet  no.24 to no.25  lost, accumulate 21 pkts lost!!</t>
  </si>
  <si>
    <t>pkt no.26   size=  500 byte,  delay time= 0.053594 sec</t>
  </si>
  <si>
    <t>packet  no.27 to no.27  lost, accumulate 22 pkts lost!!</t>
  </si>
  <si>
    <t>pkt no.28   size=  500 byte,  delay time= 0.052689 sec</t>
  </si>
  <si>
    <t>packet  no.29 to no.30  lost, accumulate 24 pkts lost!!</t>
  </si>
  <si>
    <t>pkt no.31   size=  500 byte,  delay time= 0.052690 sec</t>
  </si>
  <si>
    <t>packet  no.32 to no.36  lost, accumulate 29 pkts lost!!</t>
  </si>
  <si>
    <t>pkt no.37   size=  500 byte,  delay time= 0.054526 sec</t>
  </si>
  <si>
    <t>packet  no.38 to no.41  lost, accumulate 33 pkts lost!!</t>
  </si>
  <si>
    <t>pkt no.42   size=  500 byte,  delay time= 0.056310 sec</t>
  </si>
  <si>
    <t>packet  no.43 to no.43  lost, accumulate 34 pkts lost!!</t>
  </si>
  <si>
    <t>pkt no.44   size=  500 byte,  delay time= 0.057202 sec</t>
  </si>
  <si>
    <t>pkt no.45   size=  500 byte,  delay time= 0.058068 sec</t>
  </si>
  <si>
    <t>packet  no.46 to no.47  lost, accumulate 36 pkts lost!!</t>
  </si>
  <si>
    <t>pkt no.48   size=  500 byte,  delay time= 0.054512 sec</t>
  </si>
  <si>
    <t>pkt no.49   size=  500 byte,  delay time= 0.054526 sec</t>
  </si>
  <si>
    <t>pkt no.50   size=  500 byte,  delay time= 0.057203 sec</t>
  </si>
  <si>
    <t>pkt no.51   size=  500 byte,  delay time= 0.051797 sec</t>
  </si>
  <si>
    <t>pkt no.52   size=  500 byte,  delay time= 0.050866 sec</t>
  </si>
  <si>
    <t>pkt no.53   size=  500 byte,  delay time= 0.051771 sec</t>
  </si>
  <si>
    <t>packet  no.54 to no.54  lost, accumulate 37 pkts lost!!</t>
  </si>
  <si>
    <t>pkt no.55   size=  500 byte,  delay time= 0.052676 sec</t>
  </si>
  <si>
    <t>pkt no.56   size=  500 byte,  delay time= 0.050866 sec</t>
  </si>
  <si>
    <t>packet  no.57 to no.57  lost, accumulate 38 pkts lost!!</t>
  </si>
  <si>
    <t>pkt no.58   size=  500 byte,  delay time= 0.052663 sec</t>
  </si>
  <si>
    <t>packet  no.59 to no.59  lost, accumulate 39 pkts lost!!</t>
  </si>
  <si>
    <t>pkt no.60   size=  500 byte,  delay time= 0.051784 sec</t>
  </si>
  <si>
    <t>packet  no.61 to no.61  lost, accumulate 40 pkts lost!!</t>
  </si>
  <si>
    <t>pkt no.62   size=  500 byte,  delay time= 0.054460 sec</t>
  </si>
  <si>
    <t>packet  no.63 to no.64  lost, accumulate 42 pkts lost!!</t>
  </si>
  <si>
    <t>pkt no.65   size=  500 byte,  delay time= 0.037201 sec</t>
  </si>
  <si>
    <t>pkt no.66   size=  500 byte,  delay time= 0.030904 sec</t>
  </si>
  <si>
    <t>pkt no.67   size=  500 byte,  delay time= 0.033607 sec</t>
  </si>
  <si>
    <t>packet  no.68 to no.72  lost, accumulate 47 pkts lost!!</t>
  </si>
  <si>
    <t>pkt no.73   size=  500 byte,  delay time= 0.032701 sec</t>
  </si>
  <si>
    <t>pkt no.74   size=  500 byte,  delay time= 0.030878 sec</t>
  </si>
  <si>
    <t>packet  no.75 to no.75  lost, accumulate 48 pkts lost!!</t>
  </si>
  <si>
    <t>pkt no.76   size=  500 byte,  delay time= 0.034472 sec</t>
  </si>
  <si>
    <t>pkt no.77   size=  500 byte,  delay time= 0.031757 sec</t>
  </si>
  <si>
    <t>pkt no.78   size=  500 byte,  delay time= 0.036295 sec</t>
  </si>
  <si>
    <t>pkt no.79   size=  500 byte,  delay time= 0.036308 sec</t>
  </si>
  <si>
    <t>pkt no.80   size=  500 byte,  delay time= 0.030878 sec</t>
  </si>
  <si>
    <t>pkt no.81   size=  500 byte,  delay time= 0.033593 sec</t>
  </si>
  <si>
    <t>pkt no.82   size=  500 byte,  delay time= 0.033593 sec</t>
  </si>
  <si>
    <t>pkt no.83   size=  500 byte,  delay time= 0.031770 sec</t>
  </si>
  <si>
    <t>pkt no.84   size=  500 byte,  delay time= 0.037200 sec</t>
  </si>
  <si>
    <t>pkt no.85   size=  500 byte,  delay time= 0.035403 sec</t>
  </si>
  <si>
    <t>pkt no.86   size=  500 byte,  delay time= 0.037187 sec</t>
  </si>
  <si>
    <t>pkt no.87   size=  500 byte,  delay time= 0.031757 sec</t>
  </si>
  <si>
    <t>pkt no.88   size=  500 byte,  delay time= 0.036308 sec</t>
  </si>
  <si>
    <t>packet  no.89 to no.89  lost, accumulate 49 pkts lost!!</t>
  </si>
  <si>
    <t>pkt no.90   size=  500 byte,  delay time= 0.030878 sec</t>
  </si>
  <si>
    <t>packet  no.91 to no.94  lost, accumulate 53 pkts lost!!</t>
  </si>
  <si>
    <t>pkt no.95   size=  500 byte,  delay time= 0.030865 sec</t>
  </si>
  <si>
    <t>packet  no.96 to no.97  lost, accumulate 55 pkts lost!!</t>
  </si>
  <si>
    <t>pkt no.98   size=  500 byte,  delay time= 0.032662 sec</t>
  </si>
  <si>
    <t>pkt no.99   size=  500 byte,  delay time= 0.032701 sec</t>
  </si>
  <si>
    <t>pkt no.100   size=  500 byte,  delay time= 0.030865 sec</t>
  </si>
  <si>
    <t>pkt no.101   size=  500 byte,  delay time= 0.031757 sec</t>
  </si>
  <si>
    <t>pkt no.102   size=  500 byte,  delay time= 0.034512 sec</t>
  </si>
  <si>
    <t>packet  no.103 to no.103  lost, accumulate 56 pkts lost!!</t>
  </si>
  <si>
    <t>pkt no.104   size=  500 byte,  delay time= 0.035428 sec</t>
  </si>
  <si>
    <t>packet  no.105 to no.105  lost, accumulate 57 pkts lost!!</t>
  </si>
  <si>
    <t>pkt no.106   size=  500 byte,  delay time= 0.034485 sec</t>
  </si>
  <si>
    <t>packet  no.107 to no.107  lost, accumulate 58 pkts lost!!</t>
  </si>
  <si>
    <t>pkt no.108   size=  500 byte,  delay time= 0.034472 sec</t>
  </si>
  <si>
    <t>pkt no.109   size=  500 byte,  delay time= 0.031809 sec</t>
  </si>
  <si>
    <t>pkt no.110   size=  500 byte,  delay time= 0.032688 sec</t>
  </si>
  <si>
    <t>pkt no.111   size=  500 byte,  delay time= 0.036256 sec</t>
  </si>
  <si>
    <t>pkt no.112   size=  500 byte,  delay time= 0.033567 sec</t>
  </si>
  <si>
    <t>packet  no.113 to no.116  lost, accumulate 62 pkts lost!!</t>
  </si>
  <si>
    <t>pkt no.117   size=  500 byte,  delay time= 0.036269 sec</t>
  </si>
  <si>
    <t>pkt no.118   size=  500 byte,  delay time= 0.032727 sec</t>
  </si>
  <si>
    <t>pkt no.119   size=  500 byte,  delay time= 0.030891 sec</t>
  </si>
  <si>
    <t>pkt no.120   size=  500 byte,  delay time= 0.030865 sec</t>
  </si>
  <si>
    <t>pkt no.121   size=  500 byte,  delay time= 0.037201 sec</t>
  </si>
  <si>
    <t>packet  no.122 to no.123  lost, accumulate 64 pkts lost!!</t>
  </si>
  <si>
    <t>pkt no.124   size=  500 byte,  delay time= 0.035377 sec</t>
  </si>
  <si>
    <t>packet  no.125 to no.125  lost, accumulate 65 pkts lost!!</t>
  </si>
  <si>
    <t>pkt no.126   size=  500 byte,  delay time= 0.030904 sec</t>
  </si>
  <si>
    <t>packet  no.127 to no.128  lost, accumulate 67 pkts lost!!</t>
  </si>
  <si>
    <t>pkt no.129   size=  500 byte,  delay time= 0.036231 sec</t>
  </si>
  <si>
    <t>packet  no.130 to no.130  lost, accumulate 68 pkts lost!!</t>
  </si>
  <si>
    <t>pkt no.131   size=  500 byte,  delay time= 0.035377 sec</t>
  </si>
  <si>
    <t>packet  no.132 to no.132  lost, accumulate 69 pkts lost!!</t>
  </si>
  <si>
    <t>pkt no.133   size=  500 byte,  delay time= 0.034485 sec</t>
  </si>
  <si>
    <t>pkt no.134   size=  500 byte,  delay time= 0.035441 sec</t>
  </si>
  <si>
    <t>packet  no.135 to no.135  lost, accumulate 70 pkts lost!!</t>
  </si>
  <si>
    <t>pkt no.136   size=  500 byte,  delay time= 0.037250 sec</t>
  </si>
  <si>
    <t>pkt no.137   size=  500 byte,  delay time= 0.036309 sec</t>
  </si>
  <si>
    <t>pkt no.138   size=  500 byte,  delay time= 0.033632 sec</t>
  </si>
  <si>
    <t>packet  no.139 to no.139  lost, accumulate 71 pkts lost!!</t>
  </si>
  <si>
    <t>pkt no.140   size=  500 byte,  delay time= 0.030917 sec</t>
  </si>
  <si>
    <t>pkt no.141   size=  500 byte,  delay time= 0.034537 sec</t>
  </si>
  <si>
    <t>packet  no.142 to no.142  lost, accumulate 72 pkts lost!!</t>
  </si>
  <si>
    <t>pkt no.143   size=  500 byte,  delay time= 0.037227 sec</t>
  </si>
  <si>
    <t>packet  no.144 to no.146  lost, accumulate 75 pkts lost!!</t>
  </si>
  <si>
    <t>pkt no.147   size=  500 byte,  delay time= 0.034486 sec</t>
  </si>
  <si>
    <t>pkt no.148   size=  500 byte,  delay time= 0.032662 sec</t>
  </si>
  <si>
    <t>pkt no.149   size=  500 byte,  delay time= 0.033814 sec</t>
  </si>
  <si>
    <t>packet  no.150 to no.150  lost, accumulate 76 pkts lost!!</t>
  </si>
  <si>
    <t>pkt no.151   size=  500 byte,  delay time= 0.031771 sec</t>
  </si>
  <si>
    <t>packet  no.152 to no.153  lost, accumulate 78 pkts lost!!</t>
  </si>
  <si>
    <t>pkt no.154   size=  500 byte,  delay time= 0.037393 sec</t>
  </si>
  <si>
    <t>pkt no.155   size=  500 byte,  delay time= 0.030878 sec</t>
  </si>
  <si>
    <t>packet  no.156 to no.156  lost, accumulate 79 pkts lost!!</t>
  </si>
  <si>
    <t>pkt no.157   size=  500 byte,  delay time= 0.033541 sec</t>
  </si>
  <si>
    <t>pkt no.158   size=  500 byte,  delay time= 0.037214 sec</t>
  </si>
  <si>
    <t>pkt no.159   size=  500 byte,  delay time= 0.038080 sec</t>
  </si>
  <si>
    <t>pkt no.160   size=  500 byte,  delay time= 0.034499 sec</t>
  </si>
  <si>
    <t>pkt no.161   size=  500 byte,  delay time= 0.036309 sec</t>
  </si>
  <si>
    <t>packet  no.162 to no.162  lost, accumulate 80 pkts lost!!</t>
  </si>
  <si>
    <t>pkt no.163   size=  500 byte,  delay time= 0.037227 sec</t>
  </si>
  <si>
    <t>pkt no.164   size=  500 byte,  delay time= 0.037123 sec</t>
  </si>
  <si>
    <t>packet  no.165 to no.165  lost, accumulate 81 pkts lost!!</t>
  </si>
  <si>
    <t>pkt no.166   size=  500 byte,  delay time= 0.035351 sec</t>
  </si>
  <si>
    <t>packet  no.167 to no.168  lost, accumulate 83 pkts lost!!</t>
  </si>
  <si>
    <t>pkt no.169   size=  500 byte,  delay time= 0.038932 sec</t>
  </si>
  <si>
    <t>pkt no.170   size=  500 byte,  delay time= 0.038984 sec</t>
  </si>
  <si>
    <t>pkt no.171   size=  500 byte,  delay time= 0.034460 sec</t>
  </si>
  <si>
    <t>packet  no.172 to no.172  lost, accumulate 84 pkts lost!!</t>
  </si>
  <si>
    <t>pkt no.173   size=  500 byte,  delay time= 0.037174 sec</t>
  </si>
  <si>
    <t>packet  no.174 to no.177  lost, accumulate 88 pkts lost!!</t>
  </si>
  <si>
    <t>pkt no.178   size=  500 byte,  delay time= 0.033580 sec</t>
  </si>
  <si>
    <t>packet  no.179 to no.180  lost, accumulate 90 pkts lost!!</t>
  </si>
  <si>
    <t>pkt no.181   size=  500 byte,  delay time= 0.031771 sec</t>
  </si>
  <si>
    <t>pkt no.182   size=  500 byte,  delay time= 0.033567 sec</t>
  </si>
  <si>
    <t>packet  no.183 to no.183  lost, accumulate 91 pkts lost!!</t>
  </si>
  <si>
    <t>pkt no.184   size=  500 byte,  delay time= 0.036296 sec</t>
  </si>
  <si>
    <t>packet  no.185 to no.187  lost, accumulate 94 pkts lost!!</t>
  </si>
  <si>
    <t>pkt no.188   size=  500 byte,  delay time= 0.031797 sec</t>
  </si>
  <si>
    <t>packet  no.189 to no.192  lost, accumulate 98 pkts lost!!</t>
  </si>
  <si>
    <t>pkt no.193   size=  500 byte,  delay time= 0.033607 sec</t>
  </si>
  <si>
    <t>packet  no.194 to no.194  lost, accumulate 99 pkts lost!!</t>
  </si>
  <si>
    <t>pkt no.195   size=  500 byte,  delay time= 0.037176 sec</t>
  </si>
  <si>
    <t>packet  no.196 to no.196  lost, accumulate 100 pkts lost!!</t>
  </si>
  <si>
    <t>pkt no.197   size=  500 byte,  delay time= 0.034603 sec</t>
  </si>
  <si>
    <t>pkt no.198   size=  500 byte,  delay time= 0.037254 sec</t>
  </si>
  <si>
    <t>pkt no.199   size=  500 byte,  delay time= 0.030892 sec</t>
  </si>
  <si>
    <t>pkt no.200   size=  500 byte,  delay time= 0.035404 sec</t>
  </si>
  <si>
    <t>pkt no.201   size=  500 byte,  delay time= 0.033581 sec</t>
  </si>
  <si>
    <t>packet  no.202 to no.205  lost, accumulate 104 pkts lost!!</t>
  </si>
  <si>
    <t>pkt no.206   size=  500 byte,  delay time= 0.037319 sec</t>
  </si>
  <si>
    <t>packet  no.207 to no.207  lost, accumulate 105 pkts lost!!</t>
  </si>
  <si>
    <t>pkt no.208   size=  500 byte,  delay time= 0.038249 sec</t>
  </si>
  <si>
    <t>packet  no.209 to no.212  lost, accumulate 109 pkts lost!!</t>
  </si>
  <si>
    <t>pkt no.213   size=  500 byte,  delay time= 0.034499 sec</t>
  </si>
  <si>
    <t>pkt no.214   size=  500 byte,  delay time= 0.031759 sec</t>
  </si>
  <si>
    <t>packet  no.215 to no.215  lost, accumulate 110 pkts lost!!</t>
  </si>
  <si>
    <t>pkt no.216   size=  500 byte,  delay time= 0.038094 sec</t>
  </si>
  <si>
    <t>pkt no.217   size=  500 byte,  delay time= 0.036309 sec</t>
  </si>
  <si>
    <t>packet  no.218 to no.218  lost, accumulate 111 pkts lost!!</t>
  </si>
  <si>
    <t>pkt no.219   size=  500 byte,  delay time= 0.031784 sec</t>
  </si>
  <si>
    <t>packet  no.220 to no.220  lost, accumulate 112 pkts lost!!</t>
  </si>
  <si>
    <t>pkt no.221   size=  500 byte,  delay time= 0.034500 sec</t>
  </si>
  <si>
    <t>packet  no.222 to no.223  lost, accumulate 114 pkts lost!!</t>
  </si>
  <si>
    <t>pkt no.224   size=  500 byte,  delay time= 0.038946 sec</t>
  </si>
  <si>
    <t>pkt no.225   size=  500 byte,  delay time= 0.033555 sec</t>
  </si>
  <si>
    <t>packet  no.226 to no.226  lost, accumulate 115 pkts lost!!</t>
  </si>
  <si>
    <t>pkt no.227   size=  500 byte,  delay time= 0.033568 sec</t>
  </si>
  <si>
    <t>pkt no.228   size=  500 byte,  delay time= 0.036258 sec</t>
  </si>
  <si>
    <t>packet  no.229 to no.229  lost, accumulate 116 pkts lost!!</t>
  </si>
  <si>
    <t>pkt no.230   size=  500 byte,  delay time= 0.038015 sec</t>
  </si>
  <si>
    <t>pkt no.231   size=  500 byte,  delay time= 0.032676 sec</t>
  </si>
  <si>
    <t>pkt no.232   size=  500 byte,  delay time= 0.036296 sec</t>
  </si>
  <si>
    <t>pkt no.233   size=  500 byte,  delay time= 0.032663 sec</t>
  </si>
  <si>
    <t>packet  no.234 to no.235  lost, accumulate 118 pkts lost!!</t>
  </si>
  <si>
    <t>pkt no.236   size=  500 byte,  delay time= 0.034501 sec</t>
  </si>
  <si>
    <t>packet  no.237 to no.237  lost, accumulate 119 pkts lost!!</t>
  </si>
  <si>
    <t>pkt no.238   size=  500 byte,  delay time= 0.038081 sec</t>
  </si>
  <si>
    <t>pkt no.239   size=  500 byte,  delay time= 0.037188 sec</t>
  </si>
  <si>
    <t>pkt no.240   size=  500 byte,  delay time= 0.035392 sec</t>
  </si>
  <si>
    <t>packet  no.241 to no.242  lost, accumulate 121 pkts lost!!</t>
  </si>
  <si>
    <t>pkt no.243   size=  500 byte,  delay time= 0.033687 sec</t>
  </si>
  <si>
    <t>pkt no.244   size=  500 byte,  delay time= 0.036284 sec</t>
  </si>
  <si>
    <t>pkt no.245   size=  500 byte,  delay time= 0.037290 sec</t>
  </si>
  <si>
    <t>pkt no.246   size=  500 byte,  delay time= 0.038131 sec</t>
  </si>
  <si>
    <t>pkt no.247   size=  500 byte,  delay time= 0.034473 sec</t>
  </si>
  <si>
    <t>pkt no.248   size=  500 byte,  delay time= 0.035468 sec</t>
  </si>
  <si>
    <t>pkt no.249   size=  500 byte,  delay time= 0.032702 sec</t>
  </si>
  <si>
    <t>pkt no.250   size=  500 byte,  delay time= 0.031771 sec</t>
  </si>
  <si>
    <t>pkt no.251   size=  500 byte,  delay time= 0.030918 sec</t>
  </si>
  <si>
    <t>pkt no.252   size=  500 byte,  delay time= 0.033668 sec</t>
  </si>
  <si>
    <t>packet  no.253 to no.253  lost, accumulate 122 pkts lost!!</t>
  </si>
  <si>
    <t>pkt no.254   size=  500 byte,  delay time= 0.038041 sec</t>
  </si>
  <si>
    <t>pkt no.255   size=  500 byte,  delay time= 0.033646 sec</t>
  </si>
  <si>
    <t>pkt no.256   size=  500 byte,  delay time= 0.038105 sec</t>
  </si>
  <si>
    <t>pkt no.257   size=  500 byte,  delay time= 0.038080 sec</t>
  </si>
  <si>
    <t>pkt no.258   size=  500 byte,  delay time= 0.033570 sec</t>
  </si>
  <si>
    <t>packet  no.259 to no.259  lost, accumulate 123 pkts lost!!</t>
  </si>
  <si>
    <t>pkt no.260   size=  500 byte,  delay time= 0.033595 sec</t>
  </si>
  <si>
    <t>pkt no.261   size=  500 byte,  delay time= 0.034540 sec</t>
  </si>
  <si>
    <t>packet  no.262 to no.262  lost, accumulate 124 pkts lost!!</t>
  </si>
  <si>
    <t>pkt no.263   size=  500 byte,  delay time= 0.036259 sec</t>
  </si>
  <si>
    <t>pkt no.264   size=  500 byte,  delay time= 0.034501 sec</t>
  </si>
  <si>
    <t>pkt no.265   size=  500 byte,  delay time= 0.032650 sec</t>
  </si>
  <si>
    <t>pkt no.266   size=  500 byte,  delay time= 0.030866 sec</t>
  </si>
  <si>
    <t>pkt no.267   size=  500 byte,  delay time= 0.035391 sec</t>
  </si>
  <si>
    <t>pkt no.268   size=  500 byte,  delay time= 0.032665 sec</t>
  </si>
  <si>
    <t>pkt no.269   size=  500 byte,  delay time= 0.035379 sec</t>
  </si>
  <si>
    <t>packet  no.270 to no.272  lost, accumulate 127 pkts lost!!</t>
  </si>
  <si>
    <t>pkt no.273   size=  500 byte,  delay time= 0.036297 sec</t>
  </si>
  <si>
    <t>packet  no.274 to no.278  lost, accumulate 132 pkts lost!!</t>
  </si>
  <si>
    <t>pkt no.279   size=  500 byte,  delay time= 0.033608 sec</t>
  </si>
  <si>
    <t>packet  no.280 to no.280  lost, accumulate 133 pkts lost!!</t>
  </si>
  <si>
    <t>pkt no.281   size=  500 byte,  delay time= 0.030880 sec</t>
  </si>
  <si>
    <t>pkt no.282   size=  500 byte,  delay time= 0.032703 sec</t>
  </si>
  <si>
    <t>packet  no.283 to no.284  lost, accumulate 135 pkts lost!!</t>
  </si>
  <si>
    <t>pkt no.285   size=  500 byte,  delay time= 0.034472 sec</t>
  </si>
  <si>
    <t>pkt no.286   size=  500 byte,  delay time= 0.034487 sec</t>
  </si>
  <si>
    <t>packet  no.287 to no.291  lost, accumulate 140 pkts lost!!</t>
  </si>
  <si>
    <t>pkt no.292   size=  500 byte,  delay time= 0.038068 sec</t>
  </si>
  <si>
    <t>packet  no.293 to no.294  lost, accumulate 142 pkts lost!!</t>
  </si>
  <si>
    <t>pkt no.295   size=  500 byte,  delay time= 0.036297 sec</t>
  </si>
  <si>
    <t>pkt no.296   size=  500 byte,  delay time= 0.036389 sec</t>
  </si>
  <si>
    <t>packet  no.297 to no.297  lost, accumulate 143 pkts lost!!</t>
  </si>
  <si>
    <t>pkt no.298   size=  500 byte,  delay time= 0.036324 sec</t>
  </si>
  <si>
    <t>packet  no.299 to no.299  lost, accumulate 144 pkts lost!!</t>
  </si>
  <si>
    <t>pkt no.300   size=  500 byte,  delay time= 0.030906 sec</t>
  </si>
  <si>
    <t>pckt loss</t>
  </si>
  <si>
    <t>Per packet Analysis</t>
  </si>
  <si>
    <t>Car11 Rx</t>
  </si>
  <si>
    <t>Car12 Rx</t>
  </si>
  <si>
    <t>Car13 Rx</t>
  </si>
  <si>
    <t>Car14 Rx</t>
  </si>
  <si>
    <t>Car15 Rx</t>
  </si>
  <si>
    <t>Car16 Rx</t>
  </si>
  <si>
    <t>Car17 Rx</t>
  </si>
  <si>
    <t>Car18 Rx</t>
  </si>
  <si>
    <t>Car19 Rx</t>
  </si>
  <si>
    <t>Car20 Rx</t>
  </si>
  <si>
    <t>Car11</t>
  </si>
  <si>
    <t>Car12</t>
  </si>
  <si>
    <t>Car13</t>
  </si>
  <si>
    <t>Car14</t>
  </si>
  <si>
    <t>Car15</t>
  </si>
  <si>
    <t>Car16</t>
  </si>
  <si>
    <t>Car17</t>
  </si>
  <si>
    <t>Car18</t>
  </si>
  <si>
    <t>Car19</t>
  </si>
  <si>
    <t>Car20</t>
  </si>
  <si>
    <t>sec</t>
  </si>
  <si>
    <t>lost!!</t>
  </si>
  <si>
    <t>packet</t>
  </si>
  <si>
    <t>no.1</t>
  </si>
  <si>
    <t>to</t>
  </si>
  <si>
    <t>lost,</t>
  </si>
  <si>
    <t>accumulate</t>
  </si>
  <si>
    <t>pkts</t>
  </si>
  <si>
    <t>pkt</t>
  </si>
  <si>
    <t>size=</t>
  </si>
  <si>
    <t>byte,</t>
  </si>
  <si>
    <t>delay</t>
  </si>
  <si>
    <t>time=</t>
  </si>
  <si>
    <t>no.98</t>
  </si>
  <si>
    <t>no.112</t>
  </si>
  <si>
    <t>no.156</t>
  </si>
  <si>
    <t>no.158</t>
  </si>
  <si>
    <t>no.167</t>
  </si>
  <si>
    <t>no.169</t>
  </si>
  <si>
    <t>no.171</t>
  </si>
  <si>
    <t>no.206</t>
  </si>
  <si>
    <t>no.214</t>
  </si>
  <si>
    <t>no.223</t>
  </si>
  <si>
    <t>no.225</t>
  </si>
  <si>
    <t>no.226</t>
  </si>
  <si>
    <t>no.241</t>
  </si>
  <si>
    <t>no.247</t>
  </si>
  <si>
    <t>no.252</t>
  </si>
  <si>
    <t>no.254</t>
  </si>
  <si>
    <t>no.257</t>
  </si>
  <si>
    <t>no.258</t>
  </si>
  <si>
    <t>no.269</t>
  </si>
  <si>
    <t>pkts number</t>
  </si>
  <si>
    <t>pkt size/BSM</t>
  </si>
  <si>
    <t>Average Delay time</t>
  </si>
  <si>
    <t>last pkt no.</t>
  </si>
  <si>
    <t>Car21 Rx</t>
  </si>
  <si>
    <t>Car22 Rx</t>
  </si>
  <si>
    <t>Car23 Rx</t>
  </si>
  <si>
    <t>Car24 Rx</t>
  </si>
  <si>
    <t>Car25 Rx</t>
  </si>
  <si>
    <t>Car26 Rx</t>
  </si>
  <si>
    <t>Car27 Rx</t>
  </si>
  <si>
    <t>Car28 Rx</t>
  </si>
  <si>
    <t>Car29 Rx</t>
  </si>
  <si>
    <t>Car30 Rx</t>
  </si>
  <si>
    <t>Car31 Rx</t>
  </si>
  <si>
    <t>Car32 Rx</t>
  </si>
  <si>
    <t>Car33 Rx</t>
  </si>
  <si>
    <t>Car34 Rx</t>
  </si>
  <si>
    <t>Car35 Rx</t>
  </si>
  <si>
    <t>Car36 Rx</t>
  </si>
  <si>
    <t>Car37 Rx</t>
  </si>
  <si>
    <t>Car38 Rx</t>
  </si>
  <si>
    <t>Car39 Rx</t>
  </si>
  <si>
    <t>Car40 Rx</t>
  </si>
  <si>
    <t>Car21</t>
  </si>
  <si>
    <t>Car22</t>
  </si>
  <si>
    <t>Car23</t>
  </si>
  <si>
    <t>Car24</t>
  </si>
  <si>
    <t>Car25</t>
  </si>
  <si>
    <t>Car26</t>
  </si>
  <si>
    <t>Car27</t>
  </si>
  <si>
    <t>Car28</t>
  </si>
  <si>
    <t>Car29</t>
  </si>
  <si>
    <t>Car30</t>
  </si>
  <si>
    <t>Car31</t>
  </si>
  <si>
    <t>Car32</t>
  </si>
  <si>
    <t>Car33</t>
  </si>
  <si>
    <t>Car34</t>
  </si>
  <si>
    <t>Car35</t>
  </si>
  <si>
    <t>Car36</t>
  </si>
  <si>
    <t>Car37</t>
  </si>
  <si>
    <t>Car38</t>
  </si>
  <si>
    <t>Car39</t>
  </si>
  <si>
    <t>Car40</t>
  </si>
  <si>
    <t>Aggregated  Thput (Kbps)</t>
  </si>
  <si>
    <t>Aggregated  Thput (Kbps/s)</t>
  </si>
  <si>
    <t>no.96</t>
  </si>
  <si>
    <t>pkt loss</t>
  </si>
  <si>
    <t>Pkt Loss</t>
  </si>
  <si>
    <t>AVG delay time</t>
  </si>
  <si>
    <t>Pkt loss</t>
  </si>
  <si>
    <t>Car41 Rx</t>
  </si>
  <si>
    <t>Car42 Rx</t>
  </si>
  <si>
    <t>Car43 Rx</t>
  </si>
  <si>
    <t>Car44 Rx</t>
  </si>
  <si>
    <t>Car45 Rx</t>
  </si>
  <si>
    <t>Car46 Rx</t>
  </si>
  <si>
    <t>Car47 Rx</t>
  </si>
  <si>
    <t>Car48 Rx</t>
  </si>
  <si>
    <t>Car49 Rx</t>
  </si>
  <si>
    <t>Car50 Rx</t>
  </si>
  <si>
    <t>Car51 Rx</t>
  </si>
  <si>
    <t>Car52 Rx</t>
  </si>
  <si>
    <t>Car53 Rx</t>
  </si>
  <si>
    <t>Car54 Rx</t>
  </si>
  <si>
    <t>Car55 Rx</t>
  </si>
  <si>
    <t>Car56 Rx</t>
  </si>
  <si>
    <t>Car57 Rx</t>
  </si>
  <si>
    <t>Car58 Rx</t>
  </si>
  <si>
    <t>Car59 Rx</t>
  </si>
  <si>
    <t>Car60 Rx</t>
  </si>
  <si>
    <t>Car41</t>
  </si>
  <si>
    <t>Car42</t>
  </si>
  <si>
    <t>Car43</t>
  </si>
  <si>
    <t>Car44</t>
  </si>
  <si>
    <t>Car45</t>
  </si>
  <si>
    <t>Car46</t>
  </si>
  <si>
    <t>Car47</t>
  </si>
  <si>
    <t>Car48</t>
  </si>
  <si>
    <t>Car49</t>
  </si>
  <si>
    <t>Car50</t>
  </si>
  <si>
    <t>Car51</t>
  </si>
  <si>
    <t>Car52</t>
  </si>
  <si>
    <t>Car53</t>
  </si>
  <si>
    <t>Car54</t>
  </si>
  <si>
    <t>Car55</t>
  </si>
  <si>
    <t>Car56</t>
  </si>
  <si>
    <t>Car57</t>
  </si>
  <si>
    <t>Car58</t>
  </si>
  <si>
    <t>Car59</t>
  </si>
  <si>
    <t>Car60</t>
  </si>
  <si>
    <t>no</t>
  </si>
  <si>
    <t>.1 to no.13  lost, a</t>
  </si>
  <si>
    <t>ccumulate 13</t>
  </si>
  <si>
    <t>pkts los</t>
  </si>
  <si>
    <t>t!!</t>
  </si>
  <si>
    <t>pkt no.</t>
  </si>
  <si>
    <t>size=  500 byte,</t>
  </si>
  <si>
    <t>delay time=</t>
  </si>
  <si>
    <t>.15 to no.16  lost,</t>
  </si>
  <si>
    <t>accumulate 1</t>
  </si>
  <si>
    <t>5 pkts lo</t>
  </si>
  <si>
    <t>st!!</t>
  </si>
  <si>
    <t>.19 to no.19  lost,</t>
  </si>
  <si>
    <t>6 pkts lo</t>
  </si>
  <si>
    <t>.21 to no.23  lost,</t>
  </si>
  <si>
    <t>9 pkts lo</t>
  </si>
  <si>
    <t>.25 to no.25  lost,</t>
  </si>
  <si>
    <t>accumulate 2</t>
  </si>
  <si>
    <t>0 pkts lo</t>
  </si>
  <si>
    <t>.27 to no.28  lost,</t>
  </si>
  <si>
    <t>2 pkts lo</t>
  </si>
  <si>
    <t>.31 to no.33  lost,</t>
  </si>
  <si>
    <t>.39 to no.41  lost,</t>
  </si>
  <si>
    <t>8 pkts lo</t>
  </si>
  <si>
    <t>.43 to no.44  lost,</t>
  </si>
  <si>
    <t>accumulate 3</t>
  </si>
  <si>
    <t>.46 to no.52  lost,</t>
  </si>
  <si>
    <t>7 pkts lo</t>
  </si>
  <si>
    <t>.54 to no.54  lost,</t>
  </si>
  <si>
    <t>.56 to no.57  lost,</t>
  </si>
  <si>
    <t>accumulate 4</t>
  </si>
  <si>
    <t>.59 to no.59  lost,</t>
  </si>
  <si>
    <t>1 pkts lo</t>
  </si>
  <si>
    <t>.62 to no.62  lost,</t>
  </si>
  <si>
    <t>.65 to no.70  lost,</t>
  </si>
  <si>
    <t>.72 to no.76  lost,</t>
  </si>
  <si>
    <t>accumulate 5</t>
  </si>
  <si>
    <t>3 pkts lo</t>
  </si>
  <si>
    <t>.78 to no.79  lost,</t>
  </si>
  <si>
    <t>.82 to no.82  lost,</t>
  </si>
  <si>
    <t>.84 to no.85  lost,</t>
  </si>
  <si>
    <t>.87 to no.91  lost,</t>
  </si>
  <si>
    <t>accumulate 6</t>
  </si>
  <si>
    <t>.93 to no.95  lost,</t>
  </si>
  <si>
    <t>.97 to no.100  lost,</t>
  </si>
  <si>
    <t>70 pkts l</t>
  </si>
  <si>
    <t>ost!!</t>
  </si>
  <si>
    <t>.102 to no.104  lost</t>
  </si>
  <si>
    <t>, accumulate</t>
  </si>
  <si>
    <t>73 pkts</t>
  </si>
  <si>
    <t>.106 to no.106  lost</t>
  </si>
  <si>
    <t>74 pkts</t>
  </si>
  <si>
    <t>.110 to no.111  lost</t>
  </si>
  <si>
    <t>76 pkts</t>
  </si>
  <si>
    <t>.113 to no.113  lost</t>
  </si>
  <si>
    <t>77 pkts</t>
  </si>
  <si>
    <t>.115 to no.116  lost</t>
  </si>
  <si>
    <t>79 pkts</t>
  </si>
  <si>
    <t>.118 to no.126  lost</t>
  </si>
  <si>
    <t>88 pkts</t>
  </si>
  <si>
    <t>.131 to no.131  lost</t>
  </si>
  <si>
    <t>89 pkts</t>
  </si>
  <si>
    <t>.137 to no.138  lost</t>
  </si>
  <si>
    <t>91 pkts</t>
  </si>
  <si>
    <t>.140 to no.141  lost</t>
  </si>
  <si>
    <t>93 pkts</t>
  </si>
  <si>
    <t>.143 to no.152  lost</t>
  </si>
  <si>
    <t>103 pkts</t>
  </si>
  <si>
    <t>.156 to no.158  lost</t>
  </si>
  <si>
    <t>106 pkts</t>
  </si>
  <si>
    <t>.161 to no.161  lost</t>
  </si>
  <si>
    <t>107 pkts</t>
  </si>
  <si>
    <t>.163 to no.163  lost</t>
  </si>
  <si>
    <t>108 pkts</t>
  </si>
  <si>
    <t>.169 to no.169  lost</t>
  </si>
  <si>
    <t>109 pkts</t>
  </si>
  <si>
    <t>.171 to no.171  lost</t>
  </si>
  <si>
    <t>110 pkts</t>
  </si>
  <si>
    <t>.173 to no.174  lost</t>
  </si>
  <si>
    <t>112 pkts</t>
  </si>
  <si>
    <t>.176 to no.177  lost</t>
  </si>
  <si>
    <t>114 pkts</t>
  </si>
  <si>
    <t>.181 to no.182  lost</t>
  </si>
  <si>
    <t>116 pkts</t>
  </si>
  <si>
    <t>.184 to no.184  lost</t>
  </si>
  <si>
    <t>117 pkts</t>
  </si>
  <si>
    <t>.186 to no.188  lost</t>
  </si>
  <si>
    <t>120 pkts</t>
  </si>
  <si>
    <t>.190 to no.190  lost</t>
  </si>
  <si>
    <t>121 pkts</t>
  </si>
  <si>
    <t>.193 to no.194  lost</t>
  </si>
  <si>
    <t>123 pkts</t>
  </si>
  <si>
    <t>.196 to no.197  lost</t>
  </si>
  <si>
    <t>125 pkts</t>
  </si>
  <si>
    <t>.199 to no.199  lost</t>
  </si>
  <si>
    <t>126 pkts</t>
  </si>
  <si>
    <t>.201 to no.204  lost</t>
  </si>
  <si>
    <t>130 pkts</t>
  </si>
  <si>
    <t>.207 to no.207  lost</t>
  </si>
  <si>
    <t>131 pkts</t>
  </si>
  <si>
    <t>.209 to no.210  lost</t>
  </si>
  <si>
    <t>133 pkts</t>
  </si>
  <si>
    <t>.212 to no.216  lost</t>
  </si>
  <si>
    <t>138 pkts</t>
  </si>
  <si>
    <t>.218 to no.225  lost</t>
  </si>
  <si>
    <t>146 pkts</t>
  </si>
  <si>
    <t>.227 to no.230  lost</t>
  </si>
  <si>
    <t>150 pkts</t>
  </si>
  <si>
    <t>.233 to no.233  lost</t>
  </si>
  <si>
    <t>151 pkts</t>
  </si>
  <si>
    <t>.235 to no.238  lost</t>
  </si>
  <si>
    <t>155 pkts</t>
  </si>
  <si>
    <t>.241 to no.241  lost</t>
  </si>
  <si>
    <t>156 pkts</t>
  </si>
  <si>
    <t>.243 to no.243  lost</t>
  </si>
  <si>
    <t>157 pkts</t>
  </si>
  <si>
    <t>.245 to no.246  lost</t>
  </si>
  <si>
    <t>159 pkts</t>
  </si>
  <si>
    <t>.248 to no.250  lost</t>
  </si>
  <si>
    <t>162 pkts</t>
  </si>
  <si>
    <t>.252 to no.255  lost</t>
  </si>
  <si>
    <t>166 pkts</t>
  </si>
  <si>
    <t>.257 to no.266  lost</t>
  </si>
  <si>
    <t>176 pkts</t>
  </si>
  <si>
    <t>.268 to no.271  lost</t>
  </si>
  <si>
    <t>180 pkts</t>
  </si>
  <si>
    <t>.273 to no.273  lost</t>
  </si>
  <si>
    <t>181 pkts</t>
  </si>
  <si>
    <t>.276 to no.276  lost</t>
  </si>
  <si>
    <t>182 pkts</t>
  </si>
  <si>
    <t>.278 to no.281  lost</t>
  </si>
  <si>
    <t>186 pkts</t>
  </si>
  <si>
    <t>.283 to no.284  lost</t>
  </si>
  <si>
    <t>188 pkts</t>
  </si>
  <si>
    <t>.288 to no.291  lost</t>
  </si>
  <si>
    <t>192 pkts</t>
  </si>
  <si>
    <t>.293 to no.293  lost</t>
  </si>
  <si>
    <t>193 pkts</t>
  </si>
  <si>
    <t>.295 to no.297  lost</t>
  </si>
  <si>
    <t>196 pkts</t>
  </si>
  <si>
    <t>Pkt no.</t>
  </si>
  <si>
    <t>0-10</t>
  </si>
  <si>
    <t>pkt size/BSM (byte)</t>
  </si>
  <si>
    <t>.300 to no.300  lost</t>
  </si>
  <si>
    <t>197 pkts</t>
  </si>
  <si>
    <t>Car61 Rx</t>
  </si>
  <si>
    <t>Car62 Rx</t>
  </si>
  <si>
    <t>Car63 Rx</t>
  </si>
  <si>
    <t>Car64 Rx</t>
  </si>
  <si>
    <t>Car65 Rx</t>
  </si>
  <si>
    <t>Car66 Rx</t>
  </si>
  <si>
    <t>Car67 Rx</t>
  </si>
  <si>
    <t>Car68 Rx</t>
  </si>
  <si>
    <t>Car69 Rx</t>
  </si>
  <si>
    <t>Car70 Rx</t>
  </si>
  <si>
    <t>Car71 Rx</t>
  </si>
  <si>
    <t>Car72 Rx</t>
  </si>
  <si>
    <t>Car73 Rx</t>
  </si>
  <si>
    <t>Car74 Rx</t>
  </si>
  <si>
    <t>Car75 Rx</t>
  </si>
  <si>
    <t>Car76 Rx</t>
  </si>
  <si>
    <t>Car77 Rx</t>
  </si>
  <si>
    <t>Car78 Rx</t>
  </si>
  <si>
    <t>Car79 Rx</t>
  </si>
  <si>
    <t>Car80 Rx</t>
  </si>
  <si>
    <t>Car61</t>
  </si>
  <si>
    <t>Car62</t>
  </si>
  <si>
    <t>Car63</t>
  </si>
  <si>
    <t>Car64</t>
  </si>
  <si>
    <t>Car65</t>
  </si>
  <si>
    <t>Car66</t>
  </si>
  <si>
    <t>Car67</t>
  </si>
  <si>
    <t>Car68</t>
  </si>
  <si>
    <t>Car69</t>
  </si>
  <si>
    <t>Car70</t>
  </si>
  <si>
    <t>Car71</t>
  </si>
  <si>
    <t>Car72</t>
  </si>
  <si>
    <t>Car73</t>
  </si>
  <si>
    <t>Car74</t>
  </si>
  <si>
    <t>Car75</t>
  </si>
  <si>
    <t>Car76</t>
  </si>
  <si>
    <t>Car77</t>
  </si>
  <si>
    <t>Car78</t>
  </si>
  <si>
    <t>Car79</t>
  </si>
  <si>
    <t>Car80</t>
  </si>
  <si>
    <t>packet  no</t>
  </si>
  <si>
    <t>.1 to no.13</t>
  </si>
  <si>
    <t>3 pkts los</t>
  </si>
  <si>
    <t>pkt no.14</t>
  </si>
  <si>
    <t>size=  500</t>
  </si>
  <si>
    <t>.15 to no.18</t>
  </si>
  <si>
    <t>17 pkts lo</t>
  </si>
  <si>
    <t>pkt no.19</t>
  </si>
  <si>
    <t>pkt no.20</t>
  </si>
  <si>
    <t>.21 to no.24</t>
  </si>
  <si>
    <t>21 pkts lo</t>
  </si>
  <si>
    <t>pkt no.25</t>
  </si>
  <si>
    <t>.26 to no.27</t>
  </si>
  <si>
    <t>23 pkts lo</t>
  </si>
  <si>
    <t>pkt no.28</t>
  </si>
  <si>
    <t>.29 to no.29</t>
  </si>
  <si>
    <t>24 pkts lo</t>
  </si>
  <si>
    <t>pkt no.30</t>
  </si>
  <si>
    <t>.31 to no.31</t>
  </si>
  <si>
    <t>25 pkts lo</t>
  </si>
  <si>
    <t>pkt no.32</t>
  </si>
  <si>
    <t>pkt no.33</t>
  </si>
  <si>
    <t>.34 to no.40</t>
  </si>
  <si>
    <t>32 pkts lo</t>
  </si>
  <si>
    <t>pkt no.41</t>
  </si>
  <si>
    <t>.42 to no.44</t>
  </si>
  <si>
    <t>35 pkts lo</t>
  </si>
  <si>
    <t>pkt no.45</t>
  </si>
  <si>
    <t>.46 to no.51</t>
  </si>
  <si>
    <t>41 pkts lo</t>
  </si>
  <si>
    <t>pkt no.52</t>
  </si>
  <si>
    <t>pkt no.53</t>
  </si>
  <si>
    <t>pkt no.54</t>
  </si>
  <si>
    <t>.55 to no.55</t>
  </si>
  <si>
    <t>42 pkts lo</t>
  </si>
  <si>
    <t>pkt no.56</t>
  </si>
  <si>
    <t>pkt no.57</t>
  </si>
  <si>
    <t>.58 to no.58</t>
  </si>
  <si>
    <t>43 pkts lo</t>
  </si>
  <si>
    <t>pkt no.59</t>
  </si>
  <si>
    <t>.60 to no.60</t>
  </si>
  <si>
    <t>44 pkts lo</t>
  </si>
  <si>
    <t>pkt no.61</t>
  </si>
  <si>
    <t>pkt no.62</t>
  </si>
  <si>
    <t>.63 to no.63</t>
  </si>
  <si>
    <t>45 pkts lo</t>
  </si>
  <si>
    <t>pkt no.64</t>
  </si>
  <si>
    <t>.65 to no.67</t>
  </si>
  <si>
    <t>48 pkts lo</t>
  </si>
  <si>
    <t>pkt no.68</t>
  </si>
  <si>
    <t>.69 to no.75</t>
  </si>
  <si>
    <t>55 pkts lo</t>
  </si>
  <si>
    <t>pkt no.76</t>
  </si>
  <si>
    <t>pkt no.77</t>
  </si>
  <si>
    <t>pkt no.78</t>
  </si>
  <si>
    <t>.79 to no.80</t>
  </si>
  <si>
    <t>57 pkts lo</t>
  </si>
  <si>
    <t>pkt no.81</t>
  </si>
  <si>
    <t>.82 to no.85</t>
  </si>
  <si>
    <t>61 pkts lo</t>
  </si>
  <si>
    <t>pkt no.86</t>
  </si>
  <si>
    <t>.87 to no.89</t>
  </si>
  <si>
    <t>64 pkts lo</t>
  </si>
  <si>
    <t>pkt no.90</t>
  </si>
  <si>
    <t>.91 to no.91</t>
  </si>
  <si>
    <t>65 pkts lo</t>
  </si>
  <si>
    <t>pkt no.92</t>
  </si>
  <si>
    <t>.93 to no.93</t>
  </si>
  <si>
    <t>66 pkts lo</t>
  </si>
  <si>
    <t>pkt no.94</t>
  </si>
  <si>
    <t>.95 to no.96</t>
  </si>
  <si>
    <t>68 pkts lo</t>
  </si>
  <si>
    <t>pkt no.97</t>
  </si>
  <si>
    <t>.98 to no.98</t>
  </si>
  <si>
    <t>69 pkts lo</t>
  </si>
  <si>
    <t>pkt no.99</t>
  </si>
  <si>
    <t>pkt no.100</t>
  </si>
  <si>
    <t>.101 to no.10</t>
  </si>
  <si>
    <t>3  los</t>
  </si>
  <si>
    <t>t, accumulat</t>
  </si>
  <si>
    <t>e 72 pkts</t>
  </si>
  <si>
    <t>pkt no.104</t>
  </si>
  <si>
    <t>pkt no.105</t>
  </si>
  <si>
    <t>.106 to no.10</t>
  </si>
  <si>
    <t>7  los</t>
  </si>
  <si>
    <t>e 74 pkts</t>
  </si>
  <si>
    <t>pkt no.108</t>
  </si>
  <si>
    <t>.109 to no.11</t>
  </si>
  <si>
    <t>1  los</t>
  </si>
  <si>
    <t>e 77 pkts</t>
  </si>
  <si>
    <t>pkt no.112</t>
  </si>
  <si>
    <t>pkt no.113</t>
  </si>
  <si>
    <t>.114 to no.11</t>
  </si>
  <si>
    <t>9  los</t>
  </si>
  <si>
    <t>e 83 pkts</t>
  </si>
  <si>
    <t>pkt no.120</t>
  </si>
  <si>
    <t>pkt no.121</t>
  </si>
  <si>
    <t>.122 to no.12</t>
  </si>
  <si>
    <t>2  los</t>
  </si>
  <si>
    <t>e 84 pkts</t>
  </si>
  <si>
    <t>pkt no.123</t>
  </si>
  <si>
    <t>.124 to no.12</t>
  </si>
  <si>
    <t>4  los</t>
  </si>
  <si>
    <t>e 85 pkts</t>
  </si>
  <si>
    <t>pkt no.125</t>
  </si>
  <si>
    <t>pkt no.126</t>
  </si>
  <si>
    <t>pkt no.127</t>
  </si>
  <si>
    <t>pkt no.128</t>
  </si>
  <si>
    <t>.129 to no.12</t>
  </si>
  <si>
    <t>e 86 pkts</t>
  </si>
  <si>
    <t>pkt no.130</t>
  </si>
  <si>
    <t>.131 to no.13</t>
  </si>
  <si>
    <t>e 89 pkts</t>
  </si>
  <si>
    <t>pkt no.134</t>
  </si>
  <si>
    <t>.135 to no.14</t>
  </si>
  <si>
    <t>e 99 pkts</t>
  </si>
  <si>
    <t>pkt no.145</t>
  </si>
  <si>
    <t>.146 to no.15</t>
  </si>
  <si>
    <t>0  los</t>
  </si>
  <si>
    <t>e 104 pkts</t>
  </si>
  <si>
    <t>pkt no.151</t>
  </si>
  <si>
    <t>pkt no.152</t>
  </si>
  <si>
    <t>pkt no.153</t>
  </si>
  <si>
    <t>.154 to no.15</t>
  </si>
  <si>
    <t>5  los</t>
  </si>
  <si>
    <t>e 106 pkts</t>
  </si>
  <si>
    <t>pkt no.156</t>
  </si>
  <si>
    <t>.157 to no.15</t>
  </si>
  <si>
    <t>8  los</t>
  </si>
  <si>
    <t>e 108 pkts</t>
  </si>
  <si>
    <t>pkt no.159</t>
  </si>
  <si>
    <t>.160 to no.16</t>
  </si>
  <si>
    <t>e 109 pkts</t>
  </si>
  <si>
    <t>pkt no.161</t>
  </si>
  <si>
    <t>pkt no.162</t>
  </si>
  <si>
    <t>.163 to no.16</t>
  </si>
  <si>
    <t>e 115 pkts</t>
  </si>
  <si>
    <t>pkt no.169</t>
  </si>
  <si>
    <t>.170 to no.17</t>
  </si>
  <si>
    <t>e 121 pkts</t>
  </si>
  <si>
    <t>pkt no.176</t>
  </si>
  <si>
    <t>.177 to no.17</t>
  </si>
  <si>
    <t>e 122 pkts</t>
  </si>
  <si>
    <t>pkt no.178</t>
  </si>
  <si>
    <t>.179 to no.18</t>
  </si>
  <si>
    <t>e 124 pkts</t>
  </si>
  <si>
    <t>pkt no.181</t>
  </si>
  <si>
    <t>.182 to no.18</t>
  </si>
  <si>
    <t>e 127 pkts</t>
  </si>
  <si>
    <t>pkt no.185</t>
  </si>
  <si>
    <t>.186 to no.18</t>
  </si>
  <si>
    <t>e 129 pkts</t>
  </si>
  <si>
    <t>pkt no.188</t>
  </si>
  <si>
    <t>.189 to no.18</t>
  </si>
  <si>
    <t>e 130 pkts</t>
  </si>
  <si>
    <t>pkt no.190</t>
  </si>
  <si>
    <t>.191 to no.19</t>
  </si>
  <si>
    <t>e 137 pkts</t>
  </si>
  <si>
    <t>pkt no.198</t>
  </si>
  <si>
    <t>pkt no.199</t>
  </si>
  <si>
    <t>.200 to no.20</t>
  </si>
  <si>
    <t>e 143 pkts</t>
  </si>
  <si>
    <t>pkt no.206</t>
  </si>
  <si>
    <t>.207 to no.21</t>
  </si>
  <si>
    <t>e 147 pkts</t>
  </si>
  <si>
    <t>pkt no.211</t>
  </si>
  <si>
    <t>pkt no.212</t>
  </si>
  <si>
    <t>.213 to no.21</t>
  </si>
  <si>
    <t>e 148 pkts</t>
  </si>
  <si>
    <t>pkt no.214</t>
  </si>
  <si>
    <t>pkt no.215</t>
  </si>
  <si>
    <t>pkt no.216</t>
  </si>
  <si>
    <t>.217 to no.22</t>
  </si>
  <si>
    <t>e 161 pkts</t>
  </si>
  <si>
    <t>pkt no.230</t>
  </si>
  <si>
    <t>pkt no.231</t>
  </si>
  <si>
    <t>pkt no.232</t>
  </si>
  <si>
    <t>pkt no.233</t>
  </si>
  <si>
    <t>.234 to no.24</t>
  </si>
  <si>
    <t>e 173 pkts</t>
  </si>
  <si>
    <t>pkt no.246</t>
  </si>
  <si>
    <t>.247 to no.25</t>
  </si>
  <si>
    <t>e 186 pkts</t>
  </si>
  <si>
    <t>pkt no.260</t>
  </si>
  <si>
    <t>pkt no.261</t>
  </si>
  <si>
    <t>.262 to no.26</t>
  </si>
  <si>
    <t>e 192 pkts</t>
  </si>
  <si>
    <t>pkt no.268</t>
  </si>
  <si>
    <t>.269 to no.26</t>
  </si>
  <si>
    <t>e 193 pkts</t>
  </si>
  <si>
    <t>pkt no.270</t>
  </si>
  <si>
    <t>.271 to no.27</t>
  </si>
  <si>
    <t>e 195 pkts</t>
  </si>
  <si>
    <t>pkt no.273</t>
  </si>
  <si>
    <t>.274 to no.27</t>
  </si>
  <si>
    <t>e 196 pkts</t>
  </si>
  <si>
    <t>pkt no.275</t>
  </si>
  <si>
    <t>.276 to no.27</t>
  </si>
  <si>
    <t>e 199 pkts</t>
  </si>
  <si>
    <t>pkt no.279</t>
  </si>
  <si>
    <t>pkt no.280</t>
  </si>
  <si>
    <t>.281 to no.28</t>
  </si>
  <si>
    <t>e 201 pkts</t>
  </si>
  <si>
    <t>pkt no.283</t>
  </si>
  <si>
    <t>.284 to no.28</t>
  </si>
  <si>
    <t>e 202 pkts</t>
  </si>
  <si>
    <t>pkt no.285</t>
  </si>
  <si>
    <t>.286 to no.28</t>
  </si>
  <si>
    <t>e 206 pkts</t>
  </si>
  <si>
    <t>pkt no.290</t>
  </si>
  <si>
    <t>.291 to no.29</t>
  </si>
  <si>
    <t>e 211 pkts</t>
  </si>
  <si>
    <t>pkt no.296</t>
  </si>
  <si>
    <t>.297 to no.30</t>
  </si>
  <si>
    <t>e 215 pkts</t>
  </si>
  <si>
    <t>BSM/s</t>
  </si>
  <si>
    <t>pkt Rx</t>
  </si>
  <si>
    <t>Avg Delay/s</t>
  </si>
  <si>
    <t>Car81</t>
  </si>
  <si>
    <t>Car82</t>
  </si>
  <si>
    <t>Car83</t>
  </si>
  <si>
    <t>Car84</t>
  </si>
  <si>
    <t>Car85</t>
  </si>
  <si>
    <t>Car86</t>
  </si>
  <si>
    <t>Car87</t>
  </si>
  <si>
    <t>Car88</t>
  </si>
  <si>
    <t>Car89</t>
  </si>
  <si>
    <t>Car90</t>
  </si>
  <si>
    <t>Car91</t>
  </si>
  <si>
    <t>Car92</t>
  </si>
  <si>
    <t>Car93</t>
  </si>
  <si>
    <t>Car94</t>
  </si>
  <si>
    <t>Car95</t>
  </si>
  <si>
    <t>Car96</t>
  </si>
  <si>
    <t>Car97</t>
  </si>
  <si>
    <t>Car98</t>
  </si>
  <si>
    <t>Car99</t>
  </si>
  <si>
    <t>Car100</t>
  </si>
  <si>
    <t>Car81 Rx</t>
  </si>
  <si>
    <t>Car82 Rx</t>
  </si>
  <si>
    <t>Car83 Rx</t>
  </si>
  <si>
    <t>Car84 Rx</t>
  </si>
  <si>
    <t>Car85 Rx</t>
  </si>
  <si>
    <t>Car86 Rx</t>
  </si>
  <si>
    <t>Car87 Rx</t>
  </si>
  <si>
    <t>Car88 Rx</t>
  </si>
  <si>
    <t>Car89 Rx</t>
  </si>
  <si>
    <t>Car90 Rx</t>
  </si>
  <si>
    <t>Car91 Rx</t>
  </si>
  <si>
    <t>Car92 Rx</t>
  </si>
  <si>
    <t>Car93 Rx</t>
  </si>
  <si>
    <t>Car94 Rx</t>
  </si>
  <si>
    <t>Car95 Rx</t>
  </si>
  <si>
    <t>Car96 Rx</t>
  </si>
  <si>
    <t>Car97 Rx</t>
  </si>
  <si>
    <t>Car98 Rx</t>
  </si>
  <si>
    <t>Car99 Rx</t>
  </si>
  <si>
    <t>Car100 Rx</t>
  </si>
  <si>
    <t>no.1 to no.11  lost,</t>
  </si>
  <si>
    <t>1 pkts los</t>
  </si>
  <si>
    <t>12   size=  500 byte,</t>
  </si>
  <si>
    <t>no.13 to no.25  lost,</t>
  </si>
  <si>
    <t>26   size=  500 byte,</t>
  </si>
  <si>
    <t>no.27 to no.27  lost,</t>
  </si>
  <si>
    <t>28   size=  500 byte,</t>
  </si>
  <si>
    <t>no.29 to no.32  lost,</t>
  </si>
  <si>
    <t>29 pkts lo</t>
  </si>
  <si>
    <t>33   size=  500 byte,</t>
  </si>
  <si>
    <t>34   size=  500 byte,</t>
  </si>
  <si>
    <t>no.35 to no.35  lost,</t>
  </si>
  <si>
    <t>30 pkts lo</t>
  </si>
  <si>
    <t>36   size=  500 byte,</t>
  </si>
  <si>
    <t>no.37 to no.51  lost,</t>
  </si>
  <si>
    <t>52   size=  500 byte,</t>
  </si>
  <si>
    <t>no.53 to no.63  lost,</t>
  </si>
  <si>
    <t>56 pkts lo</t>
  </si>
  <si>
    <t>64   size=  500 byte,</t>
  </si>
  <si>
    <t>no.65 to no.70  lost,</t>
  </si>
  <si>
    <t>62 pkts lo</t>
  </si>
  <si>
    <t>71   size=  500 byte,</t>
  </si>
  <si>
    <t>no.72 to no.80  lost,</t>
  </si>
  <si>
    <t>71 pkts lo</t>
  </si>
  <si>
    <t>81   size=  500 byte,</t>
  </si>
  <si>
    <t>82   size=  500 byte,</t>
  </si>
  <si>
    <t>no.83 to no.84  lost,</t>
  </si>
  <si>
    <t>73 pkts lo</t>
  </si>
  <si>
    <t>85   size=  500 byte,</t>
  </si>
  <si>
    <t>no.86 to no.88  lost,</t>
  </si>
  <si>
    <t>76 pkts lo</t>
  </si>
  <si>
    <t>89   size=  500 byte,</t>
  </si>
  <si>
    <t>no.90 to no.90  lost,</t>
  </si>
  <si>
    <t>77 pkts lo</t>
  </si>
  <si>
    <t>91   size=  500 byte,</t>
  </si>
  <si>
    <t>no.92 to no.94  lost,</t>
  </si>
  <si>
    <t>80 pkts lo</t>
  </si>
  <si>
    <t>95   size=  500 byte,</t>
  </si>
  <si>
    <t>no.96 to no.96  lost,</t>
  </si>
  <si>
    <t>81 pkts lo</t>
  </si>
  <si>
    <t>97   size=  500 byte,</t>
  </si>
  <si>
    <t>no.98 to no.98  lost,</t>
  </si>
  <si>
    <t>82 pkts lo</t>
  </si>
  <si>
    <t>99   size=  500 byte,</t>
  </si>
  <si>
    <t>no.100 to no.101  los</t>
  </si>
  <si>
    <t>102   size=  500 byte,</t>
  </si>
  <si>
    <t>no.103 to no.107  los</t>
  </si>
  <si>
    <t>108   size=  500 byte,</t>
  </si>
  <si>
    <t>no.109 to no.109  los</t>
  </si>
  <si>
    <t>e 90 pkts</t>
  </si>
  <si>
    <t>110   size=  500 byte,</t>
  </si>
  <si>
    <t>111   size=  500 byte,</t>
  </si>
  <si>
    <t>no.112 to no.114  los</t>
  </si>
  <si>
    <t>e 93 pkts</t>
  </si>
  <si>
    <t>115   size=  500 byte,</t>
  </si>
  <si>
    <t>no.116 to no.118  los</t>
  </si>
  <si>
    <t>e 96 pkts</t>
  </si>
  <si>
    <t>119   size=  500 byte,</t>
  </si>
  <si>
    <t>120   size=  500 byte,</t>
  </si>
  <si>
    <t>no.121 to no.128  los</t>
  </si>
  <si>
    <t>129   size=  500 byte,</t>
  </si>
  <si>
    <t>no.130 to no.134  los</t>
  </si>
  <si>
    <t>135   size=  500 byte,</t>
  </si>
  <si>
    <t>no.136 to no.139  los</t>
  </si>
  <si>
    <t>e 113 pkts</t>
  </si>
  <si>
    <t>140   size=  500 byte,</t>
  </si>
  <si>
    <t>no.141 to no.143  los</t>
  </si>
  <si>
    <t>e 116 pkts</t>
  </si>
  <si>
    <t>144   size=  500 byte,</t>
  </si>
  <si>
    <t>145   size=  500 byte,</t>
  </si>
  <si>
    <t>no.146 to no.149  los</t>
  </si>
  <si>
    <t>e 120 pkts</t>
  </si>
  <si>
    <t>150   size=  500 byte,</t>
  </si>
  <si>
    <t>no.151 to no.151  los</t>
  </si>
  <si>
    <t>152   size=  500 byte,</t>
  </si>
  <si>
    <t>153   size=  500 byte,</t>
  </si>
  <si>
    <t>154   size=  500 byte,</t>
  </si>
  <si>
    <t>155   size=  500 byte,</t>
  </si>
  <si>
    <t>156   size=  500 byte,</t>
  </si>
  <si>
    <t>157   size=  500 byte,</t>
  </si>
  <si>
    <t>no.158 to no.159  los</t>
  </si>
  <si>
    <t>e 123 pkts</t>
  </si>
  <si>
    <t>160   size=  500 byte,</t>
  </si>
  <si>
    <t>no.161 to no.170  los</t>
  </si>
  <si>
    <t>e 133 pkts</t>
  </si>
  <si>
    <t>171   size=  500 byte,</t>
  </si>
  <si>
    <t>no.172 to no.176  los</t>
  </si>
  <si>
    <t>e 138 pkts</t>
  </si>
  <si>
    <t>177   size=  500 byte,</t>
  </si>
  <si>
    <t>no.178 to no.178  los</t>
  </si>
  <si>
    <t>e 139 pkts</t>
  </si>
  <si>
    <t>179   size=  500 byte,</t>
  </si>
  <si>
    <t>no.180 to no.187  los</t>
  </si>
  <si>
    <t>188   size=  500 byte,</t>
  </si>
  <si>
    <t>no.189 to no.190  los</t>
  </si>
  <si>
    <t>e 149 pkts</t>
  </si>
  <si>
    <t>191   size=  500 byte,</t>
  </si>
  <si>
    <t>no.192 to no.201  los</t>
  </si>
  <si>
    <t>e 159 pkts</t>
  </si>
  <si>
    <t>202   size=  500 byte,</t>
  </si>
  <si>
    <t>203   size=  500 byte,</t>
  </si>
  <si>
    <t>no.204 to no.204  los</t>
  </si>
  <si>
    <t>e 160 pkts</t>
  </si>
  <si>
    <t>205   size=  500 byte,</t>
  </si>
  <si>
    <t>no.206 to no.230  los</t>
  </si>
  <si>
    <t>e 185 pkts</t>
  </si>
  <si>
    <t>231   size=  500 byte,</t>
  </si>
  <si>
    <t>232   size=  500 byte,</t>
  </si>
  <si>
    <t>no.233 to no.233  los</t>
  </si>
  <si>
    <t>234   size=  500 byte,</t>
  </si>
  <si>
    <t>no.235 to no.236  los</t>
  </si>
  <si>
    <t>e 188 pkts</t>
  </si>
  <si>
    <t>237   size=  500 byte,</t>
  </si>
  <si>
    <t>no.238 to no.248  los</t>
  </si>
  <si>
    <t>249   size=  500 byte,</t>
  </si>
  <si>
    <t>250   size=  500 byte,</t>
  </si>
  <si>
    <t>no.251 to no.255  los</t>
  </si>
  <si>
    <t>e 204 pkts</t>
  </si>
  <si>
    <t>256   size=  500 byte,</t>
  </si>
  <si>
    <t>no.257 to no.276  los</t>
  </si>
  <si>
    <t>e 224 pkts</t>
  </si>
  <si>
    <t>277   size=  500 byte,</t>
  </si>
  <si>
    <t>no.278 to no.280  los</t>
  </si>
  <si>
    <t>e 227 pkts</t>
  </si>
  <si>
    <t>281   size=  500 byte,</t>
  </si>
  <si>
    <t>no.282 to no.299  los</t>
  </si>
  <si>
    <t>e 245 pkts</t>
  </si>
  <si>
    <t>300   size=  500 byte,</t>
  </si>
  <si>
    <t>Packets received from RSU node (average per node, total packets / number of nodes)</t>
  </si>
  <si>
    <t>total pkt loss</t>
  </si>
  <si>
    <t>The aggregated throughput is higher than the bandwidth because the existence of high density of vehicles caused attenuation in the communication range of the RSU that cars started talking to each other (peer2peer) outside the RSU hearing range.</t>
  </si>
  <si>
    <t>Non-Attacker Scenario [Highway ( 70-80Mph)] (1 RSU + 1 Car) (bi-directional data-exchange) (UDP packet size 500 byte) (Channel Bandwidth = 10 Mhz) (Data-Rate = 6Mbps)</t>
  </si>
  <si>
    <t>Non-Attacker Scenario [Highway (65-75Mph)] (1 RSU + 10 Car) (bi-directional data-exchange) (UDP 500 byte packet size) (Channel Bandwidth = 10 Mhz) (Data-Rate = 6Mbps)</t>
  </si>
  <si>
    <t>Non-Attacker Scenario [Highway (55-65Mph)] (1 RSU + 20 Car) (bi-directional data-exchange) (UDP 500 byte packet size) (Channel Bandwidth = 10 Mhz) (Data-Rate = 6Mbps)</t>
  </si>
  <si>
    <t>Non-Attacker Scenario [Highway (45-55Mph)] (1 RSU + 40 Car) (bi-directional data-exchange) (UDP 500 byte packet size) (Channel Bandwidth = 10 Mhz) (Data-Rate = 6Mbps)</t>
  </si>
  <si>
    <t>Non-Attacker Scenario [Highway (35-45Mph)] (1 RSU + 60 Car) (bi-directional data-exchange) (UDP 500 byte packet size) (Channel Bandwidth = 10 Mhz) (Data-Rate = 6Mbps)</t>
  </si>
  <si>
    <t>Non-Attacker Scenario [Highway (25-35Mph)] (1 RSU + 80 Car) (bi-directional data-exchange) (UDP 500 byte packet size) (Channel Bandwidth = 10 Mhz) (Data-Rate = 6Mbps)</t>
  </si>
  <si>
    <t>Non-Attacker Scenario [Highway (15-25Mph)] (1 RSU + 100 Car) (bi-directional data-exchange) (UDP 500 byte packet size) (Channel Bandwidth = 10 Mhz) (Data-Rate = 6Mbps)</t>
  </si>
</sst>
</file>

<file path=xl/styles.xml><?xml version="1.0" encoding="utf-8"?>
<styleSheet xmlns="http://schemas.openxmlformats.org/spreadsheetml/2006/main">
  <numFmts count="5">
    <numFmt numFmtId="164" formatCode="0.00000000"/>
    <numFmt numFmtId="165" formatCode="0.00000"/>
    <numFmt numFmtId="166" formatCode="0.0"/>
    <numFmt numFmtId="167" formatCode="0.000000"/>
    <numFmt numFmtId="168" formatCode="0.0000000"/>
  </numFmts>
  <fonts count="12">
    <font>
      <sz val="11"/>
      <color theme="1"/>
      <name val="Calibri"/>
      <family val="2"/>
      <scheme val="minor"/>
    </font>
    <font>
      <b/>
      <sz val="9"/>
      <color theme="1"/>
      <name val="Times New Roman"/>
      <family val="1"/>
    </font>
    <font>
      <sz val="9"/>
      <color theme="1"/>
      <name val="Times New Roman"/>
      <family val="1"/>
    </font>
    <font>
      <b/>
      <sz val="11"/>
      <color theme="1"/>
      <name val="Calibri"/>
      <family val="2"/>
      <scheme val="minor"/>
    </font>
    <font>
      <sz val="11"/>
      <color theme="1"/>
      <name val="Times New Roman"/>
      <family val="1"/>
    </font>
    <font>
      <sz val="11"/>
      <color rgb="FF3F3F76"/>
      <name val="Calibri"/>
      <family val="2"/>
      <scheme val="minor"/>
    </font>
    <font>
      <sz val="11"/>
      <color theme="1"/>
      <name val="Calibri"/>
      <family val="2"/>
    </font>
    <font>
      <b/>
      <u/>
      <sz val="11"/>
      <color theme="1"/>
      <name val="Calibri"/>
      <family val="2"/>
      <scheme val="minor"/>
    </font>
    <font>
      <sz val="11"/>
      <color rgb="FF9C6500"/>
      <name val="Calibri"/>
      <family val="2"/>
      <scheme val="minor"/>
    </font>
    <font>
      <sz val="11"/>
      <color rgb="FF9C0006"/>
      <name val="Calibri"/>
      <family val="2"/>
      <scheme val="minor"/>
    </font>
    <font>
      <sz val="11"/>
      <color rgb="FFFF0000"/>
      <name val="Calibri"/>
      <family val="2"/>
      <scheme val="minor"/>
    </font>
    <font>
      <sz val="1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CC99"/>
      </patternFill>
    </fill>
    <fill>
      <patternFill patternType="solid">
        <fgColor rgb="FFFFEB9C"/>
      </patternFill>
    </fill>
    <fill>
      <patternFill patternType="solid">
        <fgColor rgb="FFFFC7CE"/>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bottom style="thin">
        <color rgb="FF7F7F7F"/>
      </bottom>
      <diagonal/>
    </border>
    <border>
      <left/>
      <right/>
      <top/>
      <bottom style="thin">
        <color rgb="FF7F7F7F"/>
      </bottom>
      <diagonal/>
    </border>
    <border>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4">
    <xf numFmtId="0" fontId="0" fillId="0" borderId="0"/>
    <xf numFmtId="0" fontId="5" fillId="3" borderId="1" applyNumberFormat="0" applyAlignment="0" applyProtection="0"/>
    <xf numFmtId="0" fontId="8" fillId="4" borderId="0" applyNumberFormat="0" applyBorder="0" applyAlignment="0" applyProtection="0"/>
    <xf numFmtId="0" fontId="9" fillId="5" borderId="0" applyNumberFormat="0" applyBorder="0" applyAlignment="0" applyProtection="0"/>
  </cellStyleXfs>
  <cellXfs count="95">
    <xf numFmtId="0" fontId="0" fillId="0" borderId="0" xfId="0"/>
    <xf numFmtId="0" fontId="2" fillId="0" borderId="0" xfId="0" applyFont="1" applyAlignment="1">
      <alignment horizontal="center"/>
    </xf>
    <xf numFmtId="10" fontId="2" fillId="0" borderId="0" xfId="0" applyNumberFormat="1" applyFont="1" applyAlignment="1">
      <alignment horizontal="center"/>
    </xf>
    <xf numFmtId="9" fontId="2" fillId="0" borderId="0" xfId="0" applyNumberFormat="1" applyFont="1" applyAlignment="1">
      <alignment horizontal="center"/>
    </xf>
    <xf numFmtId="0" fontId="2" fillId="2" borderId="0" xfId="0" applyFont="1" applyFill="1" applyAlignment="1">
      <alignment horizontal="center"/>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5" fillId="3" borderId="1" xfId="1" applyAlignment="1">
      <alignment horizontal="center" vertical="center" wrapText="1"/>
    </xf>
    <xf numFmtId="0" fontId="0" fillId="0" borderId="0" xfId="0" applyAlignment="1">
      <alignment horizontal="center" vertical="center"/>
    </xf>
    <xf numFmtId="0" fontId="0" fillId="0" borderId="0" xfId="0" applyAlignment="1">
      <alignment vertical="center"/>
    </xf>
    <xf numFmtId="2" fontId="0" fillId="0" borderId="0" xfId="0" applyNumberFormat="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4" fillId="0" borderId="0" xfId="0" quotePrefix="1" applyFont="1" applyAlignment="1">
      <alignment horizontal="center" vertical="center"/>
    </xf>
    <xf numFmtId="0" fontId="5" fillId="3" borderId="1" xfId="1" applyAlignment="1">
      <alignment horizontal="center" vertical="center"/>
    </xf>
    <xf numFmtId="0" fontId="0" fillId="0" borderId="0" xfId="0" applyAlignment="1">
      <alignment horizontal="center" vertical="center"/>
    </xf>
    <xf numFmtId="0" fontId="5" fillId="3" borderId="1" xfId="1" applyAlignment="1">
      <alignment vertical="center"/>
    </xf>
    <xf numFmtId="0" fontId="0" fillId="0" borderId="0" xfId="0" quotePrefix="1" applyAlignment="1">
      <alignment vertical="center"/>
    </xf>
    <xf numFmtId="164" fontId="4" fillId="0" borderId="0" xfId="0" applyNumberFormat="1"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xf>
    <xf numFmtId="0" fontId="4" fillId="0" borderId="0" xfId="0" applyFont="1"/>
    <xf numFmtId="165" fontId="0" fillId="0" borderId="0" xfId="0" applyNumberFormat="1" applyAlignment="1">
      <alignment horizontal="center" vertical="center"/>
    </xf>
    <xf numFmtId="0" fontId="0" fillId="0" borderId="0" xfId="0" applyAlignment="1">
      <alignment horizontal="center" vertical="center"/>
    </xf>
    <xf numFmtId="0" fontId="5" fillId="3" borderId="1" xfId="1" applyAlignment="1">
      <alignment horizontal="center" vertical="center" wrapText="1"/>
    </xf>
    <xf numFmtId="0" fontId="5" fillId="3" borderId="1" xfId="1" applyAlignment="1">
      <alignment horizontal="center" vertical="center"/>
    </xf>
    <xf numFmtId="0" fontId="0" fillId="0" borderId="0" xfId="0"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xf>
    <xf numFmtId="0" fontId="5" fillId="3" borderId="1" xfId="1" applyAlignment="1">
      <alignment horizontal="center" vertical="center" wrapText="1"/>
    </xf>
    <xf numFmtId="0" fontId="5" fillId="3" borderId="1" xfId="1" applyAlignment="1">
      <alignment horizontal="center" vertical="center" wrapText="1"/>
    </xf>
    <xf numFmtId="0" fontId="5" fillId="3" borderId="1" xfId="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5" fillId="3" borderId="1" xfId="1" applyAlignment="1">
      <alignment horizontal="center" vertical="center" wrapText="1"/>
    </xf>
    <xf numFmtId="0" fontId="5" fillId="3" borderId="1" xfId="1" applyAlignment="1">
      <alignment horizontal="center" vertical="center"/>
    </xf>
    <xf numFmtId="0" fontId="6" fillId="0" borderId="0" xfId="0" applyFont="1" applyBorder="1"/>
    <xf numFmtId="0" fontId="0" fillId="0" borderId="0" xfId="0" applyAlignment="1">
      <alignment horizontal="center" vertical="center"/>
    </xf>
    <xf numFmtId="0" fontId="5" fillId="3" borderId="0" xfId="1" applyBorder="1" applyAlignment="1">
      <alignment horizontal="center" vertical="center"/>
    </xf>
    <xf numFmtId="167" fontId="0" fillId="0" borderId="0" xfId="0" applyNumberFormat="1" applyAlignment="1">
      <alignment horizontal="center" vertical="center"/>
    </xf>
    <xf numFmtId="0" fontId="5" fillId="3" borderId="1" xfId="1" applyAlignment="1">
      <alignment horizontal="center" vertical="center" wrapText="1"/>
    </xf>
    <xf numFmtId="0" fontId="5" fillId="3" borderId="1" xfId="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5" fillId="3" borderId="1" xfId="1" applyAlignment="1">
      <alignment horizontal="center" vertical="center" wrapText="1"/>
    </xf>
    <xf numFmtId="0" fontId="5" fillId="3" borderId="1" xfId="1" applyAlignment="1">
      <alignment horizontal="center" vertical="center"/>
    </xf>
    <xf numFmtId="0" fontId="0" fillId="0" borderId="0" xfId="0" applyAlignment="1">
      <alignment horizontal="center" vertical="center"/>
    </xf>
    <xf numFmtId="168" fontId="0" fillId="0" borderId="0" xfId="0" applyNumberFormat="1" applyAlignment="1">
      <alignment horizontal="center" vertical="center"/>
    </xf>
    <xf numFmtId="166" fontId="4" fillId="0" borderId="0" xfId="0" applyNumberFormat="1" applyFont="1" applyAlignment="1">
      <alignment horizontal="center" vertical="center" wrapText="1"/>
    </xf>
    <xf numFmtId="0" fontId="0" fillId="0" borderId="0" xfId="0" applyFill="1" applyAlignment="1">
      <alignment horizontal="center" vertical="center"/>
    </xf>
    <xf numFmtId="0" fontId="0" fillId="0" borderId="0" xfId="0" applyNumberFormat="1"/>
    <xf numFmtId="167" fontId="0" fillId="0" borderId="0" xfId="0" applyNumberFormat="1" applyAlignment="1">
      <alignment horizontal="center"/>
    </xf>
    <xf numFmtId="0" fontId="5" fillId="3" borderId="1" xfId="1" applyAlignment="1">
      <alignment horizontal="center" vertical="center" wrapText="1"/>
    </xf>
    <xf numFmtId="0" fontId="5" fillId="3" borderId="1" xfId="1" applyAlignment="1">
      <alignment horizontal="center" vertical="center"/>
    </xf>
    <xf numFmtId="0" fontId="0" fillId="0" borderId="0" xfId="0" applyAlignment="1">
      <alignment horizontal="center" vertical="center"/>
    </xf>
    <xf numFmtId="1" fontId="0" fillId="0" borderId="0" xfId="0" applyNumberFormat="1" applyAlignment="1">
      <alignment horizontal="center"/>
    </xf>
    <xf numFmtId="0" fontId="8" fillId="4" borderId="0" xfId="2" applyAlignment="1">
      <alignment horizontal="center"/>
    </xf>
    <xf numFmtId="49" fontId="0" fillId="0" borderId="0" xfId="0" applyNumberFormat="1" applyAlignment="1">
      <alignment horizontal="center"/>
    </xf>
    <xf numFmtId="168" fontId="0" fillId="0" borderId="0" xfId="0" applyNumberFormat="1" applyAlignment="1">
      <alignment horizontal="center"/>
    </xf>
    <xf numFmtId="0" fontId="0" fillId="0" borderId="0" xfId="0" applyNumberFormat="1" applyAlignment="1">
      <alignment horizontal="center"/>
    </xf>
    <xf numFmtId="0" fontId="5" fillId="3" borderId="1" xfId="1" applyAlignment="1">
      <alignment horizontal="center" vertical="center" wrapText="1"/>
    </xf>
    <xf numFmtId="0" fontId="5" fillId="3" borderId="1" xfId="1" applyAlignment="1">
      <alignment horizontal="center" vertical="center"/>
    </xf>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vertical="center"/>
    </xf>
    <xf numFmtId="0" fontId="5" fillId="3" borderId="1" xfId="1" applyAlignment="1">
      <alignment horizontal="center" vertical="center" wrapText="1"/>
    </xf>
    <xf numFmtId="0" fontId="5" fillId="3" borderId="1" xfId="1" applyAlignment="1">
      <alignment horizontal="center" vertical="center"/>
    </xf>
    <xf numFmtId="0" fontId="5" fillId="3" borderId="1" xfId="1" applyAlignment="1">
      <alignment horizontal="center"/>
    </xf>
    <xf numFmtId="165" fontId="0" fillId="0" borderId="0" xfId="0" applyNumberFormat="1" applyAlignment="1">
      <alignment horizontal="center"/>
    </xf>
    <xf numFmtId="0" fontId="9" fillId="5" borderId="0" xfId="3" applyAlignment="1">
      <alignment horizontal="center"/>
    </xf>
    <xf numFmtId="0" fontId="10" fillId="0" borderId="0" xfId="0" applyFont="1" applyAlignment="1">
      <alignment horizontal="center"/>
    </xf>
    <xf numFmtId="1" fontId="10" fillId="0" borderId="0" xfId="0" applyNumberFormat="1" applyFont="1" applyAlignment="1">
      <alignment horizontal="center" vertical="center"/>
    </xf>
    <xf numFmtId="0" fontId="11" fillId="0" borderId="0" xfId="0" applyFont="1" applyAlignment="1"/>
    <xf numFmtId="0" fontId="1" fillId="0" borderId="0" xfId="0" applyFont="1" applyAlignment="1">
      <alignment horizontal="center"/>
    </xf>
    <xf numFmtId="0" fontId="3" fillId="0" borderId="0" xfId="0" applyFont="1" applyAlignment="1">
      <alignment horizontal="center"/>
    </xf>
    <xf numFmtId="0" fontId="5" fillId="3" borderId="1" xfId="1" applyAlignment="1">
      <alignment horizontal="center" vertical="center" wrapText="1"/>
    </xf>
    <xf numFmtId="0" fontId="5" fillId="3" borderId="2" xfId="1" applyBorder="1" applyAlignment="1">
      <alignment horizontal="center" vertical="center"/>
    </xf>
    <xf numFmtId="0" fontId="5" fillId="3" borderId="3" xfId="1" applyBorder="1" applyAlignment="1">
      <alignment horizontal="center" vertical="center"/>
    </xf>
    <xf numFmtId="0" fontId="5" fillId="3" borderId="1" xfId="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6" fillId="0" borderId="0" xfId="0" applyFont="1" applyBorder="1" applyAlignment="1">
      <alignment horizontal="center"/>
    </xf>
    <xf numFmtId="0" fontId="5" fillId="3" borderId="5" xfId="1" applyBorder="1" applyAlignment="1">
      <alignment horizontal="center" vertical="center"/>
    </xf>
    <xf numFmtId="0" fontId="5" fillId="3" borderId="6" xfId="1" applyBorder="1" applyAlignment="1">
      <alignment horizontal="center" vertical="center"/>
    </xf>
    <xf numFmtId="0" fontId="5" fillId="3" borderId="7" xfId="1" applyBorder="1" applyAlignment="1">
      <alignment horizontal="center" vertical="center"/>
    </xf>
    <xf numFmtId="0" fontId="7" fillId="0" borderId="0" xfId="0" applyFont="1" applyAlignment="1">
      <alignment horizontal="center" vertical="center"/>
    </xf>
    <xf numFmtId="0" fontId="5" fillId="3" borderId="5" xfId="1" applyBorder="1" applyAlignment="1">
      <alignment horizontal="center" vertical="center" wrapText="1"/>
    </xf>
    <xf numFmtId="0" fontId="5" fillId="3" borderId="6" xfId="1" applyBorder="1" applyAlignment="1">
      <alignment horizontal="center" vertical="center" wrapText="1"/>
    </xf>
    <xf numFmtId="0" fontId="5" fillId="3" borderId="7" xfId="1" applyBorder="1" applyAlignment="1">
      <alignment horizontal="center" vertical="center" wrapText="1"/>
    </xf>
    <xf numFmtId="0" fontId="11" fillId="0" borderId="0" xfId="0" applyFont="1" applyAlignment="1">
      <alignment horizontal="center"/>
    </xf>
  </cellXfs>
  <cellStyles count="4">
    <cellStyle name="Bad" xfId="3" builtinId="27"/>
    <cellStyle name="Input" xfId="1" builtinId="20"/>
    <cellStyle name="Neutral" xfId="2"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RSS</a:t>
            </a:r>
            <a:endParaRPr lang="en-US"/>
          </a:p>
        </c:rich>
      </c:tx>
      <c:layout/>
    </c:title>
    <c:plotArea>
      <c:layout/>
      <c:scatterChart>
        <c:scatterStyle val="lineMarker"/>
        <c:ser>
          <c:idx val="0"/>
          <c:order val="0"/>
          <c:tx>
            <c:strRef>
              <c:f>'1OBU'!$F$2</c:f>
              <c:strCache>
                <c:ptCount val="1"/>
                <c:pt idx="0">
                  <c:v>Car-PDR (%)</c:v>
                </c:pt>
              </c:strCache>
            </c:strRef>
          </c:tx>
          <c:spPr>
            <a:ln w="28575">
              <a:noFill/>
            </a:ln>
          </c:spPr>
          <c:xVal>
            <c:numRef>
              <c:f>'1OBU'!$O$3:$O$32</c:f>
              <c:numCache>
                <c:formatCode>0.00000</c:formatCode>
                <c:ptCount val="30"/>
                <c:pt idx="0" formatCode="General">
                  <c:v>0</c:v>
                </c:pt>
                <c:pt idx="1">
                  <c:v>-69.894544033333304</c:v>
                </c:pt>
                <c:pt idx="2">
                  <c:v>-65.898511000000013</c:v>
                </c:pt>
                <c:pt idx="3">
                  <c:v>-67.274943499999992</c:v>
                </c:pt>
                <c:pt idx="4">
                  <c:v>-66.381292400000007</c:v>
                </c:pt>
                <c:pt idx="5">
                  <c:v>-67.541434766666669</c:v>
                </c:pt>
                <c:pt idx="6">
                  <c:v>-67.164053466666672</c:v>
                </c:pt>
                <c:pt idx="7">
                  <c:v>-66.741774700000008</c:v>
                </c:pt>
                <c:pt idx="8">
                  <c:v>-64.903782966666668</c:v>
                </c:pt>
                <c:pt idx="9">
                  <c:v>-64.62024453333332</c:v>
                </c:pt>
                <c:pt idx="10">
                  <c:v>-65.807828133333331</c:v>
                </c:pt>
                <c:pt idx="11">
                  <c:v>-63.520428433333336</c:v>
                </c:pt>
                <c:pt idx="12">
                  <c:v>-66.285606933333341</c:v>
                </c:pt>
                <c:pt idx="13">
                  <c:v>-67.715343533333325</c:v>
                </c:pt>
                <c:pt idx="14">
                  <c:v>-69.169959600000013</c:v>
                </c:pt>
                <c:pt idx="15">
                  <c:v>-68.235576999999992</c:v>
                </c:pt>
                <c:pt idx="16">
                  <c:v>-68.497975233333335</c:v>
                </c:pt>
                <c:pt idx="17">
                  <c:v>-69.102826866666661</c:v>
                </c:pt>
                <c:pt idx="18">
                  <c:v>-70.397711599999994</c:v>
                </c:pt>
                <c:pt idx="19">
                  <c:v>-72.841712966666663</c:v>
                </c:pt>
                <c:pt idx="20">
                  <c:v>-72.272559000000015</c:v>
                </c:pt>
                <c:pt idx="21">
                  <c:v>-72.082036599999995</c:v>
                </c:pt>
                <c:pt idx="22">
                  <c:v>-74.306089066666644</c:v>
                </c:pt>
                <c:pt idx="23">
                  <c:v>-76.352154999999996</c:v>
                </c:pt>
                <c:pt idx="24">
                  <c:v>-74.376218299999977</c:v>
                </c:pt>
                <c:pt idx="25">
                  <c:v>-77.625541999999996</c:v>
                </c:pt>
                <c:pt idx="26">
                  <c:v>-77.963149999999999</c:v>
                </c:pt>
                <c:pt idx="27">
                  <c:v>-80.05189</c:v>
                </c:pt>
                <c:pt idx="28">
                  <c:v>-79.326644999999999</c:v>
                </c:pt>
                <c:pt idx="29">
                  <c:v>-81.356549999999999</c:v>
                </c:pt>
              </c:numCache>
            </c:numRef>
          </c:xVal>
          <c:yVal>
            <c:numRef>
              <c:f>'1OBU'!$F$3:$F$32</c:f>
              <c:numCache>
                <c:formatCode>0.00</c:formatCode>
                <c:ptCount val="30"/>
                <c:pt idx="0">
                  <c:v>0</c:v>
                </c:pt>
                <c:pt idx="1">
                  <c:v>100</c:v>
                </c:pt>
                <c:pt idx="2">
                  <c:v>100</c:v>
                </c:pt>
                <c:pt idx="3">
                  <c:v>100</c:v>
                </c:pt>
                <c:pt idx="4">
                  <c:v>100</c:v>
                </c:pt>
                <c:pt idx="5">
                  <c:v>100</c:v>
                </c:pt>
                <c:pt idx="6">
                  <c:v>100</c:v>
                </c:pt>
                <c:pt idx="7">
                  <c:v>100</c:v>
                </c:pt>
                <c:pt idx="8">
                  <c:v>100</c:v>
                </c:pt>
                <c:pt idx="9">
                  <c:v>80</c:v>
                </c:pt>
                <c:pt idx="10">
                  <c:v>100</c:v>
                </c:pt>
                <c:pt idx="11">
                  <c:v>100</c:v>
                </c:pt>
                <c:pt idx="12">
                  <c:v>100</c:v>
                </c:pt>
                <c:pt idx="13">
                  <c:v>100</c:v>
                </c:pt>
                <c:pt idx="14">
                  <c:v>100</c:v>
                </c:pt>
                <c:pt idx="15">
                  <c:v>80</c:v>
                </c:pt>
                <c:pt idx="16">
                  <c:v>80</c:v>
                </c:pt>
                <c:pt idx="17">
                  <c:v>90</c:v>
                </c:pt>
                <c:pt idx="18">
                  <c:v>100</c:v>
                </c:pt>
                <c:pt idx="19">
                  <c:v>100</c:v>
                </c:pt>
                <c:pt idx="20">
                  <c:v>90</c:v>
                </c:pt>
                <c:pt idx="21">
                  <c:v>90</c:v>
                </c:pt>
                <c:pt idx="22">
                  <c:v>80</c:v>
                </c:pt>
                <c:pt idx="23">
                  <c:v>100</c:v>
                </c:pt>
                <c:pt idx="24">
                  <c:v>88.888888888888886</c:v>
                </c:pt>
                <c:pt idx="25">
                  <c:v>70</c:v>
                </c:pt>
                <c:pt idx="26">
                  <c:v>90</c:v>
                </c:pt>
                <c:pt idx="27">
                  <c:v>100</c:v>
                </c:pt>
                <c:pt idx="28">
                  <c:v>100</c:v>
                </c:pt>
                <c:pt idx="29">
                  <c:v>100</c:v>
                </c:pt>
              </c:numCache>
            </c:numRef>
          </c:yVal>
        </c:ser>
        <c:axId val="123883904"/>
        <c:axId val="123885440"/>
      </c:scatterChart>
      <c:valAx>
        <c:axId val="123883904"/>
        <c:scaling>
          <c:orientation val="maxMin"/>
        </c:scaling>
        <c:axPos val="b"/>
        <c:majorGridlines/>
        <c:numFmt formatCode="General" sourceLinked="1"/>
        <c:tickLblPos val="nextTo"/>
        <c:crossAx val="123885440"/>
        <c:crosses val="autoZero"/>
        <c:crossBetween val="midCat"/>
      </c:valAx>
      <c:valAx>
        <c:axId val="123885440"/>
        <c:scaling>
          <c:orientation val="minMax"/>
          <c:max val="100"/>
          <c:min val="0"/>
        </c:scaling>
        <c:axPos val="r"/>
        <c:majorGridlines/>
        <c:numFmt formatCode="0" sourceLinked="0"/>
        <c:tickLblPos val="high"/>
        <c:crossAx val="123883904"/>
        <c:crosses val="autoZero"/>
        <c:crossBetween val="midCat"/>
      </c:valAx>
    </c:plotArea>
    <c:legend>
      <c:legendPos val="r"/>
      <c:layout/>
    </c:legend>
    <c:plotVisOnly val="1"/>
  </c:chart>
  <c:printSettings>
    <c:headerFooter/>
    <c:pageMargins b="0.75000000000000444" l="0.70000000000000062" r="0.70000000000000062" t="0.75000000000000444"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RSS</a:t>
            </a:r>
            <a:endParaRPr lang="en-US"/>
          </a:p>
        </c:rich>
      </c:tx>
    </c:title>
    <c:plotArea>
      <c:layout/>
      <c:scatterChart>
        <c:scatterStyle val="lineMarker"/>
        <c:ser>
          <c:idx val="0"/>
          <c:order val="0"/>
          <c:tx>
            <c:strRef>
              <c:f>'10OBU'!$F$2</c:f>
              <c:strCache>
                <c:ptCount val="1"/>
                <c:pt idx="0">
                  <c:v>Car-PDR (%)</c:v>
                </c:pt>
              </c:strCache>
            </c:strRef>
          </c:tx>
          <c:spPr>
            <a:ln w="28575">
              <a:noFill/>
            </a:ln>
          </c:spPr>
          <c:xVal>
            <c:numRef>
              <c:f>'10OBU'!$O$4:$O$32</c:f>
              <c:numCache>
                <c:formatCode>General</c:formatCode>
                <c:ptCount val="29"/>
                <c:pt idx="0">
                  <c:v>-67.33293445000001</c:v>
                </c:pt>
                <c:pt idx="1">
                  <c:v>-68.946769550000013</c:v>
                </c:pt>
                <c:pt idx="2">
                  <c:v>-66.046915750000011</c:v>
                </c:pt>
                <c:pt idx="3">
                  <c:v>-64.146284850000015</c:v>
                </c:pt>
                <c:pt idx="4">
                  <c:v>-64.752526650000021</c:v>
                </c:pt>
                <c:pt idx="5">
                  <c:v>-63.772230750000006</c:v>
                </c:pt>
                <c:pt idx="6">
                  <c:v>-62.325009250000008</c:v>
                </c:pt>
                <c:pt idx="7">
                  <c:v>-58.861171599999999</c:v>
                </c:pt>
                <c:pt idx="8">
                  <c:v>-58.057689849999996</c:v>
                </c:pt>
                <c:pt idx="9">
                  <c:v>-59.943953950000001</c:v>
                </c:pt>
                <c:pt idx="10">
                  <c:v>-61.344458750000015</c:v>
                </c:pt>
                <c:pt idx="11">
                  <c:v>-59.360659799999993</c:v>
                </c:pt>
                <c:pt idx="12">
                  <c:v>-61.502559300000009</c:v>
                </c:pt>
                <c:pt idx="13">
                  <c:v>-65.125634399999996</c:v>
                </c:pt>
                <c:pt idx="14">
                  <c:v>-63.043473250000012</c:v>
                </c:pt>
                <c:pt idx="15">
                  <c:v>-66.967945750000013</c:v>
                </c:pt>
                <c:pt idx="16">
                  <c:v>-66.639391000000018</c:v>
                </c:pt>
                <c:pt idx="17">
                  <c:v>-68.24588399999999</c:v>
                </c:pt>
                <c:pt idx="18">
                  <c:v>-68.938763949999995</c:v>
                </c:pt>
                <c:pt idx="19">
                  <c:v>-70.053254899999999</c:v>
                </c:pt>
                <c:pt idx="20">
                  <c:v>-72.623111950000023</c:v>
                </c:pt>
                <c:pt idx="21">
                  <c:v>-70.478888099999992</c:v>
                </c:pt>
                <c:pt idx="22">
                  <c:v>-71.096775350000016</c:v>
                </c:pt>
                <c:pt idx="23">
                  <c:v>-74.987441600000011</c:v>
                </c:pt>
                <c:pt idx="24">
                  <c:v>-74.054147799999981</c:v>
                </c:pt>
                <c:pt idx="25">
                  <c:v>-72.168265950000006</c:v>
                </c:pt>
                <c:pt idx="26">
                  <c:v>-73.17920135</c:v>
                </c:pt>
                <c:pt idx="27">
                  <c:v>-75.67549855</c:v>
                </c:pt>
                <c:pt idx="28">
                  <c:v>-72.254774949999998</c:v>
                </c:pt>
              </c:numCache>
            </c:numRef>
          </c:xVal>
          <c:yVal>
            <c:numRef>
              <c:f>'10OBU'!$F$4:$F$32</c:f>
              <c:numCache>
                <c:formatCode>0</c:formatCode>
                <c:ptCount val="29"/>
                <c:pt idx="0" formatCode="General">
                  <c:v>40</c:v>
                </c:pt>
                <c:pt idx="1">
                  <c:v>44.444444444444443</c:v>
                </c:pt>
                <c:pt idx="2" formatCode="General">
                  <c:v>20</c:v>
                </c:pt>
                <c:pt idx="3" formatCode="General">
                  <c:v>60</c:v>
                </c:pt>
                <c:pt idx="4" formatCode="General">
                  <c:v>70</c:v>
                </c:pt>
                <c:pt idx="5" formatCode="General">
                  <c:v>40</c:v>
                </c:pt>
                <c:pt idx="6" formatCode="General">
                  <c:v>70</c:v>
                </c:pt>
                <c:pt idx="7" formatCode="General">
                  <c:v>90</c:v>
                </c:pt>
                <c:pt idx="8">
                  <c:v>44.444444444444443</c:v>
                </c:pt>
                <c:pt idx="9" formatCode="General">
                  <c:v>70</c:v>
                </c:pt>
                <c:pt idx="10" formatCode="General">
                  <c:v>60</c:v>
                </c:pt>
                <c:pt idx="11" formatCode="General">
                  <c:v>40</c:v>
                </c:pt>
                <c:pt idx="12" formatCode="General">
                  <c:v>70</c:v>
                </c:pt>
                <c:pt idx="13" formatCode="General">
                  <c:v>50</c:v>
                </c:pt>
                <c:pt idx="14" formatCode="General">
                  <c:v>70</c:v>
                </c:pt>
                <c:pt idx="15" formatCode="General">
                  <c:v>60</c:v>
                </c:pt>
                <c:pt idx="16" formatCode="General">
                  <c:v>30</c:v>
                </c:pt>
                <c:pt idx="17" formatCode="General">
                  <c:v>40</c:v>
                </c:pt>
                <c:pt idx="18" formatCode="General">
                  <c:v>60</c:v>
                </c:pt>
                <c:pt idx="19" formatCode="General">
                  <c:v>30</c:v>
                </c:pt>
                <c:pt idx="20" formatCode="General">
                  <c:v>50</c:v>
                </c:pt>
                <c:pt idx="21" formatCode="General">
                  <c:v>60</c:v>
                </c:pt>
                <c:pt idx="22">
                  <c:v>77.777777777777786</c:v>
                </c:pt>
                <c:pt idx="23" formatCode="General">
                  <c:v>80</c:v>
                </c:pt>
                <c:pt idx="24" formatCode="General">
                  <c:v>80</c:v>
                </c:pt>
                <c:pt idx="25" formatCode="General">
                  <c:v>80</c:v>
                </c:pt>
                <c:pt idx="26" formatCode="General">
                  <c:v>20</c:v>
                </c:pt>
                <c:pt idx="27" formatCode="General">
                  <c:v>40</c:v>
                </c:pt>
                <c:pt idx="28" formatCode="General">
                  <c:v>50</c:v>
                </c:pt>
              </c:numCache>
            </c:numRef>
          </c:yVal>
        </c:ser>
        <c:axId val="125572608"/>
        <c:axId val="125585280"/>
      </c:scatterChart>
      <c:valAx>
        <c:axId val="125572608"/>
        <c:scaling>
          <c:orientation val="maxMin"/>
          <c:max val="0"/>
          <c:min val="-100"/>
        </c:scaling>
        <c:axPos val="b"/>
        <c:majorGridlines/>
        <c:numFmt formatCode="General" sourceLinked="1"/>
        <c:tickLblPos val="nextTo"/>
        <c:crossAx val="125585280"/>
        <c:crosses val="autoZero"/>
        <c:crossBetween val="midCat"/>
      </c:valAx>
      <c:valAx>
        <c:axId val="125585280"/>
        <c:scaling>
          <c:orientation val="minMax"/>
          <c:max val="100"/>
          <c:min val="0"/>
        </c:scaling>
        <c:axPos val="r"/>
        <c:majorGridlines/>
        <c:numFmt formatCode="General" sourceLinked="1"/>
        <c:tickLblPos val="high"/>
        <c:crossAx val="125572608"/>
        <c:crosses val="autoZero"/>
        <c:crossBetween val="midCat"/>
      </c:valAx>
    </c:plotArea>
    <c:legend>
      <c:legendPos val="r"/>
    </c:legend>
    <c:plotVisOnly val="1"/>
  </c:chart>
  <c:printSettings>
    <c:headerFooter/>
    <c:pageMargins b="0.75000000000000466" l="0.70000000000000062" r="0.70000000000000062" t="0.75000000000000466"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 SNR</a:t>
            </a:r>
          </a:p>
        </c:rich>
      </c:tx>
    </c:title>
    <c:plotArea>
      <c:layout/>
      <c:scatterChart>
        <c:scatterStyle val="lineMarker"/>
        <c:ser>
          <c:idx val="0"/>
          <c:order val="0"/>
          <c:tx>
            <c:strRef>
              <c:f>'10OBU'!$F$2</c:f>
              <c:strCache>
                <c:ptCount val="1"/>
                <c:pt idx="0">
                  <c:v>Car-PDR (%)</c:v>
                </c:pt>
              </c:strCache>
            </c:strRef>
          </c:tx>
          <c:spPr>
            <a:ln w="28575">
              <a:noFill/>
            </a:ln>
          </c:spPr>
          <c:xVal>
            <c:numRef>
              <c:f>'10OBU'!$P$4:$P$32</c:f>
              <c:numCache>
                <c:formatCode>General</c:formatCode>
                <c:ptCount val="29"/>
                <c:pt idx="0">
                  <c:v>36.667065549999997</c:v>
                </c:pt>
                <c:pt idx="1">
                  <c:v>35.053230450000001</c:v>
                </c:pt>
                <c:pt idx="2">
                  <c:v>37.953084250000003</c:v>
                </c:pt>
                <c:pt idx="3">
                  <c:v>39.853715149999992</c:v>
                </c:pt>
                <c:pt idx="4">
                  <c:v>39.24747335</c:v>
                </c:pt>
                <c:pt idx="5">
                  <c:v>40.227769250000001</c:v>
                </c:pt>
                <c:pt idx="6">
                  <c:v>41.674990749999999</c:v>
                </c:pt>
                <c:pt idx="7">
                  <c:v>45.138828400000001</c:v>
                </c:pt>
                <c:pt idx="8">
                  <c:v>45.942310149999997</c:v>
                </c:pt>
                <c:pt idx="9">
                  <c:v>44.056046050000006</c:v>
                </c:pt>
                <c:pt idx="10">
                  <c:v>42.655541249999999</c:v>
                </c:pt>
                <c:pt idx="11">
                  <c:v>44.639340200000007</c:v>
                </c:pt>
                <c:pt idx="12">
                  <c:v>42.497440699999999</c:v>
                </c:pt>
                <c:pt idx="13">
                  <c:v>38.87436559999999</c:v>
                </c:pt>
                <c:pt idx="14">
                  <c:v>40.956526750000002</c:v>
                </c:pt>
                <c:pt idx="15">
                  <c:v>37.032054250000002</c:v>
                </c:pt>
                <c:pt idx="16">
                  <c:v>37.360608999999997</c:v>
                </c:pt>
                <c:pt idx="17">
                  <c:v>35.754115999999996</c:v>
                </c:pt>
                <c:pt idx="18">
                  <c:v>35.061236050000005</c:v>
                </c:pt>
                <c:pt idx="19">
                  <c:v>33.946745100000001</c:v>
                </c:pt>
                <c:pt idx="20">
                  <c:v>31.376888050000002</c:v>
                </c:pt>
                <c:pt idx="21">
                  <c:v>33.521111900000008</c:v>
                </c:pt>
                <c:pt idx="22">
                  <c:v>32.903224649999999</c:v>
                </c:pt>
                <c:pt idx="23">
                  <c:v>29.0125584</c:v>
                </c:pt>
                <c:pt idx="24">
                  <c:v>29.945852200000001</c:v>
                </c:pt>
                <c:pt idx="25">
                  <c:v>31.831734049999994</c:v>
                </c:pt>
                <c:pt idx="26">
                  <c:v>30.82079865</c:v>
                </c:pt>
                <c:pt idx="27">
                  <c:v>28.324501450000003</c:v>
                </c:pt>
                <c:pt idx="28">
                  <c:v>31.745225049999998</c:v>
                </c:pt>
              </c:numCache>
            </c:numRef>
          </c:xVal>
          <c:yVal>
            <c:numRef>
              <c:f>'10OBU'!$F$4:$F$32</c:f>
              <c:numCache>
                <c:formatCode>0</c:formatCode>
                <c:ptCount val="29"/>
                <c:pt idx="0" formatCode="General">
                  <c:v>40</c:v>
                </c:pt>
                <c:pt idx="1">
                  <c:v>44.444444444444443</c:v>
                </c:pt>
                <c:pt idx="2" formatCode="General">
                  <c:v>20</c:v>
                </c:pt>
                <c:pt idx="3" formatCode="General">
                  <c:v>60</c:v>
                </c:pt>
                <c:pt idx="4" formatCode="General">
                  <c:v>70</c:v>
                </c:pt>
                <c:pt idx="5" formatCode="General">
                  <c:v>40</c:v>
                </c:pt>
                <c:pt idx="6" formatCode="General">
                  <c:v>70</c:v>
                </c:pt>
                <c:pt idx="7" formatCode="General">
                  <c:v>90</c:v>
                </c:pt>
                <c:pt idx="8">
                  <c:v>44.444444444444443</c:v>
                </c:pt>
                <c:pt idx="9" formatCode="General">
                  <c:v>70</c:v>
                </c:pt>
                <c:pt idx="10" formatCode="General">
                  <c:v>60</c:v>
                </c:pt>
                <c:pt idx="11" formatCode="General">
                  <c:v>40</c:v>
                </c:pt>
                <c:pt idx="12" formatCode="General">
                  <c:v>70</c:v>
                </c:pt>
                <c:pt idx="13" formatCode="General">
                  <c:v>50</c:v>
                </c:pt>
                <c:pt idx="14" formatCode="General">
                  <c:v>70</c:v>
                </c:pt>
                <c:pt idx="15" formatCode="General">
                  <c:v>60</c:v>
                </c:pt>
                <c:pt idx="16" formatCode="General">
                  <c:v>30</c:v>
                </c:pt>
                <c:pt idx="17" formatCode="General">
                  <c:v>40</c:v>
                </c:pt>
                <c:pt idx="18" formatCode="General">
                  <c:v>60</c:v>
                </c:pt>
                <c:pt idx="19" formatCode="General">
                  <c:v>30</c:v>
                </c:pt>
                <c:pt idx="20" formatCode="General">
                  <c:v>50</c:v>
                </c:pt>
                <c:pt idx="21" formatCode="General">
                  <c:v>60</c:v>
                </c:pt>
                <c:pt idx="22">
                  <c:v>77.777777777777786</c:v>
                </c:pt>
                <c:pt idx="23" formatCode="General">
                  <c:v>80</c:v>
                </c:pt>
                <c:pt idx="24" formatCode="General">
                  <c:v>80</c:v>
                </c:pt>
                <c:pt idx="25" formatCode="General">
                  <c:v>80</c:v>
                </c:pt>
                <c:pt idx="26" formatCode="General">
                  <c:v>20</c:v>
                </c:pt>
                <c:pt idx="27" formatCode="General">
                  <c:v>40</c:v>
                </c:pt>
                <c:pt idx="28" formatCode="General">
                  <c:v>50</c:v>
                </c:pt>
              </c:numCache>
            </c:numRef>
          </c:yVal>
        </c:ser>
        <c:axId val="125668736"/>
        <c:axId val="125688832"/>
      </c:scatterChart>
      <c:valAx>
        <c:axId val="125668736"/>
        <c:scaling>
          <c:orientation val="minMax"/>
        </c:scaling>
        <c:axPos val="b"/>
        <c:majorGridlines/>
        <c:numFmt formatCode="General" sourceLinked="1"/>
        <c:tickLblPos val="nextTo"/>
        <c:crossAx val="125688832"/>
        <c:crosses val="autoZero"/>
        <c:crossBetween val="midCat"/>
      </c:valAx>
      <c:valAx>
        <c:axId val="125688832"/>
        <c:scaling>
          <c:orientation val="minMax"/>
          <c:max val="100"/>
          <c:min val="0"/>
        </c:scaling>
        <c:axPos val="l"/>
        <c:majorGridlines/>
        <c:numFmt formatCode="General" sourceLinked="1"/>
        <c:tickLblPos val="nextTo"/>
        <c:crossAx val="125668736"/>
        <c:crosses val="autoZero"/>
        <c:crossBetween val="midCat"/>
      </c:valAx>
    </c:plotArea>
    <c:legend>
      <c:legendPos val="r"/>
    </c:legend>
    <c:plotVisOnly val="1"/>
  </c:chart>
  <c:printSettings>
    <c:headerFooter/>
    <c:pageMargins b="0.75000000000000488" l="0.70000000000000062" r="0.70000000000000062" t="0.75000000000000488"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PSR</a:t>
            </a:r>
            <a:endParaRPr lang="en-US"/>
          </a:p>
        </c:rich>
      </c:tx>
    </c:title>
    <c:plotArea>
      <c:layout>
        <c:manualLayout>
          <c:layoutTarget val="inner"/>
          <c:xMode val="edge"/>
          <c:yMode val="edge"/>
          <c:x val="7.9450837876035185E-2"/>
          <c:y val="0.19480351414406533"/>
          <c:w val="0.61935170603674561"/>
          <c:h val="0.68921660834062359"/>
        </c:manualLayout>
      </c:layout>
      <c:scatterChart>
        <c:scatterStyle val="lineMarker"/>
        <c:ser>
          <c:idx val="0"/>
          <c:order val="0"/>
          <c:tx>
            <c:strRef>
              <c:f>'10OBU'!$F$2</c:f>
              <c:strCache>
                <c:ptCount val="1"/>
                <c:pt idx="0">
                  <c:v>Car-PDR (%)</c:v>
                </c:pt>
              </c:strCache>
            </c:strRef>
          </c:tx>
          <c:spPr>
            <a:ln w="28575">
              <a:noFill/>
            </a:ln>
          </c:spPr>
          <c:xVal>
            <c:numRef>
              <c:f>'10OBU'!$J$3:$J$32</c:f>
              <c:numCache>
                <c:formatCode>General</c:formatCode>
                <c:ptCount val="30"/>
                <c:pt idx="0">
                  <c:v>0</c:v>
                </c:pt>
                <c:pt idx="1">
                  <c:v>90</c:v>
                </c:pt>
                <c:pt idx="2">
                  <c:v>90</c:v>
                </c:pt>
                <c:pt idx="3">
                  <c:v>100</c:v>
                </c:pt>
                <c:pt idx="4">
                  <c:v>100</c:v>
                </c:pt>
                <c:pt idx="5">
                  <c:v>100</c:v>
                </c:pt>
                <c:pt idx="6">
                  <c:v>100</c:v>
                </c:pt>
                <c:pt idx="7">
                  <c:v>100</c:v>
                </c:pt>
                <c:pt idx="8">
                  <c:v>100</c:v>
                </c:pt>
                <c:pt idx="9">
                  <c:v>90</c:v>
                </c:pt>
                <c:pt idx="10">
                  <c:v>100</c:v>
                </c:pt>
                <c:pt idx="11">
                  <c:v>100</c:v>
                </c:pt>
                <c:pt idx="12">
                  <c:v>100</c:v>
                </c:pt>
                <c:pt idx="13">
                  <c:v>100</c:v>
                </c:pt>
                <c:pt idx="14">
                  <c:v>100</c:v>
                </c:pt>
                <c:pt idx="15">
                  <c:v>100</c:v>
                </c:pt>
                <c:pt idx="16">
                  <c:v>100</c:v>
                </c:pt>
                <c:pt idx="17">
                  <c:v>100</c:v>
                </c:pt>
                <c:pt idx="18">
                  <c:v>100</c:v>
                </c:pt>
                <c:pt idx="19">
                  <c:v>100</c:v>
                </c:pt>
                <c:pt idx="20">
                  <c:v>100</c:v>
                </c:pt>
                <c:pt idx="21">
                  <c:v>90</c:v>
                </c:pt>
                <c:pt idx="22">
                  <c:v>100</c:v>
                </c:pt>
                <c:pt idx="23">
                  <c:v>100</c:v>
                </c:pt>
                <c:pt idx="24">
                  <c:v>100</c:v>
                </c:pt>
                <c:pt idx="25">
                  <c:v>100</c:v>
                </c:pt>
                <c:pt idx="26">
                  <c:v>100</c:v>
                </c:pt>
                <c:pt idx="27">
                  <c:v>100</c:v>
                </c:pt>
                <c:pt idx="28">
                  <c:v>90</c:v>
                </c:pt>
                <c:pt idx="29">
                  <c:v>90</c:v>
                </c:pt>
              </c:numCache>
            </c:numRef>
          </c:xVal>
          <c:yVal>
            <c:numRef>
              <c:f>'10OBU'!$F$3:$F$32</c:f>
              <c:numCache>
                <c:formatCode>General</c:formatCode>
                <c:ptCount val="30"/>
                <c:pt idx="0">
                  <c:v>0</c:v>
                </c:pt>
                <c:pt idx="1">
                  <c:v>40</c:v>
                </c:pt>
                <c:pt idx="2" formatCode="0">
                  <c:v>44.444444444444443</c:v>
                </c:pt>
                <c:pt idx="3">
                  <c:v>20</c:v>
                </c:pt>
                <c:pt idx="4">
                  <c:v>60</c:v>
                </c:pt>
                <c:pt idx="5">
                  <c:v>70</c:v>
                </c:pt>
                <c:pt idx="6">
                  <c:v>40</c:v>
                </c:pt>
                <c:pt idx="7">
                  <c:v>70</c:v>
                </c:pt>
                <c:pt idx="8">
                  <c:v>90</c:v>
                </c:pt>
                <c:pt idx="9" formatCode="0">
                  <c:v>44.444444444444443</c:v>
                </c:pt>
                <c:pt idx="10">
                  <c:v>70</c:v>
                </c:pt>
                <c:pt idx="11">
                  <c:v>60</c:v>
                </c:pt>
                <c:pt idx="12">
                  <c:v>40</c:v>
                </c:pt>
                <c:pt idx="13">
                  <c:v>70</c:v>
                </c:pt>
                <c:pt idx="14">
                  <c:v>50</c:v>
                </c:pt>
                <c:pt idx="15">
                  <c:v>70</c:v>
                </c:pt>
                <c:pt idx="16">
                  <c:v>60</c:v>
                </c:pt>
                <c:pt idx="17">
                  <c:v>30</c:v>
                </c:pt>
                <c:pt idx="18">
                  <c:v>40</c:v>
                </c:pt>
                <c:pt idx="19">
                  <c:v>60</c:v>
                </c:pt>
                <c:pt idx="20">
                  <c:v>30</c:v>
                </c:pt>
                <c:pt idx="21">
                  <c:v>50</c:v>
                </c:pt>
                <c:pt idx="22">
                  <c:v>60</c:v>
                </c:pt>
                <c:pt idx="23" formatCode="0">
                  <c:v>77.777777777777786</c:v>
                </c:pt>
                <c:pt idx="24">
                  <c:v>80</c:v>
                </c:pt>
                <c:pt idx="25">
                  <c:v>80</c:v>
                </c:pt>
                <c:pt idx="26">
                  <c:v>80</c:v>
                </c:pt>
                <c:pt idx="27">
                  <c:v>20</c:v>
                </c:pt>
                <c:pt idx="28">
                  <c:v>40</c:v>
                </c:pt>
                <c:pt idx="29">
                  <c:v>50</c:v>
                </c:pt>
              </c:numCache>
            </c:numRef>
          </c:yVal>
        </c:ser>
        <c:axId val="125513728"/>
        <c:axId val="125522304"/>
      </c:scatterChart>
      <c:valAx>
        <c:axId val="125513728"/>
        <c:scaling>
          <c:orientation val="minMax"/>
          <c:max val="100"/>
        </c:scaling>
        <c:axPos val="b"/>
        <c:majorGridlines/>
        <c:numFmt formatCode="General" sourceLinked="1"/>
        <c:tickLblPos val="nextTo"/>
        <c:crossAx val="125522304"/>
        <c:crosses val="autoZero"/>
        <c:crossBetween val="midCat"/>
      </c:valAx>
      <c:valAx>
        <c:axId val="125522304"/>
        <c:scaling>
          <c:orientation val="minMax"/>
          <c:max val="100"/>
          <c:min val="0"/>
        </c:scaling>
        <c:axPos val="l"/>
        <c:majorGridlines/>
        <c:numFmt formatCode="General" sourceLinked="1"/>
        <c:tickLblPos val="nextTo"/>
        <c:crossAx val="125513728"/>
        <c:crosses val="autoZero"/>
        <c:crossBetween val="midCat"/>
      </c:valAx>
    </c:plotArea>
    <c:legend>
      <c:legendPos val="r"/>
    </c:legend>
    <c:plotVisOnly val="1"/>
  </c:chart>
  <c:printSettings>
    <c:headerFooter/>
    <c:pageMargins b="0.75000000000000488" l="0.70000000000000062" r="0.70000000000000062" t="0.75000000000000488"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Car-PDSR Vs.</a:t>
            </a:r>
            <a:r>
              <a:rPr lang="en-US" baseline="0"/>
              <a:t> RSS</a:t>
            </a:r>
            <a:endParaRPr lang="en-US"/>
          </a:p>
        </c:rich>
      </c:tx>
    </c:title>
    <c:plotArea>
      <c:layout>
        <c:manualLayout>
          <c:layoutTarget val="inner"/>
          <c:xMode val="edge"/>
          <c:yMode val="edge"/>
          <c:x val="4.7443609022556434E-2"/>
          <c:y val="0.19480351414406533"/>
          <c:w val="0.71018925265921196"/>
          <c:h val="0.68921660834062359"/>
        </c:manualLayout>
      </c:layout>
      <c:scatterChart>
        <c:scatterStyle val="lineMarker"/>
        <c:ser>
          <c:idx val="0"/>
          <c:order val="0"/>
          <c:tx>
            <c:v>Car-PDSR Vs. RSS</c:v>
          </c:tx>
          <c:spPr>
            <a:ln w="28575">
              <a:noFill/>
            </a:ln>
          </c:spPr>
          <c:xVal>
            <c:numRef>
              <c:f>'10OBU'!$O$4:$O$32</c:f>
              <c:numCache>
                <c:formatCode>General</c:formatCode>
                <c:ptCount val="29"/>
                <c:pt idx="0">
                  <c:v>-67.33293445000001</c:v>
                </c:pt>
                <c:pt idx="1">
                  <c:v>-68.946769550000013</c:v>
                </c:pt>
                <c:pt idx="2">
                  <c:v>-66.046915750000011</c:v>
                </c:pt>
                <c:pt idx="3">
                  <c:v>-64.146284850000015</c:v>
                </c:pt>
                <c:pt idx="4">
                  <c:v>-64.752526650000021</c:v>
                </c:pt>
                <c:pt idx="5">
                  <c:v>-63.772230750000006</c:v>
                </c:pt>
                <c:pt idx="6">
                  <c:v>-62.325009250000008</c:v>
                </c:pt>
                <c:pt idx="7">
                  <c:v>-58.861171599999999</c:v>
                </c:pt>
                <c:pt idx="8">
                  <c:v>-58.057689849999996</c:v>
                </c:pt>
                <c:pt idx="9">
                  <c:v>-59.943953950000001</c:v>
                </c:pt>
                <c:pt idx="10">
                  <c:v>-61.344458750000015</c:v>
                </c:pt>
                <c:pt idx="11">
                  <c:v>-59.360659799999993</c:v>
                </c:pt>
                <c:pt idx="12">
                  <c:v>-61.502559300000009</c:v>
                </c:pt>
                <c:pt idx="13">
                  <c:v>-65.125634399999996</c:v>
                </c:pt>
                <c:pt idx="14">
                  <c:v>-63.043473250000012</c:v>
                </c:pt>
                <c:pt idx="15">
                  <c:v>-66.967945750000013</c:v>
                </c:pt>
                <c:pt idx="16">
                  <c:v>-66.639391000000018</c:v>
                </c:pt>
                <c:pt idx="17">
                  <c:v>-68.24588399999999</c:v>
                </c:pt>
                <c:pt idx="18">
                  <c:v>-68.938763949999995</c:v>
                </c:pt>
                <c:pt idx="19">
                  <c:v>-70.053254899999999</c:v>
                </c:pt>
                <c:pt idx="20">
                  <c:v>-72.623111950000023</c:v>
                </c:pt>
                <c:pt idx="21">
                  <c:v>-70.478888099999992</c:v>
                </c:pt>
                <c:pt idx="22">
                  <c:v>-71.096775350000016</c:v>
                </c:pt>
                <c:pt idx="23">
                  <c:v>-74.987441600000011</c:v>
                </c:pt>
                <c:pt idx="24">
                  <c:v>-74.054147799999981</c:v>
                </c:pt>
                <c:pt idx="25">
                  <c:v>-72.168265950000006</c:v>
                </c:pt>
                <c:pt idx="26">
                  <c:v>-73.17920135</c:v>
                </c:pt>
                <c:pt idx="27">
                  <c:v>-75.67549855</c:v>
                </c:pt>
                <c:pt idx="28">
                  <c:v>-72.254774949999998</c:v>
                </c:pt>
              </c:numCache>
            </c:numRef>
          </c:xVal>
          <c:yVal>
            <c:numRef>
              <c:f>'10OBU'!$M$4:$M$32</c:f>
              <c:numCache>
                <c:formatCode>0.0</c:formatCode>
                <c:ptCount val="29"/>
                <c:pt idx="0">
                  <c:v>75.555555555555557</c:v>
                </c:pt>
                <c:pt idx="1">
                  <c:v>77.222222222222229</c:v>
                </c:pt>
                <c:pt idx="2">
                  <c:v>80</c:v>
                </c:pt>
                <c:pt idx="3">
                  <c:v>80</c:v>
                </c:pt>
                <c:pt idx="4">
                  <c:v>77</c:v>
                </c:pt>
                <c:pt idx="5">
                  <c:v>78.5</c:v>
                </c:pt>
                <c:pt idx="6">
                  <c:v>82</c:v>
                </c:pt>
                <c:pt idx="7">
                  <c:v>80.5</c:v>
                </c:pt>
                <c:pt idx="8">
                  <c:v>77.222222222222229</c:v>
                </c:pt>
                <c:pt idx="9">
                  <c:v>84</c:v>
                </c:pt>
                <c:pt idx="10">
                  <c:v>79.5</c:v>
                </c:pt>
                <c:pt idx="11">
                  <c:v>84</c:v>
                </c:pt>
                <c:pt idx="12">
                  <c:v>80</c:v>
                </c:pt>
                <c:pt idx="13">
                  <c:v>81.5</c:v>
                </c:pt>
                <c:pt idx="14">
                  <c:v>76.5</c:v>
                </c:pt>
                <c:pt idx="15">
                  <c:v>85</c:v>
                </c:pt>
                <c:pt idx="16">
                  <c:v>78</c:v>
                </c:pt>
                <c:pt idx="17">
                  <c:v>77</c:v>
                </c:pt>
                <c:pt idx="18">
                  <c:v>75.5</c:v>
                </c:pt>
                <c:pt idx="19">
                  <c:v>78</c:v>
                </c:pt>
                <c:pt idx="20">
                  <c:v>76.666666666666657</c:v>
                </c:pt>
                <c:pt idx="21">
                  <c:v>81.5</c:v>
                </c:pt>
                <c:pt idx="22">
                  <c:v>79</c:v>
                </c:pt>
                <c:pt idx="23">
                  <c:v>76</c:v>
                </c:pt>
                <c:pt idx="24">
                  <c:v>81.5</c:v>
                </c:pt>
                <c:pt idx="25">
                  <c:v>78.5</c:v>
                </c:pt>
                <c:pt idx="26">
                  <c:v>79.5</c:v>
                </c:pt>
                <c:pt idx="27">
                  <c:v>80</c:v>
                </c:pt>
                <c:pt idx="28">
                  <c:v>75.555555555555557</c:v>
                </c:pt>
              </c:numCache>
            </c:numRef>
          </c:yVal>
        </c:ser>
        <c:axId val="125555072"/>
        <c:axId val="125556608"/>
      </c:scatterChart>
      <c:valAx>
        <c:axId val="125555072"/>
        <c:scaling>
          <c:orientation val="maxMin"/>
          <c:max val="-40"/>
          <c:min val="-100"/>
        </c:scaling>
        <c:axPos val="b"/>
        <c:majorGridlines/>
        <c:numFmt formatCode="0" sourceLinked="0"/>
        <c:tickLblPos val="nextTo"/>
        <c:crossAx val="125556608"/>
        <c:crosses val="autoZero"/>
        <c:crossBetween val="midCat"/>
      </c:valAx>
      <c:valAx>
        <c:axId val="125556608"/>
        <c:scaling>
          <c:orientation val="minMax"/>
          <c:max val="100"/>
          <c:min val="0"/>
        </c:scaling>
        <c:axPos val="r"/>
        <c:majorGridlines/>
        <c:numFmt formatCode="0" sourceLinked="0"/>
        <c:tickLblPos val="high"/>
        <c:crossAx val="125555072"/>
        <c:crosses val="autoZero"/>
        <c:crossBetween val="midCat"/>
      </c:valAx>
    </c:plotArea>
    <c:legend>
      <c:legendPos val="r"/>
    </c:legend>
    <c:plotVisOnly val="1"/>
  </c:chart>
  <c:printSettings>
    <c:headerFooter/>
    <c:pageMargins b="0.75000000000000511" l="0.70000000000000062" r="0.70000000000000062" t="0.75000000000000511"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RSS</a:t>
            </a:r>
            <a:endParaRPr lang="en-US"/>
          </a:p>
        </c:rich>
      </c:tx>
    </c:title>
    <c:plotArea>
      <c:layout>
        <c:manualLayout>
          <c:layoutTarget val="inner"/>
          <c:xMode val="edge"/>
          <c:yMode val="edge"/>
          <c:x val="3.6829824843323242E-2"/>
          <c:y val="0.19943314377369595"/>
          <c:w val="0.71932786973056939"/>
          <c:h val="0.6845869787109895"/>
        </c:manualLayout>
      </c:layout>
      <c:scatterChart>
        <c:scatterStyle val="lineMarker"/>
        <c:ser>
          <c:idx val="1"/>
          <c:order val="0"/>
          <c:tx>
            <c:v>RSU-PDR Vs. RSS</c:v>
          </c:tx>
          <c:spPr>
            <a:ln w="28575">
              <a:noFill/>
            </a:ln>
          </c:spPr>
          <c:xVal>
            <c:numRef>
              <c:f>'10OBU'!$Q$4:$Q$32</c:f>
              <c:numCache>
                <c:formatCode>General</c:formatCode>
                <c:ptCount val="29"/>
                <c:pt idx="0">
                  <c:v>-71.049186800000001</c:v>
                </c:pt>
                <c:pt idx="1">
                  <c:v>-64.48514609999998</c:v>
                </c:pt>
                <c:pt idx="2">
                  <c:v>-64.673802800000004</c:v>
                </c:pt>
                <c:pt idx="3">
                  <c:v>-67.106717900000007</c:v>
                </c:pt>
                <c:pt idx="4">
                  <c:v>-62.086490500000004</c:v>
                </c:pt>
                <c:pt idx="5">
                  <c:v>-62.665520099999995</c:v>
                </c:pt>
                <c:pt idx="6">
                  <c:v>-59.47248410000001</c:v>
                </c:pt>
                <c:pt idx="7">
                  <c:v>-60.398580799999991</c:v>
                </c:pt>
                <c:pt idx="8">
                  <c:v>-60.249088299999997</c:v>
                </c:pt>
                <c:pt idx="9">
                  <c:v>-56.723562200000003</c:v>
                </c:pt>
                <c:pt idx="10">
                  <c:v>-56.515784500000009</c:v>
                </c:pt>
                <c:pt idx="11">
                  <c:v>-58.777764699999999</c:v>
                </c:pt>
                <c:pt idx="12">
                  <c:v>-61.156196000000001</c:v>
                </c:pt>
                <c:pt idx="13">
                  <c:v>-64.920661200000012</c:v>
                </c:pt>
                <c:pt idx="14">
                  <c:v>-68.507651199999998</c:v>
                </c:pt>
                <c:pt idx="15">
                  <c:v>-65.721307999999993</c:v>
                </c:pt>
                <c:pt idx="16">
                  <c:v>-65.296674700000011</c:v>
                </c:pt>
                <c:pt idx="17">
                  <c:v>-71.536157099999997</c:v>
                </c:pt>
                <c:pt idx="18">
                  <c:v>-70.04261360000001</c:v>
                </c:pt>
                <c:pt idx="19">
                  <c:v>-69.757900599999999</c:v>
                </c:pt>
                <c:pt idx="20">
                  <c:v>-67.159042900000003</c:v>
                </c:pt>
                <c:pt idx="21">
                  <c:v>-73.859060800000009</c:v>
                </c:pt>
                <c:pt idx="22">
                  <c:v>-69.419788299999993</c:v>
                </c:pt>
                <c:pt idx="23">
                  <c:v>-74.216849400000001</c:v>
                </c:pt>
                <c:pt idx="24">
                  <c:v>-76.446225699999999</c:v>
                </c:pt>
                <c:pt idx="25">
                  <c:v>-71.868512100000004</c:v>
                </c:pt>
                <c:pt idx="26">
                  <c:v>-73.757290399999974</c:v>
                </c:pt>
                <c:pt idx="27">
                  <c:v>-75.140902100000005</c:v>
                </c:pt>
                <c:pt idx="28">
                  <c:v>-63.154716399999984</c:v>
                </c:pt>
              </c:numCache>
            </c:numRef>
          </c:xVal>
          <c:yVal>
            <c:numRef>
              <c:f>'10OBU'!$L$4:$L$32</c:f>
              <c:numCache>
                <c:formatCode>0.0</c:formatCode>
                <c:ptCount val="29"/>
                <c:pt idx="0">
                  <c:v>61.111111111111114</c:v>
                </c:pt>
                <c:pt idx="1">
                  <c:v>64.444444444444443</c:v>
                </c:pt>
                <c:pt idx="2">
                  <c:v>60</c:v>
                </c:pt>
                <c:pt idx="3">
                  <c:v>60</c:v>
                </c:pt>
                <c:pt idx="4">
                  <c:v>54</c:v>
                </c:pt>
                <c:pt idx="5">
                  <c:v>57.000000000000007</c:v>
                </c:pt>
                <c:pt idx="6">
                  <c:v>64</c:v>
                </c:pt>
                <c:pt idx="7">
                  <c:v>61</c:v>
                </c:pt>
                <c:pt idx="8">
                  <c:v>64.444444444444443</c:v>
                </c:pt>
                <c:pt idx="9">
                  <c:v>68</c:v>
                </c:pt>
                <c:pt idx="10">
                  <c:v>59.000000000000007</c:v>
                </c:pt>
                <c:pt idx="11">
                  <c:v>68</c:v>
                </c:pt>
                <c:pt idx="12">
                  <c:v>60</c:v>
                </c:pt>
                <c:pt idx="13">
                  <c:v>63</c:v>
                </c:pt>
                <c:pt idx="14">
                  <c:v>53</c:v>
                </c:pt>
                <c:pt idx="15">
                  <c:v>70</c:v>
                </c:pt>
                <c:pt idx="16">
                  <c:v>55.999999999999993</c:v>
                </c:pt>
                <c:pt idx="17">
                  <c:v>54</c:v>
                </c:pt>
                <c:pt idx="18">
                  <c:v>51</c:v>
                </c:pt>
                <c:pt idx="19">
                  <c:v>55.999999999999993</c:v>
                </c:pt>
                <c:pt idx="20">
                  <c:v>63.333333333333329</c:v>
                </c:pt>
                <c:pt idx="21">
                  <c:v>63</c:v>
                </c:pt>
                <c:pt idx="22">
                  <c:v>57.999999999999993</c:v>
                </c:pt>
                <c:pt idx="23">
                  <c:v>52</c:v>
                </c:pt>
                <c:pt idx="24">
                  <c:v>63</c:v>
                </c:pt>
                <c:pt idx="25">
                  <c:v>57.000000000000007</c:v>
                </c:pt>
                <c:pt idx="26">
                  <c:v>59.000000000000007</c:v>
                </c:pt>
                <c:pt idx="27">
                  <c:v>70</c:v>
                </c:pt>
                <c:pt idx="28">
                  <c:v>61.111111111111114</c:v>
                </c:pt>
              </c:numCache>
            </c:numRef>
          </c:yVal>
        </c:ser>
        <c:axId val="125723776"/>
        <c:axId val="125725312"/>
      </c:scatterChart>
      <c:valAx>
        <c:axId val="125723776"/>
        <c:scaling>
          <c:orientation val="maxMin"/>
        </c:scaling>
        <c:axPos val="b"/>
        <c:majorGridlines/>
        <c:numFmt formatCode="General" sourceLinked="1"/>
        <c:tickLblPos val="nextTo"/>
        <c:crossAx val="125725312"/>
        <c:crosses val="autoZero"/>
        <c:crossBetween val="midCat"/>
      </c:valAx>
      <c:valAx>
        <c:axId val="125725312"/>
        <c:scaling>
          <c:orientation val="minMax"/>
          <c:max val="100"/>
          <c:min val="0"/>
        </c:scaling>
        <c:axPos val="r"/>
        <c:majorGridlines/>
        <c:numFmt formatCode="0" sourceLinked="0"/>
        <c:tickLblPos val="high"/>
        <c:crossAx val="125723776"/>
        <c:crosses val="autoZero"/>
        <c:crossBetween val="midCat"/>
      </c:valAx>
    </c:plotArea>
    <c:legend>
      <c:legendPos val="r"/>
    </c:legend>
    <c:plotVisOnly val="1"/>
  </c:chart>
  <c:printSettings>
    <c:headerFooter/>
    <c:pageMargins b="0.75000000000000488" l="0.70000000000000062" r="0.70000000000000062" t="0.75000000000000488"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SNR</a:t>
            </a:r>
            <a:endParaRPr lang="en-US"/>
          </a:p>
        </c:rich>
      </c:tx>
    </c:title>
    <c:plotArea>
      <c:layout>
        <c:manualLayout>
          <c:layoutTarget val="inner"/>
          <c:xMode val="edge"/>
          <c:yMode val="edge"/>
          <c:x val="9.2509056202685444E-2"/>
          <c:y val="0.19480351414406533"/>
          <c:w val="0.65568100475044255"/>
          <c:h val="0.68921660834062359"/>
        </c:manualLayout>
      </c:layout>
      <c:scatterChart>
        <c:scatterStyle val="lineMarker"/>
        <c:ser>
          <c:idx val="0"/>
          <c:order val="0"/>
          <c:tx>
            <c:v>RSU-PDR Vs. SNR</c:v>
          </c:tx>
          <c:spPr>
            <a:ln w="28575">
              <a:noFill/>
            </a:ln>
          </c:spPr>
          <c:marker>
            <c:spPr>
              <a:solidFill>
                <a:srgbClr val="C00000"/>
              </a:solidFill>
            </c:spPr>
          </c:marker>
          <c:xVal>
            <c:numRef>
              <c:f>'10OBU'!$R$4:$R$32</c:f>
              <c:numCache>
                <c:formatCode>General</c:formatCode>
                <c:ptCount val="29"/>
                <c:pt idx="0">
                  <c:v>32.950813199999999</c:v>
                </c:pt>
                <c:pt idx="1">
                  <c:v>39.514853899999999</c:v>
                </c:pt>
                <c:pt idx="2">
                  <c:v>39.32619720000001</c:v>
                </c:pt>
                <c:pt idx="3">
                  <c:v>36.8932821</c:v>
                </c:pt>
                <c:pt idx="4">
                  <c:v>41.913509499999996</c:v>
                </c:pt>
                <c:pt idx="5">
                  <c:v>41.334479900000005</c:v>
                </c:pt>
                <c:pt idx="6">
                  <c:v>44.527515899999997</c:v>
                </c:pt>
                <c:pt idx="7">
                  <c:v>43.601419200000002</c:v>
                </c:pt>
                <c:pt idx="8">
                  <c:v>43.750911700000003</c:v>
                </c:pt>
                <c:pt idx="9">
                  <c:v>47.276437799999997</c:v>
                </c:pt>
                <c:pt idx="10">
                  <c:v>47.484215499999991</c:v>
                </c:pt>
                <c:pt idx="11">
                  <c:v>45.222235300000001</c:v>
                </c:pt>
                <c:pt idx="12">
                  <c:v>42.843803999999999</c:v>
                </c:pt>
                <c:pt idx="13">
                  <c:v>39.079338800000002</c:v>
                </c:pt>
                <c:pt idx="14">
                  <c:v>35.492348799999995</c:v>
                </c:pt>
                <c:pt idx="15">
                  <c:v>38.278691999999999</c:v>
                </c:pt>
                <c:pt idx="16">
                  <c:v>38.703325300000003</c:v>
                </c:pt>
                <c:pt idx="17">
                  <c:v>32.463842899999996</c:v>
                </c:pt>
                <c:pt idx="18">
                  <c:v>33.957386399999997</c:v>
                </c:pt>
                <c:pt idx="19">
                  <c:v>34.242099400000001</c:v>
                </c:pt>
                <c:pt idx="20">
                  <c:v>36.840957099999997</c:v>
                </c:pt>
                <c:pt idx="21">
                  <c:v>30.140939200000002</c:v>
                </c:pt>
                <c:pt idx="22">
                  <c:v>34.580211699999992</c:v>
                </c:pt>
                <c:pt idx="23">
                  <c:v>29.783150599999999</c:v>
                </c:pt>
                <c:pt idx="24">
                  <c:v>27.553774299999997</c:v>
                </c:pt>
                <c:pt idx="25">
                  <c:v>32.131487900000003</c:v>
                </c:pt>
                <c:pt idx="26">
                  <c:v>30.242709599999994</c:v>
                </c:pt>
                <c:pt idx="27">
                  <c:v>28.859097899999995</c:v>
                </c:pt>
                <c:pt idx="28">
                  <c:v>40.845283600000002</c:v>
                </c:pt>
              </c:numCache>
            </c:numRef>
          </c:xVal>
          <c:yVal>
            <c:numRef>
              <c:f>'10OBU'!$L$4:$L$32</c:f>
              <c:numCache>
                <c:formatCode>0.0</c:formatCode>
                <c:ptCount val="29"/>
                <c:pt idx="0">
                  <c:v>61.111111111111114</c:v>
                </c:pt>
                <c:pt idx="1">
                  <c:v>64.444444444444443</c:v>
                </c:pt>
                <c:pt idx="2">
                  <c:v>60</c:v>
                </c:pt>
                <c:pt idx="3">
                  <c:v>60</c:v>
                </c:pt>
                <c:pt idx="4">
                  <c:v>54</c:v>
                </c:pt>
                <c:pt idx="5">
                  <c:v>57.000000000000007</c:v>
                </c:pt>
                <c:pt idx="6">
                  <c:v>64</c:v>
                </c:pt>
                <c:pt idx="7">
                  <c:v>61</c:v>
                </c:pt>
                <c:pt idx="8">
                  <c:v>64.444444444444443</c:v>
                </c:pt>
                <c:pt idx="9">
                  <c:v>68</c:v>
                </c:pt>
                <c:pt idx="10">
                  <c:v>59.000000000000007</c:v>
                </c:pt>
                <c:pt idx="11">
                  <c:v>68</c:v>
                </c:pt>
                <c:pt idx="12">
                  <c:v>60</c:v>
                </c:pt>
                <c:pt idx="13">
                  <c:v>63</c:v>
                </c:pt>
                <c:pt idx="14">
                  <c:v>53</c:v>
                </c:pt>
                <c:pt idx="15">
                  <c:v>70</c:v>
                </c:pt>
                <c:pt idx="16">
                  <c:v>55.999999999999993</c:v>
                </c:pt>
                <c:pt idx="17">
                  <c:v>54</c:v>
                </c:pt>
                <c:pt idx="18">
                  <c:v>51</c:v>
                </c:pt>
                <c:pt idx="19">
                  <c:v>55.999999999999993</c:v>
                </c:pt>
                <c:pt idx="20">
                  <c:v>63.333333333333329</c:v>
                </c:pt>
                <c:pt idx="21">
                  <c:v>63</c:v>
                </c:pt>
                <c:pt idx="22">
                  <c:v>57.999999999999993</c:v>
                </c:pt>
                <c:pt idx="23">
                  <c:v>52</c:v>
                </c:pt>
                <c:pt idx="24">
                  <c:v>63</c:v>
                </c:pt>
                <c:pt idx="25">
                  <c:v>57.000000000000007</c:v>
                </c:pt>
                <c:pt idx="26">
                  <c:v>59.000000000000007</c:v>
                </c:pt>
                <c:pt idx="27">
                  <c:v>70</c:v>
                </c:pt>
                <c:pt idx="28">
                  <c:v>61.111111111111114</c:v>
                </c:pt>
              </c:numCache>
            </c:numRef>
          </c:yVal>
        </c:ser>
        <c:axId val="125761408"/>
        <c:axId val="125853696"/>
      </c:scatterChart>
      <c:valAx>
        <c:axId val="125761408"/>
        <c:scaling>
          <c:orientation val="minMax"/>
        </c:scaling>
        <c:axPos val="b"/>
        <c:majorGridlines/>
        <c:numFmt formatCode="General" sourceLinked="1"/>
        <c:tickLblPos val="nextTo"/>
        <c:crossAx val="125853696"/>
        <c:crosses val="autoZero"/>
        <c:crossBetween val="midCat"/>
      </c:valAx>
      <c:valAx>
        <c:axId val="125853696"/>
        <c:scaling>
          <c:orientation val="minMax"/>
          <c:max val="100"/>
          <c:min val="0"/>
        </c:scaling>
        <c:axPos val="l"/>
        <c:majorGridlines/>
        <c:numFmt formatCode="0" sourceLinked="0"/>
        <c:tickLblPos val="nextTo"/>
        <c:crossAx val="125761408"/>
        <c:crosses val="autoZero"/>
        <c:crossBetween val="midCat"/>
      </c:valAx>
    </c:plotArea>
    <c:legend>
      <c:legendPos val="r"/>
    </c:legend>
    <c:plotVisOnly val="1"/>
  </c:chart>
  <c:printSettings>
    <c:headerFooter/>
    <c:pageMargins b="0.75000000000000488" l="0.70000000000000062" r="0.70000000000000062" t="0.75000000000000488"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PSR</a:t>
            </a:r>
            <a:endParaRPr lang="en-US"/>
          </a:p>
        </c:rich>
      </c:tx>
    </c:title>
    <c:plotArea>
      <c:layout/>
      <c:scatterChart>
        <c:scatterStyle val="lineMarker"/>
        <c:ser>
          <c:idx val="0"/>
          <c:order val="0"/>
          <c:tx>
            <c:v>RSU-PDR Vs. PSR</c:v>
          </c:tx>
          <c:spPr>
            <a:ln w="28575">
              <a:noFill/>
            </a:ln>
          </c:spPr>
          <c:marker>
            <c:spPr>
              <a:solidFill>
                <a:srgbClr val="C00000"/>
              </a:solidFill>
            </c:spPr>
          </c:marker>
          <c:xVal>
            <c:numRef>
              <c:f>'10OBU'!$D$4:$D$32</c:f>
              <c:numCache>
                <c:formatCode>0.00</c:formatCode>
                <c:ptCount val="29"/>
                <c:pt idx="0">
                  <c:v>100</c:v>
                </c:pt>
                <c:pt idx="1">
                  <c:v>90</c:v>
                </c:pt>
                <c:pt idx="2">
                  <c:v>100</c:v>
                </c:pt>
                <c:pt idx="3">
                  <c:v>100</c:v>
                </c:pt>
                <c:pt idx="4">
                  <c:v>100</c:v>
                </c:pt>
                <c:pt idx="5">
                  <c:v>100</c:v>
                </c:pt>
                <c:pt idx="6">
                  <c:v>100</c:v>
                </c:pt>
                <c:pt idx="7">
                  <c:v>100</c:v>
                </c:pt>
                <c:pt idx="8">
                  <c:v>90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90</c:v>
                </c:pt>
                <c:pt idx="23">
                  <c:v>100</c:v>
                </c:pt>
                <c:pt idx="24">
                  <c:v>100</c:v>
                </c:pt>
                <c:pt idx="25">
                  <c:v>100</c:v>
                </c:pt>
                <c:pt idx="26">
                  <c:v>100</c:v>
                </c:pt>
                <c:pt idx="27">
                  <c:v>100</c:v>
                </c:pt>
                <c:pt idx="28">
                  <c:v>100</c:v>
                </c:pt>
              </c:numCache>
            </c:numRef>
          </c:xVal>
          <c:yVal>
            <c:numRef>
              <c:f>'10OBU'!$L$4:$L$32</c:f>
              <c:numCache>
                <c:formatCode>0.0</c:formatCode>
                <c:ptCount val="29"/>
                <c:pt idx="0">
                  <c:v>61.111111111111114</c:v>
                </c:pt>
                <c:pt idx="1">
                  <c:v>64.444444444444443</c:v>
                </c:pt>
                <c:pt idx="2">
                  <c:v>60</c:v>
                </c:pt>
                <c:pt idx="3">
                  <c:v>60</c:v>
                </c:pt>
                <c:pt idx="4">
                  <c:v>54</c:v>
                </c:pt>
                <c:pt idx="5">
                  <c:v>57.000000000000007</c:v>
                </c:pt>
                <c:pt idx="6">
                  <c:v>64</c:v>
                </c:pt>
                <c:pt idx="7">
                  <c:v>61</c:v>
                </c:pt>
                <c:pt idx="8">
                  <c:v>64.444444444444443</c:v>
                </c:pt>
                <c:pt idx="9">
                  <c:v>68</c:v>
                </c:pt>
                <c:pt idx="10">
                  <c:v>59.000000000000007</c:v>
                </c:pt>
                <c:pt idx="11">
                  <c:v>68</c:v>
                </c:pt>
                <c:pt idx="12">
                  <c:v>60</c:v>
                </c:pt>
                <c:pt idx="13">
                  <c:v>63</c:v>
                </c:pt>
                <c:pt idx="14">
                  <c:v>53</c:v>
                </c:pt>
                <c:pt idx="15">
                  <c:v>70</c:v>
                </c:pt>
                <c:pt idx="16">
                  <c:v>55.999999999999993</c:v>
                </c:pt>
                <c:pt idx="17">
                  <c:v>54</c:v>
                </c:pt>
                <c:pt idx="18">
                  <c:v>51</c:v>
                </c:pt>
                <c:pt idx="19">
                  <c:v>55.999999999999993</c:v>
                </c:pt>
                <c:pt idx="20">
                  <c:v>63.333333333333329</c:v>
                </c:pt>
                <c:pt idx="21">
                  <c:v>63</c:v>
                </c:pt>
                <c:pt idx="22">
                  <c:v>57.999999999999993</c:v>
                </c:pt>
                <c:pt idx="23">
                  <c:v>52</c:v>
                </c:pt>
                <c:pt idx="24">
                  <c:v>63</c:v>
                </c:pt>
                <c:pt idx="25">
                  <c:v>57.000000000000007</c:v>
                </c:pt>
                <c:pt idx="26">
                  <c:v>59.000000000000007</c:v>
                </c:pt>
                <c:pt idx="27">
                  <c:v>70</c:v>
                </c:pt>
                <c:pt idx="28">
                  <c:v>61.111111111111114</c:v>
                </c:pt>
              </c:numCache>
            </c:numRef>
          </c:yVal>
        </c:ser>
        <c:axId val="125870848"/>
        <c:axId val="125895808"/>
      </c:scatterChart>
      <c:valAx>
        <c:axId val="125870848"/>
        <c:scaling>
          <c:orientation val="minMax"/>
          <c:max val="100"/>
          <c:min val="0"/>
        </c:scaling>
        <c:axPos val="b"/>
        <c:majorGridlines/>
        <c:numFmt formatCode="0" sourceLinked="0"/>
        <c:tickLblPos val="nextTo"/>
        <c:crossAx val="125895808"/>
        <c:crosses val="autoZero"/>
        <c:crossBetween val="midCat"/>
      </c:valAx>
      <c:valAx>
        <c:axId val="125895808"/>
        <c:scaling>
          <c:orientation val="minMax"/>
          <c:max val="100"/>
          <c:min val="0"/>
        </c:scaling>
        <c:axPos val="l"/>
        <c:majorGridlines/>
        <c:numFmt formatCode="0" sourceLinked="0"/>
        <c:tickLblPos val="nextTo"/>
        <c:crossAx val="125870848"/>
        <c:crosses val="autoZero"/>
        <c:crossBetween val="midCat"/>
      </c:valAx>
    </c:plotArea>
    <c:legend>
      <c:legendPos val="r"/>
    </c:legend>
    <c:plotVisOnly val="1"/>
  </c:chart>
  <c:printSettings>
    <c:headerFooter/>
    <c:pageMargins b="0.75000000000000488" l="0.70000000000000062" r="0.70000000000000062" t="0.75000000000000488"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RSU-PDSR Vs.</a:t>
            </a:r>
            <a:r>
              <a:rPr lang="en-US" baseline="0"/>
              <a:t> RSS</a:t>
            </a:r>
            <a:endParaRPr lang="en-US"/>
          </a:p>
        </c:rich>
      </c:tx>
    </c:title>
    <c:plotArea>
      <c:layout>
        <c:manualLayout>
          <c:layoutTarget val="inner"/>
          <c:xMode val="edge"/>
          <c:yMode val="edge"/>
          <c:x val="5.4135338345864661E-2"/>
          <c:y val="0.19480351414406533"/>
          <c:w val="0.71232569613009589"/>
          <c:h val="0.68921660834062359"/>
        </c:manualLayout>
      </c:layout>
      <c:scatterChart>
        <c:scatterStyle val="lineMarker"/>
        <c:ser>
          <c:idx val="1"/>
          <c:order val="0"/>
          <c:tx>
            <c:v>PDSR Vs RSS</c:v>
          </c:tx>
          <c:spPr>
            <a:ln w="28575">
              <a:noFill/>
            </a:ln>
          </c:spPr>
          <c:xVal>
            <c:numRef>
              <c:f>'10OBU'!$Q$4:$Q$32</c:f>
              <c:numCache>
                <c:formatCode>General</c:formatCode>
                <c:ptCount val="29"/>
                <c:pt idx="0">
                  <c:v>-71.049186800000001</c:v>
                </c:pt>
                <c:pt idx="1">
                  <c:v>-64.48514609999998</c:v>
                </c:pt>
                <c:pt idx="2">
                  <c:v>-64.673802800000004</c:v>
                </c:pt>
                <c:pt idx="3">
                  <c:v>-67.106717900000007</c:v>
                </c:pt>
                <c:pt idx="4">
                  <c:v>-62.086490500000004</c:v>
                </c:pt>
                <c:pt idx="5">
                  <c:v>-62.665520099999995</c:v>
                </c:pt>
                <c:pt idx="6">
                  <c:v>-59.47248410000001</c:v>
                </c:pt>
                <c:pt idx="7">
                  <c:v>-60.398580799999991</c:v>
                </c:pt>
                <c:pt idx="8">
                  <c:v>-60.249088299999997</c:v>
                </c:pt>
                <c:pt idx="9">
                  <c:v>-56.723562200000003</c:v>
                </c:pt>
                <c:pt idx="10">
                  <c:v>-56.515784500000009</c:v>
                </c:pt>
                <c:pt idx="11">
                  <c:v>-58.777764699999999</c:v>
                </c:pt>
                <c:pt idx="12">
                  <c:v>-61.156196000000001</c:v>
                </c:pt>
                <c:pt idx="13">
                  <c:v>-64.920661200000012</c:v>
                </c:pt>
                <c:pt idx="14">
                  <c:v>-68.507651199999998</c:v>
                </c:pt>
                <c:pt idx="15">
                  <c:v>-65.721307999999993</c:v>
                </c:pt>
                <c:pt idx="16">
                  <c:v>-65.296674700000011</c:v>
                </c:pt>
                <c:pt idx="17">
                  <c:v>-71.536157099999997</c:v>
                </c:pt>
                <c:pt idx="18">
                  <c:v>-70.04261360000001</c:v>
                </c:pt>
                <c:pt idx="19">
                  <c:v>-69.757900599999999</c:v>
                </c:pt>
                <c:pt idx="20">
                  <c:v>-67.159042900000003</c:v>
                </c:pt>
                <c:pt idx="21">
                  <c:v>-73.859060800000009</c:v>
                </c:pt>
                <c:pt idx="22">
                  <c:v>-69.419788299999993</c:v>
                </c:pt>
                <c:pt idx="23">
                  <c:v>-74.216849400000001</c:v>
                </c:pt>
                <c:pt idx="24">
                  <c:v>-76.446225699999999</c:v>
                </c:pt>
                <c:pt idx="25">
                  <c:v>-71.868512100000004</c:v>
                </c:pt>
                <c:pt idx="26">
                  <c:v>-73.757290399999974</c:v>
                </c:pt>
                <c:pt idx="27">
                  <c:v>-75.140902100000005</c:v>
                </c:pt>
                <c:pt idx="28">
                  <c:v>-63.154716399999984</c:v>
                </c:pt>
              </c:numCache>
            </c:numRef>
          </c:xVal>
          <c:yVal>
            <c:numRef>
              <c:f>'10OBU'!$G$4:$G$32</c:f>
              <c:numCache>
                <c:formatCode>0</c:formatCode>
                <c:ptCount val="29"/>
                <c:pt idx="0" formatCode="General">
                  <c:v>70</c:v>
                </c:pt>
                <c:pt idx="1">
                  <c:v>67.222222222222229</c:v>
                </c:pt>
                <c:pt idx="2" formatCode="General">
                  <c:v>60</c:v>
                </c:pt>
                <c:pt idx="3" formatCode="General">
                  <c:v>80</c:v>
                </c:pt>
                <c:pt idx="4" formatCode="General">
                  <c:v>85</c:v>
                </c:pt>
                <c:pt idx="5" formatCode="General">
                  <c:v>70</c:v>
                </c:pt>
                <c:pt idx="6" formatCode="General">
                  <c:v>85</c:v>
                </c:pt>
                <c:pt idx="7" formatCode="General">
                  <c:v>95</c:v>
                </c:pt>
                <c:pt idx="8">
                  <c:v>67.222222222222229</c:v>
                </c:pt>
                <c:pt idx="9" formatCode="General">
                  <c:v>85</c:v>
                </c:pt>
                <c:pt idx="10" formatCode="General">
                  <c:v>80</c:v>
                </c:pt>
                <c:pt idx="11" formatCode="General">
                  <c:v>70</c:v>
                </c:pt>
                <c:pt idx="12" formatCode="General">
                  <c:v>85</c:v>
                </c:pt>
                <c:pt idx="13" formatCode="General">
                  <c:v>75</c:v>
                </c:pt>
                <c:pt idx="14" formatCode="General">
                  <c:v>85</c:v>
                </c:pt>
                <c:pt idx="15" formatCode="General">
                  <c:v>80</c:v>
                </c:pt>
                <c:pt idx="16" formatCode="General">
                  <c:v>65</c:v>
                </c:pt>
                <c:pt idx="17" formatCode="General">
                  <c:v>70</c:v>
                </c:pt>
                <c:pt idx="18" formatCode="General">
                  <c:v>80</c:v>
                </c:pt>
                <c:pt idx="19" formatCode="General">
                  <c:v>65</c:v>
                </c:pt>
                <c:pt idx="20" formatCode="General">
                  <c:v>75</c:v>
                </c:pt>
                <c:pt idx="21" formatCode="General">
                  <c:v>80</c:v>
                </c:pt>
                <c:pt idx="22">
                  <c:v>83.888888888888886</c:v>
                </c:pt>
                <c:pt idx="23" formatCode="General">
                  <c:v>90</c:v>
                </c:pt>
                <c:pt idx="24" formatCode="General">
                  <c:v>90</c:v>
                </c:pt>
                <c:pt idx="25" formatCode="General">
                  <c:v>90</c:v>
                </c:pt>
                <c:pt idx="26" formatCode="General">
                  <c:v>60</c:v>
                </c:pt>
                <c:pt idx="27" formatCode="General">
                  <c:v>70</c:v>
                </c:pt>
                <c:pt idx="28" formatCode="General">
                  <c:v>75</c:v>
                </c:pt>
              </c:numCache>
            </c:numRef>
          </c:yVal>
        </c:ser>
        <c:axId val="125904384"/>
        <c:axId val="125917440"/>
      </c:scatterChart>
      <c:valAx>
        <c:axId val="125904384"/>
        <c:scaling>
          <c:orientation val="maxMin"/>
          <c:max val="-40"/>
          <c:min val="-100"/>
        </c:scaling>
        <c:axPos val="b"/>
        <c:majorGridlines/>
        <c:numFmt formatCode="General" sourceLinked="1"/>
        <c:tickLblPos val="nextTo"/>
        <c:crossAx val="125917440"/>
        <c:crosses val="autoZero"/>
        <c:crossBetween val="midCat"/>
      </c:valAx>
      <c:valAx>
        <c:axId val="125917440"/>
        <c:scaling>
          <c:orientation val="minMax"/>
          <c:max val="100"/>
          <c:min val="0"/>
        </c:scaling>
        <c:axPos val="r"/>
        <c:majorGridlines/>
        <c:numFmt formatCode="General" sourceLinked="1"/>
        <c:tickLblPos val="high"/>
        <c:crossAx val="125904384"/>
        <c:crosses val="autoZero"/>
        <c:crossBetween val="midCat"/>
      </c:valAx>
    </c:plotArea>
    <c:legend>
      <c:legendPos val="r"/>
    </c:legend>
    <c:plotVisOnly val="1"/>
  </c:chart>
  <c:printSettings>
    <c:headerFooter/>
    <c:pageMargins b="0.75000000000000488" l="0.70000000000000062" r="0.70000000000000062" t="0.75000000000000488" header="0.30000000000000032" footer="0.30000000000000032"/>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 RSS over Time</a:t>
            </a:r>
          </a:p>
        </c:rich>
      </c:tx>
    </c:title>
    <c:plotArea>
      <c:layout>
        <c:manualLayout>
          <c:layoutTarget val="inner"/>
          <c:xMode val="edge"/>
          <c:yMode val="edge"/>
          <c:x val="4.7443609022556434E-2"/>
          <c:y val="0.19480351414406533"/>
          <c:w val="0.77649345989519736"/>
          <c:h val="0.68921660834062359"/>
        </c:manualLayout>
      </c:layout>
      <c:scatterChart>
        <c:scatterStyle val="lineMarker"/>
        <c:ser>
          <c:idx val="0"/>
          <c:order val="0"/>
          <c:tx>
            <c:v>RSU- RSS</c:v>
          </c:tx>
          <c:spPr>
            <a:ln w="28575">
              <a:noFill/>
            </a:ln>
          </c:spPr>
          <c:xVal>
            <c:numRef>
              <c:f>'100OBU'!$A$3:$A$32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'10OBU'!$Q$3:$Q$32</c:f>
              <c:numCache>
                <c:formatCode>General</c:formatCode>
                <c:ptCount val="30"/>
                <c:pt idx="0">
                  <c:v>0</c:v>
                </c:pt>
                <c:pt idx="1">
                  <c:v>-71.049186800000001</c:v>
                </c:pt>
                <c:pt idx="2">
                  <c:v>-64.48514609999998</c:v>
                </c:pt>
                <c:pt idx="3">
                  <c:v>-64.673802800000004</c:v>
                </c:pt>
                <c:pt idx="4">
                  <c:v>-67.106717900000007</c:v>
                </c:pt>
                <c:pt idx="5">
                  <c:v>-62.086490500000004</c:v>
                </c:pt>
                <c:pt idx="6">
                  <c:v>-62.665520099999995</c:v>
                </c:pt>
                <c:pt idx="7">
                  <c:v>-59.47248410000001</c:v>
                </c:pt>
                <c:pt idx="8">
                  <c:v>-60.398580799999991</c:v>
                </c:pt>
                <c:pt idx="9">
                  <c:v>-60.249088299999997</c:v>
                </c:pt>
                <c:pt idx="10">
                  <c:v>-56.723562200000003</c:v>
                </c:pt>
                <c:pt idx="11">
                  <c:v>-56.515784500000009</c:v>
                </c:pt>
                <c:pt idx="12">
                  <c:v>-58.777764699999999</c:v>
                </c:pt>
                <c:pt idx="13">
                  <c:v>-61.156196000000001</c:v>
                </c:pt>
                <c:pt idx="14">
                  <c:v>-64.920661200000012</c:v>
                </c:pt>
                <c:pt idx="15">
                  <c:v>-68.507651199999998</c:v>
                </c:pt>
                <c:pt idx="16">
                  <c:v>-65.721307999999993</c:v>
                </c:pt>
                <c:pt idx="17">
                  <c:v>-65.296674700000011</c:v>
                </c:pt>
                <c:pt idx="18">
                  <c:v>-71.536157099999997</c:v>
                </c:pt>
                <c:pt idx="19">
                  <c:v>-70.04261360000001</c:v>
                </c:pt>
                <c:pt idx="20">
                  <c:v>-69.757900599999999</c:v>
                </c:pt>
                <c:pt idx="21">
                  <c:v>-67.159042900000003</c:v>
                </c:pt>
                <c:pt idx="22">
                  <c:v>-73.859060800000009</c:v>
                </c:pt>
                <c:pt idx="23">
                  <c:v>-69.419788299999993</c:v>
                </c:pt>
                <c:pt idx="24">
                  <c:v>-74.216849400000001</c:v>
                </c:pt>
                <c:pt idx="25">
                  <c:v>-76.446225699999999</c:v>
                </c:pt>
                <c:pt idx="26">
                  <c:v>-71.868512100000004</c:v>
                </c:pt>
                <c:pt idx="27">
                  <c:v>-73.757290399999974</c:v>
                </c:pt>
                <c:pt idx="28">
                  <c:v>-75.140902100000005</c:v>
                </c:pt>
                <c:pt idx="29">
                  <c:v>-63.154716399999984</c:v>
                </c:pt>
              </c:numCache>
            </c:numRef>
          </c:yVal>
        </c:ser>
        <c:axId val="125934208"/>
        <c:axId val="149360000"/>
      </c:scatterChart>
      <c:valAx>
        <c:axId val="125934208"/>
        <c:scaling>
          <c:orientation val="minMax"/>
        </c:scaling>
        <c:axPos val="b"/>
        <c:majorGridlines/>
        <c:numFmt formatCode="0" sourceLinked="0"/>
        <c:tickLblPos val="low"/>
        <c:crossAx val="149360000"/>
        <c:crosses val="autoZero"/>
        <c:crossBetween val="midCat"/>
      </c:valAx>
      <c:valAx>
        <c:axId val="149360000"/>
        <c:scaling>
          <c:orientation val="minMax"/>
        </c:scaling>
        <c:axPos val="l"/>
        <c:majorGridlines/>
        <c:numFmt formatCode="General" sourceLinked="1"/>
        <c:tickLblPos val="low"/>
        <c:crossAx val="125934208"/>
        <c:crosses val="autoZero"/>
        <c:crossBetween val="midCat"/>
      </c:valAx>
    </c:plotArea>
    <c:legend>
      <c:legendPos val="r"/>
    </c:legend>
    <c:plotVisOnly val="1"/>
  </c:chart>
  <c:printSettings>
    <c:headerFooter/>
    <c:pageMargins b="0.75000000000000755" l="0.70000000000000062" r="0.70000000000000062" t="0.75000000000000755" header="0.30000000000000032" footer="0.30000000000000032"/>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RSS</a:t>
            </a:r>
            <a:endParaRPr lang="en-US"/>
          </a:p>
        </c:rich>
      </c:tx>
      <c:layout/>
    </c:title>
    <c:plotArea>
      <c:layout/>
      <c:scatterChart>
        <c:scatterStyle val="lineMarker"/>
        <c:ser>
          <c:idx val="0"/>
          <c:order val="0"/>
          <c:tx>
            <c:strRef>
              <c:f>'10OBU'!$F$2</c:f>
              <c:strCache>
                <c:ptCount val="1"/>
                <c:pt idx="0">
                  <c:v>Car-PDR (%)</c:v>
                </c:pt>
              </c:strCache>
            </c:strRef>
          </c:tx>
          <c:spPr>
            <a:ln w="28575">
              <a:noFill/>
            </a:ln>
          </c:spPr>
          <c:xVal>
            <c:numRef>
              <c:f>'20OBU'!$O$4:$O$32</c:f>
              <c:numCache>
                <c:formatCode>General</c:formatCode>
                <c:ptCount val="29"/>
                <c:pt idx="0">
                  <c:v>-67.819297100000014</c:v>
                </c:pt>
                <c:pt idx="1">
                  <c:v>-66.017478850000003</c:v>
                </c:pt>
                <c:pt idx="2">
                  <c:v>-64.083302750000001</c:v>
                </c:pt>
                <c:pt idx="3">
                  <c:v>-63.706507150000007</c:v>
                </c:pt>
                <c:pt idx="4">
                  <c:v>-64.010490400000009</c:v>
                </c:pt>
                <c:pt idx="5">
                  <c:v>-61.666154849999998</c:v>
                </c:pt>
                <c:pt idx="6">
                  <c:v>-61.673017500000014</c:v>
                </c:pt>
                <c:pt idx="7">
                  <c:v>-58.838063999999996</c:v>
                </c:pt>
                <c:pt idx="8">
                  <c:v>-58.311061700000003</c:v>
                </c:pt>
                <c:pt idx="9">
                  <c:v>-57.011062300000013</c:v>
                </c:pt>
                <c:pt idx="10">
                  <c:v>-57.668125549999999</c:v>
                </c:pt>
                <c:pt idx="11">
                  <c:v>-56.121236249999995</c:v>
                </c:pt>
                <c:pt idx="12">
                  <c:v>-59.700273100000004</c:v>
                </c:pt>
                <c:pt idx="13">
                  <c:v>-57.954499050000003</c:v>
                </c:pt>
                <c:pt idx="14">
                  <c:v>-57.723630150000005</c:v>
                </c:pt>
                <c:pt idx="15">
                  <c:v>-60.652309700000011</c:v>
                </c:pt>
                <c:pt idx="16">
                  <c:v>-60.750856799999994</c:v>
                </c:pt>
                <c:pt idx="17">
                  <c:v>-61.536293050000005</c:v>
                </c:pt>
                <c:pt idx="18">
                  <c:v>-62.962038100000008</c:v>
                </c:pt>
                <c:pt idx="19">
                  <c:v>-61.803317499999977</c:v>
                </c:pt>
                <c:pt idx="20">
                  <c:v>-64.157763950000003</c:v>
                </c:pt>
                <c:pt idx="21">
                  <c:v>-65.173651850000013</c:v>
                </c:pt>
                <c:pt idx="22">
                  <c:v>-66.207460049999995</c:v>
                </c:pt>
                <c:pt idx="23">
                  <c:v>-67.830161199999992</c:v>
                </c:pt>
                <c:pt idx="24">
                  <c:v>-66.092305750000008</c:v>
                </c:pt>
                <c:pt idx="25">
                  <c:v>-66.801608200000004</c:v>
                </c:pt>
                <c:pt idx="26">
                  <c:v>-67.023038800000009</c:v>
                </c:pt>
                <c:pt idx="27">
                  <c:v>-70.070329300000012</c:v>
                </c:pt>
                <c:pt idx="28">
                  <c:v>-70.117471999999992</c:v>
                </c:pt>
              </c:numCache>
            </c:numRef>
          </c:xVal>
          <c:yVal>
            <c:numRef>
              <c:f>'20OBU'!$F$4:$F$32</c:f>
              <c:numCache>
                <c:formatCode>General</c:formatCode>
                <c:ptCount val="29"/>
                <c:pt idx="0">
                  <c:v>20</c:v>
                </c:pt>
                <c:pt idx="1">
                  <c:v>10</c:v>
                </c:pt>
                <c:pt idx="2">
                  <c:v>40</c:v>
                </c:pt>
                <c:pt idx="3" formatCode="0">
                  <c:v>44.444444444444443</c:v>
                </c:pt>
                <c:pt idx="4" formatCode="0">
                  <c:v>20</c:v>
                </c:pt>
                <c:pt idx="5" formatCode="0">
                  <c:v>60</c:v>
                </c:pt>
                <c:pt idx="6" formatCode="0">
                  <c:v>30</c:v>
                </c:pt>
                <c:pt idx="7" formatCode="0">
                  <c:v>40</c:v>
                </c:pt>
                <c:pt idx="8" formatCode="0">
                  <c:v>40</c:v>
                </c:pt>
                <c:pt idx="9" formatCode="0">
                  <c:v>10</c:v>
                </c:pt>
                <c:pt idx="10" formatCode="0">
                  <c:v>80</c:v>
                </c:pt>
                <c:pt idx="11" formatCode="0">
                  <c:v>70</c:v>
                </c:pt>
                <c:pt idx="12" formatCode="0">
                  <c:v>60</c:v>
                </c:pt>
                <c:pt idx="13" formatCode="0">
                  <c:v>44.444444444444443</c:v>
                </c:pt>
                <c:pt idx="14" formatCode="0">
                  <c:v>40</c:v>
                </c:pt>
                <c:pt idx="15" formatCode="0">
                  <c:v>40</c:v>
                </c:pt>
                <c:pt idx="16" formatCode="0">
                  <c:v>90</c:v>
                </c:pt>
                <c:pt idx="17" formatCode="0">
                  <c:v>62.5</c:v>
                </c:pt>
                <c:pt idx="18" formatCode="0">
                  <c:v>70</c:v>
                </c:pt>
                <c:pt idx="19" formatCode="0">
                  <c:v>80</c:v>
                </c:pt>
                <c:pt idx="20" formatCode="0">
                  <c:v>40</c:v>
                </c:pt>
                <c:pt idx="21" formatCode="0">
                  <c:v>40</c:v>
                </c:pt>
                <c:pt idx="22" formatCode="0">
                  <c:v>70</c:v>
                </c:pt>
                <c:pt idx="23" formatCode="0">
                  <c:v>44.444444444444443</c:v>
                </c:pt>
                <c:pt idx="24">
                  <c:v>60</c:v>
                </c:pt>
                <c:pt idx="25">
                  <c:v>60</c:v>
                </c:pt>
                <c:pt idx="26">
                  <c:v>90</c:v>
                </c:pt>
                <c:pt idx="27">
                  <c:v>70</c:v>
                </c:pt>
                <c:pt idx="28">
                  <c:v>50</c:v>
                </c:pt>
              </c:numCache>
            </c:numRef>
          </c:yVal>
        </c:ser>
        <c:axId val="149399040"/>
        <c:axId val="149406848"/>
      </c:scatterChart>
      <c:valAx>
        <c:axId val="149399040"/>
        <c:scaling>
          <c:orientation val="maxMin"/>
          <c:max val="0"/>
          <c:min val="-100"/>
        </c:scaling>
        <c:axPos val="b"/>
        <c:majorGridlines/>
        <c:numFmt formatCode="General" sourceLinked="1"/>
        <c:tickLblPos val="nextTo"/>
        <c:crossAx val="149406848"/>
        <c:crosses val="autoZero"/>
        <c:crossBetween val="midCat"/>
      </c:valAx>
      <c:valAx>
        <c:axId val="149406848"/>
        <c:scaling>
          <c:orientation val="minMax"/>
          <c:max val="100"/>
          <c:min val="0"/>
        </c:scaling>
        <c:axPos val="r"/>
        <c:majorGridlines/>
        <c:numFmt formatCode="General" sourceLinked="1"/>
        <c:tickLblPos val="high"/>
        <c:crossAx val="149399040"/>
        <c:crosses val="autoZero"/>
        <c:crossBetween val="midCat"/>
      </c:valAx>
    </c:plotArea>
    <c:legend>
      <c:legendPos val="r"/>
      <c:layout/>
    </c:legend>
    <c:plotVisOnly val="1"/>
  </c:chart>
  <c:printSettings>
    <c:headerFooter/>
    <c:pageMargins b="0.75000000000000488" l="0.70000000000000062" r="0.70000000000000062" t="0.75000000000000488"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 SNR</a:t>
            </a:r>
          </a:p>
        </c:rich>
      </c:tx>
      <c:layout/>
    </c:title>
    <c:plotArea>
      <c:layout/>
      <c:scatterChart>
        <c:scatterStyle val="lineMarker"/>
        <c:ser>
          <c:idx val="0"/>
          <c:order val="0"/>
          <c:tx>
            <c:strRef>
              <c:f>'1OBU'!$F$2</c:f>
              <c:strCache>
                <c:ptCount val="1"/>
                <c:pt idx="0">
                  <c:v>Car-PDR (%)</c:v>
                </c:pt>
              </c:strCache>
            </c:strRef>
          </c:tx>
          <c:spPr>
            <a:ln w="28575">
              <a:noFill/>
            </a:ln>
          </c:spPr>
          <c:xVal>
            <c:numRef>
              <c:f>'1OBU'!$P$3:$P$32</c:f>
              <c:numCache>
                <c:formatCode>General</c:formatCode>
                <c:ptCount val="30"/>
                <c:pt idx="0">
                  <c:v>0</c:v>
                </c:pt>
                <c:pt idx="1">
                  <c:v>34.105455966666661</c:v>
                </c:pt>
                <c:pt idx="2">
                  <c:v>38.101489000000008</c:v>
                </c:pt>
                <c:pt idx="3">
                  <c:v>36.725056500000001</c:v>
                </c:pt>
                <c:pt idx="4">
                  <c:v>37.6187076</c:v>
                </c:pt>
                <c:pt idx="5">
                  <c:v>36.458565233333324</c:v>
                </c:pt>
                <c:pt idx="6">
                  <c:v>36.835946533333335</c:v>
                </c:pt>
                <c:pt idx="7">
                  <c:v>37.258225300000007</c:v>
                </c:pt>
                <c:pt idx="8">
                  <c:v>39.096217033333332</c:v>
                </c:pt>
                <c:pt idx="9">
                  <c:v>39.379755466666673</c:v>
                </c:pt>
                <c:pt idx="10">
                  <c:v>38.192171866666669</c:v>
                </c:pt>
                <c:pt idx="11">
                  <c:v>40.47957156666665</c:v>
                </c:pt>
                <c:pt idx="12">
                  <c:v>37.71439306666668</c:v>
                </c:pt>
                <c:pt idx="13">
                  <c:v>36.284656466666661</c:v>
                </c:pt>
                <c:pt idx="14">
                  <c:v>34.830040399999994</c:v>
                </c:pt>
                <c:pt idx="15">
                  <c:v>35.764422999999994</c:v>
                </c:pt>
                <c:pt idx="16">
                  <c:v>35.502024766666658</c:v>
                </c:pt>
                <c:pt idx="17">
                  <c:v>34.897173133333332</c:v>
                </c:pt>
                <c:pt idx="18">
                  <c:v>33.602288399999992</c:v>
                </c:pt>
                <c:pt idx="19">
                  <c:v>31.15828703333333</c:v>
                </c:pt>
                <c:pt idx="20">
                  <c:v>31.727441000000002</c:v>
                </c:pt>
                <c:pt idx="21">
                  <c:v>31.917963400000009</c:v>
                </c:pt>
                <c:pt idx="22">
                  <c:v>29.693910933333328</c:v>
                </c:pt>
                <c:pt idx="23">
                  <c:v>29.364545400000001</c:v>
                </c:pt>
                <c:pt idx="24">
                  <c:v>30.545641100000001</c:v>
                </c:pt>
                <c:pt idx="25">
                  <c:v>28.648412</c:v>
                </c:pt>
                <c:pt idx="26">
                  <c:v>27.564651000000001</c:v>
                </c:pt>
                <c:pt idx="27">
                  <c:v>28.368711099999999</c:v>
                </c:pt>
                <c:pt idx="28">
                  <c:v>25.165465409999999</c:v>
                </c:pt>
                <c:pt idx="29">
                  <c:v>22.644841379999999</c:v>
                </c:pt>
              </c:numCache>
            </c:numRef>
          </c:xVal>
          <c:yVal>
            <c:numRef>
              <c:f>'1OBU'!$F$3:$F$32</c:f>
              <c:numCache>
                <c:formatCode>0.00</c:formatCode>
                <c:ptCount val="30"/>
                <c:pt idx="0">
                  <c:v>0</c:v>
                </c:pt>
                <c:pt idx="1">
                  <c:v>100</c:v>
                </c:pt>
                <c:pt idx="2">
                  <c:v>100</c:v>
                </c:pt>
                <c:pt idx="3">
                  <c:v>100</c:v>
                </c:pt>
                <c:pt idx="4">
                  <c:v>100</c:v>
                </c:pt>
                <c:pt idx="5">
                  <c:v>100</c:v>
                </c:pt>
                <c:pt idx="6">
                  <c:v>100</c:v>
                </c:pt>
                <c:pt idx="7">
                  <c:v>100</c:v>
                </c:pt>
                <c:pt idx="8">
                  <c:v>100</c:v>
                </c:pt>
                <c:pt idx="9">
                  <c:v>80</c:v>
                </c:pt>
                <c:pt idx="10">
                  <c:v>100</c:v>
                </c:pt>
                <c:pt idx="11">
                  <c:v>100</c:v>
                </c:pt>
                <c:pt idx="12">
                  <c:v>100</c:v>
                </c:pt>
                <c:pt idx="13">
                  <c:v>100</c:v>
                </c:pt>
                <c:pt idx="14">
                  <c:v>100</c:v>
                </c:pt>
                <c:pt idx="15">
                  <c:v>80</c:v>
                </c:pt>
                <c:pt idx="16">
                  <c:v>80</c:v>
                </c:pt>
                <c:pt idx="17">
                  <c:v>90</c:v>
                </c:pt>
                <c:pt idx="18">
                  <c:v>100</c:v>
                </c:pt>
                <c:pt idx="19">
                  <c:v>100</c:v>
                </c:pt>
                <c:pt idx="20">
                  <c:v>90</c:v>
                </c:pt>
                <c:pt idx="21">
                  <c:v>90</c:v>
                </c:pt>
                <c:pt idx="22">
                  <c:v>80</c:v>
                </c:pt>
                <c:pt idx="23">
                  <c:v>100</c:v>
                </c:pt>
                <c:pt idx="24">
                  <c:v>88.888888888888886</c:v>
                </c:pt>
                <c:pt idx="25">
                  <c:v>70</c:v>
                </c:pt>
                <c:pt idx="26">
                  <c:v>90</c:v>
                </c:pt>
                <c:pt idx="27">
                  <c:v>100</c:v>
                </c:pt>
                <c:pt idx="28">
                  <c:v>100</c:v>
                </c:pt>
                <c:pt idx="29">
                  <c:v>100</c:v>
                </c:pt>
              </c:numCache>
            </c:numRef>
          </c:yVal>
        </c:ser>
        <c:axId val="123920768"/>
        <c:axId val="123711488"/>
      </c:scatterChart>
      <c:valAx>
        <c:axId val="123920768"/>
        <c:scaling>
          <c:orientation val="minMax"/>
          <c:max val="50"/>
        </c:scaling>
        <c:axPos val="b"/>
        <c:majorGridlines/>
        <c:numFmt formatCode="General" sourceLinked="1"/>
        <c:tickLblPos val="nextTo"/>
        <c:crossAx val="123711488"/>
        <c:crosses val="autoZero"/>
        <c:crossBetween val="midCat"/>
      </c:valAx>
      <c:valAx>
        <c:axId val="123711488"/>
        <c:scaling>
          <c:orientation val="minMax"/>
          <c:max val="100"/>
          <c:min val="0"/>
        </c:scaling>
        <c:axPos val="l"/>
        <c:majorGridlines/>
        <c:numFmt formatCode="0" sourceLinked="0"/>
        <c:tickLblPos val="nextTo"/>
        <c:crossAx val="123920768"/>
        <c:crosses val="autoZero"/>
        <c:crossBetween val="midCat"/>
      </c:valAx>
    </c:plotArea>
    <c:legend>
      <c:legendPos val="r"/>
      <c:layout/>
    </c:legend>
    <c:plotVisOnly val="1"/>
  </c:chart>
  <c:printSettings>
    <c:headerFooter/>
    <c:pageMargins b="0.75000000000000466" l="0.70000000000000062" r="0.70000000000000062" t="0.75000000000000466"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 SNR</a:t>
            </a:r>
          </a:p>
        </c:rich>
      </c:tx>
      <c:layout/>
    </c:title>
    <c:plotArea>
      <c:layout/>
      <c:scatterChart>
        <c:scatterStyle val="lineMarker"/>
        <c:ser>
          <c:idx val="0"/>
          <c:order val="0"/>
          <c:tx>
            <c:strRef>
              <c:f>'10OBU'!$F$2</c:f>
              <c:strCache>
                <c:ptCount val="1"/>
                <c:pt idx="0">
                  <c:v>Car-PDR (%)</c:v>
                </c:pt>
              </c:strCache>
            </c:strRef>
          </c:tx>
          <c:spPr>
            <a:ln w="28575">
              <a:noFill/>
            </a:ln>
          </c:spPr>
          <c:xVal>
            <c:numRef>
              <c:f>'20OBU'!$P$4:$P$32</c:f>
              <c:numCache>
                <c:formatCode>General</c:formatCode>
                <c:ptCount val="29"/>
                <c:pt idx="0">
                  <c:v>36.180702900000007</c:v>
                </c:pt>
                <c:pt idx="1">
                  <c:v>37.982521150000011</c:v>
                </c:pt>
                <c:pt idx="2">
                  <c:v>39.916697250000006</c:v>
                </c:pt>
                <c:pt idx="3">
                  <c:v>40.29349285</c:v>
                </c:pt>
                <c:pt idx="4">
                  <c:v>39.989509599999998</c:v>
                </c:pt>
                <c:pt idx="5">
                  <c:v>42.333845149999988</c:v>
                </c:pt>
                <c:pt idx="6">
                  <c:v>42.3269825</c:v>
                </c:pt>
                <c:pt idx="7">
                  <c:v>45.161936000000004</c:v>
                </c:pt>
                <c:pt idx="8">
                  <c:v>45.688938300000004</c:v>
                </c:pt>
                <c:pt idx="9">
                  <c:v>46.988937699999994</c:v>
                </c:pt>
                <c:pt idx="10">
                  <c:v>46.331874450000001</c:v>
                </c:pt>
                <c:pt idx="11">
                  <c:v>47.878763750000005</c:v>
                </c:pt>
                <c:pt idx="12">
                  <c:v>44.299726900000003</c:v>
                </c:pt>
                <c:pt idx="13">
                  <c:v>46.045500950000005</c:v>
                </c:pt>
                <c:pt idx="14">
                  <c:v>46.276369850000009</c:v>
                </c:pt>
                <c:pt idx="15">
                  <c:v>43.347690299999989</c:v>
                </c:pt>
                <c:pt idx="16">
                  <c:v>43.249143199999992</c:v>
                </c:pt>
                <c:pt idx="17">
                  <c:v>42.463706950000002</c:v>
                </c:pt>
                <c:pt idx="18">
                  <c:v>41.037961900000006</c:v>
                </c:pt>
                <c:pt idx="19">
                  <c:v>42.196682499999994</c:v>
                </c:pt>
                <c:pt idx="20">
                  <c:v>39.842236050000011</c:v>
                </c:pt>
                <c:pt idx="21">
                  <c:v>38.826348149999994</c:v>
                </c:pt>
                <c:pt idx="22">
                  <c:v>37.792539949999991</c:v>
                </c:pt>
                <c:pt idx="23">
                  <c:v>36.169838799999994</c:v>
                </c:pt>
                <c:pt idx="24">
                  <c:v>37.907694250000006</c:v>
                </c:pt>
                <c:pt idx="25">
                  <c:v>37.198391800000003</c:v>
                </c:pt>
                <c:pt idx="26">
                  <c:v>36.976961200000012</c:v>
                </c:pt>
                <c:pt idx="27">
                  <c:v>33.929670700000003</c:v>
                </c:pt>
                <c:pt idx="28">
                  <c:v>33.882527999999994</c:v>
                </c:pt>
              </c:numCache>
            </c:numRef>
          </c:xVal>
          <c:yVal>
            <c:numRef>
              <c:f>'20OBU'!$F$4:$F$32</c:f>
              <c:numCache>
                <c:formatCode>General</c:formatCode>
                <c:ptCount val="29"/>
                <c:pt idx="0">
                  <c:v>20</c:v>
                </c:pt>
                <c:pt idx="1">
                  <c:v>10</c:v>
                </c:pt>
                <c:pt idx="2">
                  <c:v>40</c:v>
                </c:pt>
                <c:pt idx="3" formatCode="0">
                  <c:v>44.444444444444443</c:v>
                </c:pt>
                <c:pt idx="4" formatCode="0">
                  <c:v>20</c:v>
                </c:pt>
                <c:pt idx="5" formatCode="0">
                  <c:v>60</c:v>
                </c:pt>
                <c:pt idx="6" formatCode="0">
                  <c:v>30</c:v>
                </c:pt>
                <c:pt idx="7" formatCode="0">
                  <c:v>40</c:v>
                </c:pt>
                <c:pt idx="8" formatCode="0">
                  <c:v>40</c:v>
                </c:pt>
                <c:pt idx="9" formatCode="0">
                  <c:v>10</c:v>
                </c:pt>
                <c:pt idx="10" formatCode="0">
                  <c:v>80</c:v>
                </c:pt>
                <c:pt idx="11" formatCode="0">
                  <c:v>70</c:v>
                </c:pt>
                <c:pt idx="12" formatCode="0">
                  <c:v>60</c:v>
                </c:pt>
                <c:pt idx="13" formatCode="0">
                  <c:v>44.444444444444443</c:v>
                </c:pt>
                <c:pt idx="14" formatCode="0">
                  <c:v>40</c:v>
                </c:pt>
                <c:pt idx="15" formatCode="0">
                  <c:v>40</c:v>
                </c:pt>
                <c:pt idx="16" formatCode="0">
                  <c:v>90</c:v>
                </c:pt>
                <c:pt idx="17" formatCode="0">
                  <c:v>62.5</c:v>
                </c:pt>
                <c:pt idx="18" formatCode="0">
                  <c:v>70</c:v>
                </c:pt>
                <c:pt idx="19" formatCode="0">
                  <c:v>80</c:v>
                </c:pt>
                <c:pt idx="20" formatCode="0">
                  <c:v>40</c:v>
                </c:pt>
                <c:pt idx="21" formatCode="0">
                  <c:v>40</c:v>
                </c:pt>
                <c:pt idx="22" formatCode="0">
                  <c:v>70</c:v>
                </c:pt>
                <c:pt idx="23" formatCode="0">
                  <c:v>44.444444444444443</c:v>
                </c:pt>
                <c:pt idx="24">
                  <c:v>60</c:v>
                </c:pt>
                <c:pt idx="25">
                  <c:v>60</c:v>
                </c:pt>
                <c:pt idx="26">
                  <c:v>90</c:v>
                </c:pt>
                <c:pt idx="27">
                  <c:v>70</c:v>
                </c:pt>
                <c:pt idx="28">
                  <c:v>50</c:v>
                </c:pt>
              </c:numCache>
            </c:numRef>
          </c:yVal>
        </c:ser>
        <c:axId val="149441152"/>
        <c:axId val="149448960"/>
      </c:scatterChart>
      <c:valAx>
        <c:axId val="149441152"/>
        <c:scaling>
          <c:orientation val="minMax"/>
          <c:max val="50"/>
        </c:scaling>
        <c:axPos val="b"/>
        <c:majorGridlines/>
        <c:numFmt formatCode="General" sourceLinked="1"/>
        <c:tickLblPos val="nextTo"/>
        <c:crossAx val="149448960"/>
        <c:crosses val="autoZero"/>
        <c:crossBetween val="midCat"/>
      </c:valAx>
      <c:valAx>
        <c:axId val="149448960"/>
        <c:scaling>
          <c:orientation val="minMax"/>
          <c:max val="100"/>
          <c:min val="0"/>
        </c:scaling>
        <c:axPos val="l"/>
        <c:majorGridlines/>
        <c:numFmt formatCode="General" sourceLinked="1"/>
        <c:tickLblPos val="nextTo"/>
        <c:crossAx val="149441152"/>
        <c:crosses val="autoZero"/>
        <c:crossBetween val="midCat"/>
      </c:valAx>
    </c:plotArea>
    <c:legend>
      <c:legendPos val="r"/>
      <c:layout/>
    </c:legend>
    <c:plotVisOnly val="1"/>
  </c:chart>
  <c:printSettings>
    <c:headerFooter/>
    <c:pageMargins b="0.75000000000000511" l="0.70000000000000062" r="0.70000000000000062" t="0.75000000000000511" header="0.30000000000000032" footer="0.30000000000000032"/>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PSR</a:t>
            </a:r>
            <a:endParaRPr lang="en-US"/>
          </a:p>
        </c:rich>
      </c:tx>
      <c:layout/>
    </c:title>
    <c:plotArea>
      <c:layout/>
      <c:scatterChart>
        <c:scatterStyle val="lineMarker"/>
        <c:ser>
          <c:idx val="0"/>
          <c:order val="0"/>
          <c:tx>
            <c:strRef>
              <c:f>'10OBU'!$F$2</c:f>
              <c:strCache>
                <c:ptCount val="1"/>
                <c:pt idx="0">
                  <c:v>Car-PDR (%)</c:v>
                </c:pt>
              </c:strCache>
            </c:strRef>
          </c:tx>
          <c:spPr>
            <a:ln w="28575">
              <a:noFill/>
            </a:ln>
          </c:spPr>
          <c:xVal>
            <c:numRef>
              <c:f>'20OBU'!$J$3:$J$32</c:f>
              <c:numCache>
                <c:formatCode>General</c:formatCode>
                <c:ptCount val="30"/>
                <c:pt idx="0">
                  <c:v>0</c:v>
                </c:pt>
                <c:pt idx="1">
                  <c:v>90</c:v>
                </c:pt>
                <c:pt idx="2">
                  <c:v>100</c:v>
                </c:pt>
                <c:pt idx="3">
                  <c:v>100</c:v>
                </c:pt>
                <c:pt idx="4">
                  <c:v>90</c:v>
                </c:pt>
                <c:pt idx="5">
                  <c:v>100</c:v>
                </c:pt>
                <c:pt idx="6">
                  <c:v>100</c:v>
                </c:pt>
                <c:pt idx="7">
                  <c:v>100</c:v>
                </c:pt>
                <c:pt idx="8">
                  <c:v>100</c:v>
                </c:pt>
                <c:pt idx="9">
                  <c:v>100</c:v>
                </c:pt>
                <c:pt idx="10">
                  <c:v>100</c:v>
                </c:pt>
                <c:pt idx="11">
                  <c:v>100</c:v>
                </c:pt>
                <c:pt idx="12">
                  <c:v>90</c:v>
                </c:pt>
                <c:pt idx="13">
                  <c:v>100</c:v>
                </c:pt>
                <c:pt idx="14">
                  <c:v>100</c:v>
                </c:pt>
                <c:pt idx="15">
                  <c:v>100</c:v>
                </c:pt>
                <c:pt idx="16">
                  <c:v>100</c:v>
                </c:pt>
                <c:pt idx="17">
                  <c:v>90</c:v>
                </c:pt>
                <c:pt idx="18">
                  <c:v>100</c:v>
                </c:pt>
                <c:pt idx="19">
                  <c:v>100</c:v>
                </c:pt>
                <c:pt idx="20">
                  <c:v>100</c:v>
                </c:pt>
                <c:pt idx="21">
                  <c:v>90</c:v>
                </c:pt>
                <c:pt idx="22">
                  <c:v>100</c:v>
                </c:pt>
                <c:pt idx="23">
                  <c:v>100</c:v>
                </c:pt>
                <c:pt idx="24">
                  <c:v>90</c:v>
                </c:pt>
                <c:pt idx="25">
                  <c:v>100</c:v>
                </c:pt>
                <c:pt idx="26">
                  <c:v>100</c:v>
                </c:pt>
                <c:pt idx="27">
                  <c:v>90</c:v>
                </c:pt>
                <c:pt idx="28">
                  <c:v>100</c:v>
                </c:pt>
                <c:pt idx="29">
                  <c:v>100</c:v>
                </c:pt>
              </c:numCache>
            </c:numRef>
          </c:xVal>
          <c:yVal>
            <c:numRef>
              <c:f>'20OBU'!$F$3:$F$32</c:f>
              <c:numCache>
                <c:formatCode>General</c:formatCode>
                <c:ptCount val="30"/>
                <c:pt idx="0">
                  <c:v>0</c:v>
                </c:pt>
                <c:pt idx="1">
                  <c:v>20</c:v>
                </c:pt>
                <c:pt idx="2">
                  <c:v>10</c:v>
                </c:pt>
                <c:pt idx="3">
                  <c:v>40</c:v>
                </c:pt>
                <c:pt idx="4" formatCode="0">
                  <c:v>44.444444444444443</c:v>
                </c:pt>
                <c:pt idx="5" formatCode="0">
                  <c:v>20</c:v>
                </c:pt>
                <c:pt idx="6" formatCode="0">
                  <c:v>60</c:v>
                </c:pt>
                <c:pt idx="7" formatCode="0">
                  <c:v>30</c:v>
                </c:pt>
                <c:pt idx="8" formatCode="0">
                  <c:v>40</c:v>
                </c:pt>
                <c:pt idx="9" formatCode="0">
                  <c:v>40</c:v>
                </c:pt>
                <c:pt idx="10" formatCode="0">
                  <c:v>10</c:v>
                </c:pt>
                <c:pt idx="11" formatCode="0">
                  <c:v>80</c:v>
                </c:pt>
                <c:pt idx="12" formatCode="0">
                  <c:v>70</c:v>
                </c:pt>
                <c:pt idx="13" formatCode="0">
                  <c:v>60</c:v>
                </c:pt>
                <c:pt idx="14" formatCode="0">
                  <c:v>44.444444444444443</c:v>
                </c:pt>
                <c:pt idx="15" formatCode="0">
                  <c:v>40</c:v>
                </c:pt>
                <c:pt idx="16" formatCode="0">
                  <c:v>40</c:v>
                </c:pt>
                <c:pt idx="17" formatCode="0">
                  <c:v>90</c:v>
                </c:pt>
                <c:pt idx="18" formatCode="0">
                  <c:v>62.5</c:v>
                </c:pt>
                <c:pt idx="19" formatCode="0">
                  <c:v>70</c:v>
                </c:pt>
                <c:pt idx="20" formatCode="0">
                  <c:v>80</c:v>
                </c:pt>
                <c:pt idx="21" formatCode="0">
                  <c:v>40</c:v>
                </c:pt>
                <c:pt idx="22" formatCode="0">
                  <c:v>40</c:v>
                </c:pt>
                <c:pt idx="23" formatCode="0">
                  <c:v>70</c:v>
                </c:pt>
                <c:pt idx="24" formatCode="0">
                  <c:v>44.444444444444443</c:v>
                </c:pt>
                <c:pt idx="25">
                  <c:v>60</c:v>
                </c:pt>
                <c:pt idx="26">
                  <c:v>60</c:v>
                </c:pt>
                <c:pt idx="27">
                  <c:v>90</c:v>
                </c:pt>
                <c:pt idx="28">
                  <c:v>70</c:v>
                </c:pt>
                <c:pt idx="29">
                  <c:v>50</c:v>
                </c:pt>
              </c:numCache>
            </c:numRef>
          </c:yVal>
        </c:ser>
        <c:axId val="149485440"/>
        <c:axId val="149486976"/>
      </c:scatterChart>
      <c:valAx>
        <c:axId val="149485440"/>
        <c:scaling>
          <c:orientation val="minMax"/>
          <c:max val="100"/>
        </c:scaling>
        <c:axPos val="b"/>
        <c:majorGridlines/>
        <c:numFmt formatCode="General" sourceLinked="1"/>
        <c:tickLblPos val="nextTo"/>
        <c:crossAx val="149486976"/>
        <c:crosses val="autoZero"/>
        <c:crossBetween val="midCat"/>
      </c:valAx>
      <c:valAx>
        <c:axId val="149486976"/>
        <c:scaling>
          <c:orientation val="minMax"/>
          <c:max val="100"/>
          <c:min val="0"/>
        </c:scaling>
        <c:axPos val="l"/>
        <c:majorGridlines/>
        <c:numFmt formatCode="General" sourceLinked="1"/>
        <c:tickLblPos val="nextTo"/>
        <c:crossAx val="149485440"/>
        <c:crosses val="autoZero"/>
        <c:crossBetween val="midCat"/>
      </c:valAx>
    </c:plotArea>
    <c:legend>
      <c:legendPos val="r"/>
      <c:layout/>
    </c:legend>
    <c:plotVisOnly val="1"/>
  </c:chart>
  <c:printSettings>
    <c:headerFooter/>
    <c:pageMargins b="0.75000000000000511" l="0.70000000000000062" r="0.70000000000000062" t="0.75000000000000511" header="0.30000000000000032" footer="0.30000000000000032"/>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Car-PDSR Vs.</a:t>
            </a:r>
            <a:r>
              <a:rPr lang="en-US" baseline="0"/>
              <a:t> RSS</a:t>
            </a:r>
            <a:endParaRPr lang="en-US"/>
          </a:p>
        </c:rich>
      </c:tx>
    </c:title>
    <c:plotArea>
      <c:layout>
        <c:manualLayout>
          <c:layoutTarget val="inner"/>
          <c:xMode val="edge"/>
          <c:yMode val="edge"/>
          <c:x val="4.7443609022556434E-2"/>
          <c:y val="0.19480351414406533"/>
          <c:w val="0.67720354848117148"/>
          <c:h val="0.68921660834062359"/>
        </c:manualLayout>
      </c:layout>
      <c:scatterChart>
        <c:scatterStyle val="lineMarker"/>
        <c:ser>
          <c:idx val="0"/>
          <c:order val="0"/>
          <c:tx>
            <c:v>Car-PDSR Vs. RSS</c:v>
          </c:tx>
          <c:spPr>
            <a:ln w="28575">
              <a:noFill/>
            </a:ln>
          </c:spPr>
          <c:xVal>
            <c:numRef>
              <c:f>'20OBU'!$O$4:$O$32</c:f>
              <c:numCache>
                <c:formatCode>General</c:formatCode>
                <c:ptCount val="29"/>
                <c:pt idx="0">
                  <c:v>-67.819297100000014</c:v>
                </c:pt>
                <c:pt idx="1">
                  <c:v>-66.017478850000003</c:v>
                </c:pt>
                <c:pt idx="2">
                  <c:v>-64.083302750000001</c:v>
                </c:pt>
                <c:pt idx="3">
                  <c:v>-63.706507150000007</c:v>
                </c:pt>
                <c:pt idx="4">
                  <c:v>-64.010490400000009</c:v>
                </c:pt>
                <c:pt idx="5">
                  <c:v>-61.666154849999998</c:v>
                </c:pt>
                <c:pt idx="6">
                  <c:v>-61.673017500000014</c:v>
                </c:pt>
                <c:pt idx="7">
                  <c:v>-58.838063999999996</c:v>
                </c:pt>
                <c:pt idx="8">
                  <c:v>-58.311061700000003</c:v>
                </c:pt>
                <c:pt idx="9">
                  <c:v>-57.011062300000013</c:v>
                </c:pt>
                <c:pt idx="10">
                  <c:v>-57.668125549999999</c:v>
                </c:pt>
                <c:pt idx="11">
                  <c:v>-56.121236249999995</c:v>
                </c:pt>
                <c:pt idx="12">
                  <c:v>-59.700273100000004</c:v>
                </c:pt>
                <c:pt idx="13">
                  <c:v>-57.954499050000003</c:v>
                </c:pt>
                <c:pt idx="14">
                  <c:v>-57.723630150000005</c:v>
                </c:pt>
                <c:pt idx="15">
                  <c:v>-60.652309700000011</c:v>
                </c:pt>
                <c:pt idx="16">
                  <c:v>-60.750856799999994</c:v>
                </c:pt>
                <c:pt idx="17">
                  <c:v>-61.536293050000005</c:v>
                </c:pt>
                <c:pt idx="18">
                  <c:v>-62.962038100000008</c:v>
                </c:pt>
                <c:pt idx="19">
                  <c:v>-61.803317499999977</c:v>
                </c:pt>
                <c:pt idx="20">
                  <c:v>-64.157763950000003</c:v>
                </c:pt>
                <c:pt idx="21">
                  <c:v>-65.173651850000013</c:v>
                </c:pt>
                <c:pt idx="22">
                  <c:v>-66.207460049999995</c:v>
                </c:pt>
                <c:pt idx="23">
                  <c:v>-67.830161199999992</c:v>
                </c:pt>
                <c:pt idx="24">
                  <c:v>-66.092305750000008</c:v>
                </c:pt>
                <c:pt idx="25">
                  <c:v>-66.801608200000004</c:v>
                </c:pt>
                <c:pt idx="26">
                  <c:v>-67.023038800000009</c:v>
                </c:pt>
                <c:pt idx="27">
                  <c:v>-70.070329300000012</c:v>
                </c:pt>
                <c:pt idx="28">
                  <c:v>-70.117471999999992</c:v>
                </c:pt>
              </c:numCache>
            </c:numRef>
          </c:xVal>
          <c:yVal>
            <c:numRef>
              <c:f>'20OBU'!$M$4:$M$32</c:f>
              <c:numCache>
                <c:formatCode>0.0</c:formatCode>
                <c:ptCount val="29"/>
                <c:pt idx="0">
                  <c:v>70</c:v>
                </c:pt>
                <c:pt idx="1">
                  <c:v>74.5</c:v>
                </c:pt>
                <c:pt idx="2">
                  <c:v>73.5</c:v>
                </c:pt>
                <c:pt idx="3">
                  <c:v>70.277777777777771</c:v>
                </c:pt>
                <c:pt idx="4">
                  <c:v>74.75</c:v>
                </c:pt>
                <c:pt idx="5">
                  <c:v>75</c:v>
                </c:pt>
                <c:pt idx="6">
                  <c:v>75.25</c:v>
                </c:pt>
                <c:pt idx="7">
                  <c:v>75.5</c:v>
                </c:pt>
                <c:pt idx="8">
                  <c:v>74</c:v>
                </c:pt>
                <c:pt idx="9">
                  <c:v>79.5</c:v>
                </c:pt>
                <c:pt idx="10">
                  <c:v>75.75</c:v>
                </c:pt>
                <c:pt idx="11">
                  <c:v>75.833333333333343</c:v>
                </c:pt>
                <c:pt idx="12">
                  <c:v>76.75</c:v>
                </c:pt>
                <c:pt idx="13">
                  <c:v>75.5</c:v>
                </c:pt>
                <c:pt idx="14">
                  <c:v>77.75</c:v>
                </c:pt>
                <c:pt idx="15">
                  <c:v>76</c:v>
                </c:pt>
                <c:pt idx="16">
                  <c:v>75.277777777777786</c:v>
                </c:pt>
                <c:pt idx="17">
                  <c:v>76.75</c:v>
                </c:pt>
                <c:pt idx="18">
                  <c:v>74.25</c:v>
                </c:pt>
                <c:pt idx="19">
                  <c:v>75</c:v>
                </c:pt>
                <c:pt idx="20">
                  <c:v>78.055555555555557</c:v>
                </c:pt>
                <c:pt idx="21">
                  <c:v>73.25</c:v>
                </c:pt>
                <c:pt idx="22">
                  <c:v>75.75</c:v>
                </c:pt>
                <c:pt idx="23">
                  <c:v>73.888888888888886</c:v>
                </c:pt>
                <c:pt idx="24">
                  <c:v>77</c:v>
                </c:pt>
                <c:pt idx="25">
                  <c:v>74</c:v>
                </c:pt>
                <c:pt idx="26">
                  <c:v>76.388888888888886</c:v>
                </c:pt>
                <c:pt idx="27">
                  <c:v>74.5</c:v>
                </c:pt>
                <c:pt idx="28">
                  <c:v>77</c:v>
                </c:pt>
              </c:numCache>
            </c:numRef>
          </c:yVal>
        </c:ser>
        <c:axId val="75611520"/>
        <c:axId val="75617408"/>
      </c:scatterChart>
      <c:valAx>
        <c:axId val="75611520"/>
        <c:scaling>
          <c:orientation val="maxMin"/>
          <c:max val="-40"/>
          <c:min val="-100"/>
        </c:scaling>
        <c:axPos val="b"/>
        <c:majorGridlines/>
        <c:numFmt formatCode="0.00" sourceLinked="0"/>
        <c:tickLblPos val="nextTo"/>
        <c:crossAx val="75617408"/>
        <c:crosses val="autoZero"/>
        <c:crossBetween val="midCat"/>
      </c:valAx>
      <c:valAx>
        <c:axId val="75617408"/>
        <c:scaling>
          <c:orientation val="minMax"/>
          <c:max val="100"/>
          <c:min val="0"/>
        </c:scaling>
        <c:axPos val="r"/>
        <c:majorGridlines/>
        <c:numFmt formatCode="0" sourceLinked="0"/>
        <c:tickLblPos val="high"/>
        <c:crossAx val="75611520"/>
        <c:crosses val="autoZero"/>
        <c:crossBetween val="midCat"/>
      </c:valAx>
    </c:plotArea>
    <c:legend>
      <c:legendPos val="r"/>
      <c:layout>
        <c:manualLayout>
          <c:xMode val="edge"/>
          <c:yMode val="edge"/>
          <c:x val="0.75629191087956171"/>
          <c:y val="0.52984288422280545"/>
          <c:w val="0.22867049513547649"/>
          <c:h val="8.3717191601049915E-2"/>
        </c:manualLayout>
      </c:layout>
    </c:legend>
    <c:plotVisOnly val="1"/>
  </c:chart>
  <c:printSettings>
    <c:headerFooter/>
    <c:pageMargins b="0.75000000000000533" l="0.70000000000000062" r="0.70000000000000062" t="0.75000000000000533" header="0.30000000000000032" footer="0.30000000000000032"/>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RSS</a:t>
            </a:r>
            <a:endParaRPr lang="en-US"/>
          </a:p>
        </c:rich>
      </c:tx>
    </c:title>
    <c:plotArea>
      <c:layout>
        <c:manualLayout>
          <c:layoutTarget val="inner"/>
          <c:xMode val="edge"/>
          <c:yMode val="edge"/>
          <c:x val="3.6829824843323242E-2"/>
          <c:y val="0.199433143773696"/>
          <c:w val="0.72477004660132183"/>
          <c:h val="0.68458697871098928"/>
        </c:manualLayout>
      </c:layout>
      <c:scatterChart>
        <c:scatterStyle val="lineMarker"/>
        <c:ser>
          <c:idx val="1"/>
          <c:order val="0"/>
          <c:tx>
            <c:v>RSU-PDR Vs. RSS</c:v>
          </c:tx>
          <c:spPr>
            <a:ln w="28575">
              <a:noFill/>
            </a:ln>
          </c:spPr>
          <c:xVal>
            <c:numRef>
              <c:f>'20OBU'!$Q$4:$Q$32</c:f>
              <c:numCache>
                <c:formatCode>General</c:formatCode>
                <c:ptCount val="29"/>
                <c:pt idx="0">
                  <c:v>-66.118391599999995</c:v>
                </c:pt>
                <c:pt idx="1">
                  <c:v>-65.811858200000003</c:v>
                </c:pt>
                <c:pt idx="2">
                  <c:v>-63.320227000000003</c:v>
                </c:pt>
                <c:pt idx="3">
                  <c:v>-66.395569100000003</c:v>
                </c:pt>
                <c:pt idx="4">
                  <c:v>-64.01033480000001</c:v>
                </c:pt>
                <c:pt idx="5">
                  <c:v>-60.626664199999993</c:v>
                </c:pt>
                <c:pt idx="6">
                  <c:v>-61.298186900000005</c:v>
                </c:pt>
                <c:pt idx="7">
                  <c:v>-57.240332200000012</c:v>
                </c:pt>
                <c:pt idx="8">
                  <c:v>-58.477946499999995</c:v>
                </c:pt>
                <c:pt idx="9">
                  <c:v>-59.584600800000011</c:v>
                </c:pt>
                <c:pt idx="10">
                  <c:v>-58.245940099999999</c:v>
                </c:pt>
                <c:pt idx="11">
                  <c:v>-56.652009999999997</c:v>
                </c:pt>
                <c:pt idx="12">
                  <c:v>-57.5475086</c:v>
                </c:pt>
                <c:pt idx="13">
                  <c:v>-58.440528500000006</c:v>
                </c:pt>
                <c:pt idx="14">
                  <c:v>-57.151857199999981</c:v>
                </c:pt>
                <c:pt idx="15">
                  <c:v>-57.32553209999999</c:v>
                </c:pt>
                <c:pt idx="16">
                  <c:v>-58.315581999999992</c:v>
                </c:pt>
                <c:pt idx="17">
                  <c:v>-62.411453200000004</c:v>
                </c:pt>
                <c:pt idx="18">
                  <c:v>-58.563284500000009</c:v>
                </c:pt>
                <c:pt idx="19">
                  <c:v>-64.603591199999997</c:v>
                </c:pt>
                <c:pt idx="20">
                  <c:v>-63.075708600000006</c:v>
                </c:pt>
                <c:pt idx="21">
                  <c:v>-64.018141799999995</c:v>
                </c:pt>
                <c:pt idx="22">
                  <c:v>-64.568457199999997</c:v>
                </c:pt>
                <c:pt idx="23">
                  <c:v>-64.919738899999999</c:v>
                </c:pt>
                <c:pt idx="24">
                  <c:v>-64.830130600000004</c:v>
                </c:pt>
                <c:pt idx="25">
                  <c:v>-65.495372399999994</c:v>
                </c:pt>
                <c:pt idx="26">
                  <c:v>-67.8621531</c:v>
                </c:pt>
                <c:pt idx="27">
                  <c:v>-68.071517700000015</c:v>
                </c:pt>
                <c:pt idx="28">
                  <c:v>-68.165075400000006</c:v>
                </c:pt>
              </c:numCache>
            </c:numRef>
          </c:xVal>
          <c:yVal>
            <c:numRef>
              <c:f>'20OBU'!$L$4:$L$32</c:f>
              <c:numCache>
                <c:formatCode>0.0</c:formatCode>
                <c:ptCount val="29"/>
                <c:pt idx="0">
                  <c:v>50</c:v>
                </c:pt>
                <c:pt idx="1">
                  <c:v>49.000000000000007</c:v>
                </c:pt>
                <c:pt idx="2">
                  <c:v>47</c:v>
                </c:pt>
                <c:pt idx="3">
                  <c:v>50.555555555555557</c:v>
                </c:pt>
                <c:pt idx="4">
                  <c:v>49.5</c:v>
                </c:pt>
                <c:pt idx="5">
                  <c:v>50</c:v>
                </c:pt>
                <c:pt idx="6">
                  <c:v>50.5</c:v>
                </c:pt>
                <c:pt idx="7">
                  <c:v>51</c:v>
                </c:pt>
                <c:pt idx="8">
                  <c:v>48</c:v>
                </c:pt>
                <c:pt idx="9">
                  <c:v>59.000000000000007</c:v>
                </c:pt>
                <c:pt idx="10">
                  <c:v>51.5</c:v>
                </c:pt>
                <c:pt idx="11">
                  <c:v>61.666666666666671</c:v>
                </c:pt>
                <c:pt idx="12">
                  <c:v>53.499999999999993</c:v>
                </c:pt>
                <c:pt idx="13">
                  <c:v>51</c:v>
                </c:pt>
                <c:pt idx="14">
                  <c:v>55.499999999999993</c:v>
                </c:pt>
                <c:pt idx="15">
                  <c:v>52</c:v>
                </c:pt>
                <c:pt idx="16">
                  <c:v>60.555555555555564</c:v>
                </c:pt>
                <c:pt idx="17">
                  <c:v>53.499999999999993</c:v>
                </c:pt>
                <c:pt idx="18">
                  <c:v>48.5</c:v>
                </c:pt>
                <c:pt idx="19">
                  <c:v>50</c:v>
                </c:pt>
                <c:pt idx="20">
                  <c:v>66.111111111111114</c:v>
                </c:pt>
                <c:pt idx="21">
                  <c:v>46.5</c:v>
                </c:pt>
                <c:pt idx="22">
                  <c:v>51.5</c:v>
                </c:pt>
                <c:pt idx="23">
                  <c:v>57.777777777777786</c:v>
                </c:pt>
                <c:pt idx="24">
                  <c:v>54</c:v>
                </c:pt>
                <c:pt idx="25">
                  <c:v>48</c:v>
                </c:pt>
                <c:pt idx="26">
                  <c:v>62.777777777777779</c:v>
                </c:pt>
                <c:pt idx="27">
                  <c:v>49.000000000000007</c:v>
                </c:pt>
                <c:pt idx="28">
                  <c:v>54</c:v>
                </c:pt>
              </c:numCache>
            </c:numRef>
          </c:yVal>
        </c:ser>
        <c:axId val="75678080"/>
        <c:axId val="75679616"/>
      </c:scatterChart>
      <c:valAx>
        <c:axId val="75678080"/>
        <c:scaling>
          <c:orientation val="maxMin"/>
          <c:min val="-100"/>
        </c:scaling>
        <c:axPos val="b"/>
        <c:majorGridlines/>
        <c:numFmt formatCode="General" sourceLinked="1"/>
        <c:tickLblPos val="nextTo"/>
        <c:crossAx val="75679616"/>
        <c:crosses val="autoZero"/>
        <c:crossBetween val="midCat"/>
      </c:valAx>
      <c:valAx>
        <c:axId val="75679616"/>
        <c:scaling>
          <c:orientation val="minMax"/>
          <c:max val="100"/>
          <c:min val="0"/>
        </c:scaling>
        <c:axPos val="r"/>
        <c:majorGridlines/>
        <c:numFmt formatCode="0" sourceLinked="0"/>
        <c:tickLblPos val="high"/>
        <c:crossAx val="75678080"/>
        <c:crosses val="autoZero"/>
        <c:crossBetween val="midCat"/>
      </c:valAx>
    </c:plotArea>
    <c:legend>
      <c:legendPos val="r"/>
    </c:legend>
    <c:plotVisOnly val="1"/>
  </c:chart>
  <c:printSettings>
    <c:headerFooter/>
    <c:pageMargins b="0.75000000000000511" l="0.70000000000000062" r="0.70000000000000062" t="0.75000000000000511"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SNR</a:t>
            </a:r>
            <a:endParaRPr lang="en-US"/>
          </a:p>
        </c:rich>
      </c:tx>
    </c:title>
    <c:plotArea>
      <c:layout>
        <c:manualLayout>
          <c:layoutTarget val="inner"/>
          <c:xMode val="edge"/>
          <c:yMode val="edge"/>
          <c:x val="9.2509056202685444E-2"/>
          <c:y val="0.19480351414406533"/>
          <c:w val="0.66119064662372584"/>
          <c:h val="0.68921660834062359"/>
        </c:manualLayout>
      </c:layout>
      <c:scatterChart>
        <c:scatterStyle val="lineMarker"/>
        <c:ser>
          <c:idx val="0"/>
          <c:order val="0"/>
          <c:tx>
            <c:v>RSU-PDR Vs. SNR</c:v>
          </c:tx>
          <c:spPr>
            <a:ln w="28575">
              <a:noFill/>
            </a:ln>
          </c:spPr>
          <c:marker>
            <c:spPr>
              <a:solidFill>
                <a:srgbClr val="C00000"/>
              </a:solidFill>
            </c:spPr>
          </c:marker>
          <c:xVal>
            <c:numRef>
              <c:f>'20OBU'!$R$4:$R$32</c:f>
              <c:numCache>
                <c:formatCode>General</c:formatCode>
                <c:ptCount val="29"/>
                <c:pt idx="0">
                  <c:v>37.881608400000005</c:v>
                </c:pt>
                <c:pt idx="1">
                  <c:v>38.188141799999997</c:v>
                </c:pt>
                <c:pt idx="2">
                  <c:v>40.679772999999997</c:v>
                </c:pt>
                <c:pt idx="3">
                  <c:v>37.604430899999997</c:v>
                </c:pt>
                <c:pt idx="4">
                  <c:v>39.989665200000005</c:v>
                </c:pt>
                <c:pt idx="5">
                  <c:v>43.3733358</c:v>
                </c:pt>
                <c:pt idx="6">
                  <c:v>42.701813100000003</c:v>
                </c:pt>
                <c:pt idx="7">
                  <c:v>46.759667800000003</c:v>
                </c:pt>
                <c:pt idx="8">
                  <c:v>45.522053500000005</c:v>
                </c:pt>
                <c:pt idx="9">
                  <c:v>44.415399199999996</c:v>
                </c:pt>
                <c:pt idx="10">
                  <c:v>45.754059900000001</c:v>
                </c:pt>
                <c:pt idx="11">
                  <c:v>47.347990000000003</c:v>
                </c:pt>
                <c:pt idx="12">
                  <c:v>46.4524914</c:v>
                </c:pt>
                <c:pt idx="13">
                  <c:v>45.559471499999994</c:v>
                </c:pt>
                <c:pt idx="14">
                  <c:v>46.848142800000005</c:v>
                </c:pt>
                <c:pt idx="15">
                  <c:v>46.674467900000003</c:v>
                </c:pt>
                <c:pt idx="16">
                  <c:v>45.684418000000001</c:v>
                </c:pt>
                <c:pt idx="17">
                  <c:v>41.588546799999996</c:v>
                </c:pt>
                <c:pt idx="18">
                  <c:v>45.436715500000005</c:v>
                </c:pt>
                <c:pt idx="19">
                  <c:v>39.396408800000003</c:v>
                </c:pt>
                <c:pt idx="20">
                  <c:v>40.924291400000001</c:v>
                </c:pt>
                <c:pt idx="21">
                  <c:v>39.981858199999998</c:v>
                </c:pt>
                <c:pt idx="22">
                  <c:v>39.431542800000003</c:v>
                </c:pt>
                <c:pt idx="23">
                  <c:v>39.080261100000001</c:v>
                </c:pt>
                <c:pt idx="24">
                  <c:v>39.169869399999996</c:v>
                </c:pt>
                <c:pt idx="25">
                  <c:v>38.504627599999999</c:v>
                </c:pt>
                <c:pt idx="26">
                  <c:v>36.137846900000007</c:v>
                </c:pt>
                <c:pt idx="27">
                  <c:v>35.928482299999999</c:v>
                </c:pt>
                <c:pt idx="28">
                  <c:v>35.834924600000001</c:v>
                </c:pt>
              </c:numCache>
            </c:numRef>
          </c:xVal>
          <c:yVal>
            <c:numRef>
              <c:f>'20OBU'!$L$4:$L$32</c:f>
              <c:numCache>
                <c:formatCode>0.0</c:formatCode>
                <c:ptCount val="29"/>
                <c:pt idx="0">
                  <c:v>50</c:v>
                </c:pt>
                <c:pt idx="1">
                  <c:v>49.000000000000007</c:v>
                </c:pt>
                <c:pt idx="2">
                  <c:v>47</c:v>
                </c:pt>
                <c:pt idx="3">
                  <c:v>50.555555555555557</c:v>
                </c:pt>
                <c:pt idx="4">
                  <c:v>49.5</c:v>
                </c:pt>
                <c:pt idx="5">
                  <c:v>50</c:v>
                </c:pt>
                <c:pt idx="6">
                  <c:v>50.5</c:v>
                </c:pt>
                <c:pt idx="7">
                  <c:v>51</c:v>
                </c:pt>
                <c:pt idx="8">
                  <c:v>48</c:v>
                </c:pt>
                <c:pt idx="9">
                  <c:v>59.000000000000007</c:v>
                </c:pt>
                <c:pt idx="10">
                  <c:v>51.5</c:v>
                </c:pt>
                <c:pt idx="11">
                  <c:v>61.666666666666671</c:v>
                </c:pt>
                <c:pt idx="12">
                  <c:v>53.499999999999993</c:v>
                </c:pt>
                <c:pt idx="13">
                  <c:v>51</c:v>
                </c:pt>
                <c:pt idx="14">
                  <c:v>55.499999999999993</c:v>
                </c:pt>
                <c:pt idx="15">
                  <c:v>52</c:v>
                </c:pt>
                <c:pt idx="16">
                  <c:v>60.555555555555564</c:v>
                </c:pt>
                <c:pt idx="17">
                  <c:v>53.499999999999993</c:v>
                </c:pt>
                <c:pt idx="18">
                  <c:v>48.5</c:v>
                </c:pt>
                <c:pt idx="19">
                  <c:v>50</c:v>
                </c:pt>
                <c:pt idx="20">
                  <c:v>66.111111111111114</c:v>
                </c:pt>
                <c:pt idx="21">
                  <c:v>46.5</c:v>
                </c:pt>
                <c:pt idx="22">
                  <c:v>51.5</c:v>
                </c:pt>
                <c:pt idx="23">
                  <c:v>57.777777777777786</c:v>
                </c:pt>
                <c:pt idx="24">
                  <c:v>54</c:v>
                </c:pt>
                <c:pt idx="25">
                  <c:v>48</c:v>
                </c:pt>
                <c:pt idx="26">
                  <c:v>62.777777777777779</c:v>
                </c:pt>
                <c:pt idx="27">
                  <c:v>49.000000000000007</c:v>
                </c:pt>
                <c:pt idx="28">
                  <c:v>54</c:v>
                </c:pt>
              </c:numCache>
            </c:numRef>
          </c:yVal>
        </c:ser>
        <c:axId val="75760768"/>
        <c:axId val="75762688"/>
      </c:scatterChart>
      <c:valAx>
        <c:axId val="75760768"/>
        <c:scaling>
          <c:orientation val="minMax"/>
        </c:scaling>
        <c:axPos val="b"/>
        <c:majorGridlines/>
        <c:numFmt formatCode="General" sourceLinked="1"/>
        <c:tickLblPos val="nextTo"/>
        <c:crossAx val="75762688"/>
        <c:crosses val="autoZero"/>
        <c:crossBetween val="midCat"/>
      </c:valAx>
      <c:valAx>
        <c:axId val="75762688"/>
        <c:scaling>
          <c:orientation val="minMax"/>
          <c:max val="100"/>
          <c:min val="0"/>
        </c:scaling>
        <c:axPos val="l"/>
        <c:majorGridlines/>
        <c:numFmt formatCode="0" sourceLinked="0"/>
        <c:tickLblPos val="nextTo"/>
        <c:crossAx val="75760768"/>
        <c:crosses val="autoZero"/>
        <c:crossBetween val="midCat"/>
      </c:valAx>
    </c:plotArea>
    <c:legend>
      <c:legendPos val="r"/>
    </c:legend>
    <c:plotVisOnly val="1"/>
  </c:chart>
  <c:printSettings>
    <c:headerFooter/>
    <c:pageMargins b="0.75000000000000511" l="0.70000000000000062" r="0.70000000000000062" t="0.75000000000000511" header="0.30000000000000032" footer="0.30000000000000032"/>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PSR</a:t>
            </a:r>
            <a:endParaRPr lang="en-US"/>
          </a:p>
        </c:rich>
      </c:tx>
    </c:title>
    <c:plotArea>
      <c:layout>
        <c:manualLayout>
          <c:layoutTarget val="inner"/>
          <c:xMode val="edge"/>
          <c:yMode val="edge"/>
          <c:x val="9.8925095901475135E-2"/>
          <c:y val="0.19480351414406533"/>
          <c:w val="0.68317221885725465"/>
          <c:h val="0.68921660834062359"/>
        </c:manualLayout>
      </c:layout>
      <c:scatterChart>
        <c:scatterStyle val="lineMarker"/>
        <c:ser>
          <c:idx val="0"/>
          <c:order val="0"/>
          <c:tx>
            <c:v>RSU-PDR Vs. PSR</c:v>
          </c:tx>
          <c:spPr>
            <a:ln w="28575">
              <a:noFill/>
            </a:ln>
          </c:spPr>
          <c:marker>
            <c:spPr>
              <a:solidFill>
                <a:srgbClr val="C00000"/>
              </a:solidFill>
            </c:spPr>
          </c:marker>
          <c:xVal>
            <c:numRef>
              <c:f>'20OBU'!$D$4:$D$32</c:f>
              <c:numCache>
                <c:formatCode>0</c:formatCode>
                <c:ptCount val="29"/>
                <c:pt idx="0">
                  <c:v>100</c:v>
                </c:pt>
                <c:pt idx="1">
                  <c:v>100</c:v>
                </c:pt>
                <c:pt idx="2">
                  <c:v>100</c:v>
                </c:pt>
                <c:pt idx="3">
                  <c:v>90</c:v>
                </c:pt>
                <c:pt idx="4">
                  <c:v>100</c:v>
                </c:pt>
                <c:pt idx="5">
                  <c:v>100</c:v>
                </c:pt>
                <c:pt idx="6">
                  <c:v>100</c:v>
                </c:pt>
                <c:pt idx="7">
                  <c:v>100</c:v>
                </c:pt>
                <c:pt idx="8">
                  <c:v>100</c:v>
                </c:pt>
                <c:pt idx="9">
                  <c:v>100</c:v>
                </c:pt>
                <c:pt idx="10">
                  <c:v>100</c:v>
                </c:pt>
                <c:pt idx="11">
                  <c:v>100</c:v>
                </c:pt>
                <c:pt idx="12">
                  <c:v>100</c:v>
                </c:pt>
                <c:pt idx="13">
                  <c:v>90</c:v>
                </c:pt>
                <c:pt idx="14">
                  <c:v>100</c:v>
                </c:pt>
                <c:pt idx="15">
                  <c:v>100</c:v>
                </c:pt>
                <c:pt idx="16">
                  <c:v>100</c:v>
                </c:pt>
                <c:pt idx="17">
                  <c:v>80</c:v>
                </c:pt>
                <c:pt idx="18">
                  <c:v>100</c:v>
                </c:pt>
                <c:pt idx="19">
                  <c:v>100</c:v>
                </c:pt>
                <c:pt idx="20">
                  <c:v>100</c:v>
                </c:pt>
                <c:pt idx="21">
                  <c:v>100</c:v>
                </c:pt>
                <c:pt idx="22">
                  <c:v>100</c:v>
                </c:pt>
                <c:pt idx="23">
                  <c:v>90</c:v>
                </c:pt>
                <c:pt idx="24">
                  <c:v>100</c:v>
                </c:pt>
                <c:pt idx="25">
                  <c:v>100</c:v>
                </c:pt>
                <c:pt idx="26">
                  <c:v>100</c:v>
                </c:pt>
                <c:pt idx="27">
                  <c:v>100</c:v>
                </c:pt>
                <c:pt idx="28">
                  <c:v>100</c:v>
                </c:pt>
              </c:numCache>
            </c:numRef>
          </c:xVal>
          <c:yVal>
            <c:numRef>
              <c:f>'20OBU'!$L$4:$L$32</c:f>
              <c:numCache>
                <c:formatCode>0.0</c:formatCode>
                <c:ptCount val="29"/>
                <c:pt idx="0">
                  <c:v>50</c:v>
                </c:pt>
                <c:pt idx="1">
                  <c:v>49.000000000000007</c:v>
                </c:pt>
                <c:pt idx="2">
                  <c:v>47</c:v>
                </c:pt>
                <c:pt idx="3">
                  <c:v>50.555555555555557</c:v>
                </c:pt>
                <c:pt idx="4">
                  <c:v>49.5</c:v>
                </c:pt>
                <c:pt idx="5">
                  <c:v>50</c:v>
                </c:pt>
                <c:pt idx="6">
                  <c:v>50.5</c:v>
                </c:pt>
                <c:pt idx="7">
                  <c:v>51</c:v>
                </c:pt>
                <c:pt idx="8">
                  <c:v>48</c:v>
                </c:pt>
                <c:pt idx="9">
                  <c:v>59.000000000000007</c:v>
                </c:pt>
                <c:pt idx="10">
                  <c:v>51.5</c:v>
                </c:pt>
                <c:pt idx="11">
                  <c:v>61.666666666666671</c:v>
                </c:pt>
                <c:pt idx="12">
                  <c:v>53.499999999999993</c:v>
                </c:pt>
                <c:pt idx="13">
                  <c:v>51</c:v>
                </c:pt>
                <c:pt idx="14">
                  <c:v>55.499999999999993</c:v>
                </c:pt>
                <c:pt idx="15">
                  <c:v>52</c:v>
                </c:pt>
                <c:pt idx="16">
                  <c:v>60.555555555555564</c:v>
                </c:pt>
                <c:pt idx="17">
                  <c:v>53.499999999999993</c:v>
                </c:pt>
                <c:pt idx="18">
                  <c:v>48.5</c:v>
                </c:pt>
                <c:pt idx="19">
                  <c:v>50</c:v>
                </c:pt>
                <c:pt idx="20">
                  <c:v>66.111111111111114</c:v>
                </c:pt>
                <c:pt idx="21">
                  <c:v>46.5</c:v>
                </c:pt>
                <c:pt idx="22">
                  <c:v>51.5</c:v>
                </c:pt>
                <c:pt idx="23">
                  <c:v>57.777777777777786</c:v>
                </c:pt>
                <c:pt idx="24">
                  <c:v>54</c:v>
                </c:pt>
                <c:pt idx="25">
                  <c:v>48</c:v>
                </c:pt>
                <c:pt idx="26">
                  <c:v>62.777777777777779</c:v>
                </c:pt>
                <c:pt idx="27">
                  <c:v>49.000000000000007</c:v>
                </c:pt>
                <c:pt idx="28">
                  <c:v>54</c:v>
                </c:pt>
              </c:numCache>
            </c:numRef>
          </c:yVal>
        </c:ser>
        <c:axId val="75803648"/>
        <c:axId val="75703040"/>
      </c:scatterChart>
      <c:valAx>
        <c:axId val="75803648"/>
        <c:scaling>
          <c:orientation val="minMax"/>
          <c:max val="100"/>
          <c:min val="0"/>
        </c:scaling>
        <c:axPos val="b"/>
        <c:majorGridlines/>
        <c:numFmt formatCode="0" sourceLinked="0"/>
        <c:tickLblPos val="nextTo"/>
        <c:crossAx val="75703040"/>
        <c:crosses val="autoZero"/>
        <c:crossBetween val="midCat"/>
      </c:valAx>
      <c:valAx>
        <c:axId val="75703040"/>
        <c:scaling>
          <c:orientation val="minMax"/>
          <c:max val="100"/>
          <c:min val="0"/>
        </c:scaling>
        <c:axPos val="l"/>
        <c:majorGridlines/>
        <c:numFmt formatCode="0" sourceLinked="0"/>
        <c:tickLblPos val="nextTo"/>
        <c:crossAx val="75803648"/>
        <c:crosses val="autoZero"/>
        <c:crossBetween val="midCat"/>
      </c:valAx>
    </c:plotArea>
    <c:legend>
      <c:legendPos val="r"/>
      <c:layout>
        <c:manualLayout>
          <c:xMode val="edge"/>
          <c:yMode val="edge"/>
          <c:x val="0.7793601857460084"/>
          <c:y val="0.61780584718577447"/>
          <c:w val="0.21807571168988488"/>
          <c:h val="8.3717191601050026E-2"/>
        </c:manualLayout>
      </c:layout>
    </c:legend>
    <c:plotVisOnly val="1"/>
  </c:chart>
  <c:printSettings>
    <c:headerFooter/>
    <c:pageMargins b="0.75000000000000511" l="0.70000000000000062" r="0.70000000000000062" t="0.75000000000000511" header="0.30000000000000032" footer="0.30000000000000032"/>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RSU-PDSR Vs.</a:t>
            </a:r>
            <a:r>
              <a:rPr lang="en-US" baseline="0"/>
              <a:t> RSS</a:t>
            </a:r>
            <a:endParaRPr lang="en-US"/>
          </a:p>
        </c:rich>
      </c:tx>
    </c:title>
    <c:plotArea>
      <c:layout/>
      <c:scatterChart>
        <c:scatterStyle val="lineMarker"/>
        <c:ser>
          <c:idx val="1"/>
          <c:order val="0"/>
          <c:tx>
            <c:v>PDSR Vs RSS</c:v>
          </c:tx>
          <c:spPr>
            <a:ln w="28575">
              <a:noFill/>
            </a:ln>
          </c:spPr>
          <c:xVal>
            <c:numRef>
              <c:f>'20OBU'!$Q$4:$Q$32</c:f>
              <c:numCache>
                <c:formatCode>General</c:formatCode>
                <c:ptCount val="29"/>
                <c:pt idx="0">
                  <c:v>-66.118391599999995</c:v>
                </c:pt>
                <c:pt idx="1">
                  <c:v>-65.811858200000003</c:v>
                </c:pt>
                <c:pt idx="2">
                  <c:v>-63.320227000000003</c:v>
                </c:pt>
                <c:pt idx="3">
                  <c:v>-66.395569100000003</c:v>
                </c:pt>
                <c:pt idx="4">
                  <c:v>-64.01033480000001</c:v>
                </c:pt>
                <c:pt idx="5">
                  <c:v>-60.626664199999993</c:v>
                </c:pt>
                <c:pt idx="6">
                  <c:v>-61.298186900000005</c:v>
                </c:pt>
                <c:pt idx="7">
                  <c:v>-57.240332200000012</c:v>
                </c:pt>
                <c:pt idx="8">
                  <c:v>-58.477946499999995</c:v>
                </c:pt>
                <c:pt idx="9">
                  <c:v>-59.584600800000011</c:v>
                </c:pt>
                <c:pt idx="10">
                  <c:v>-58.245940099999999</c:v>
                </c:pt>
                <c:pt idx="11">
                  <c:v>-56.652009999999997</c:v>
                </c:pt>
                <c:pt idx="12">
                  <c:v>-57.5475086</c:v>
                </c:pt>
                <c:pt idx="13">
                  <c:v>-58.440528500000006</c:v>
                </c:pt>
                <c:pt idx="14">
                  <c:v>-57.151857199999981</c:v>
                </c:pt>
                <c:pt idx="15">
                  <c:v>-57.32553209999999</c:v>
                </c:pt>
                <c:pt idx="16">
                  <c:v>-58.315581999999992</c:v>
                </c:pt>
                <c:pt idx="17">
                  <c:v>-62.411453200000004</c:v>
                </c:pt>
                <c:pt idx="18">
                  <c:v>-58.563284500000009</c:v>
                </c:pt>
                <c:pt idx="19">
                  <c:v>-64.603591199999997</c:v>
                </c:pt>
                <c:pt idx="20">
                  <c:v>-63.075708600000006</c:v>
                </c:pt>
                <c:pt idx="21">
                  <c:v>-64.018141799999995</c:v>
                </c:pt>
                <c:pt idx="22">
                  <c:v>-64.568457199999997</c:v>
                </c:pt>
                <c:pt idx="23">
                  <c:v>-64.919738899999999</c:v>
                </c:pt>
                <c:pt idx="24">
                  <c:v>-64.830130600000004</c:v>
                </c:pt>
                <c:pt idx="25">
                  <c:v>-65.495372399999994</c:v>
                </c:pt>
                <c:pt idx="26">
                  <c:v>-67.8621531</c:v>
                </c:pt>
                <c:pt idx="27">
                  <c:v>-68.071517700000015</c:v>
                </c:pt>
                <c:pt idx="28">
                  <c:v>-68.165075400000006</c:v>
                </c:pt>
              </c:numCache>
            </c:numRef>
          </c:xVal>
          <c:yVal>
            <c:numRef>
              <c:f>'20OBU'!$G$4:$G$32</c:f>
              <c:numCache>
                <c:formatCode>General</c:formatCode>
                <c:ptCount val="29"/>
                <c:pt idx="0">
                  <c:v>60</c:v>
                </c:pt>
                <c:pt idx="1">
                  <c:v>55</c:v>
                </c:pt>
                <c:pt idx="2">
                  <c:v>70</c:v>
                </c:pt>
                <c:pt idx="3" formatCode="0">
                  <c:v>67.222222222222229</c:v>
                </c:pt>
                <c:pt idx="4" formatCode="0">
                  <c:v>60</c:v>
                </c:pt>
                <c:pt idx="5" formatCode="0">
                  <c:v>80</c:v>
                </c:pt>
                <c:pt idx="6" formatCode="0">
                  <c:v>65</c:v>
                </c:pt>
                <c:pt idx="7" formatCode="0">
                  <c:v>70</c:v>
                </c:pt>
                <c:pt idx="8" formatCode="0">
                  <c:v>70</c:v>
                </c:pt>
                <c:pt idx="9" formatCode="0">
                  <c:v>55</c:v>
                </c:pt>
                <c:pt idx="10" formatCode="0">
                  <c:v>90</c:v>
                </c:pt>
                <c:pt idx="11" formatCode="0">
                  <c:v>85</c:v>
                </c:pt>
                <c:pt idx="12" formatCode="0">
                  <c:v>80</c:v>
                </c:pt>
                <c:pt idx="13" formatCode="0">
                  <c:v>67.222222222222229</c:v>
                </c:pt>
                <c:pt idx="14" formatCode="0">
                  <c:v>70</c:v>
                </c:pt>
                <c:pt idx="15" formatCode="0">
                  <c:v>70</c:v>
                </c:pt>
                <c:pt idx="16" formatCode="0">
                  <c:v>95</c:v>
                </c:pt>
                <c:pt idx="17" formatCode="0">
                  <c:v>71.25</c:v>
                </c:pt>
                <c:pt idx="18" formatCode="0">
                  <c:v>85</c:v>
                </c:pt>
                <c:pt idx="19" formatCode="0">
                  <c:v>90</c:v>
                </c:pt>
                <c:pt idx="20" formatCode="0">
                  <c:v>70</c:v>
                </c:pt>
                <c:pt idx="21" formatCode="0">
                  <c:v>70</c:v>
                </c:pt>
                <c:pt idx="22" formatCode="0">
                  <c:v>85</c:v>
                </c:pt>
                <c:pt idx="23" formatCode="0">
                  <c:v>67.222222222222229</c:v>
                </c:pt>
                <c:pt idx="24">
                  <c:v>80</c:v>
                </c:pt>
                <c:pt idx="25">
                  <c:v>80</c:v>
                </c:pt>
                <c:pt idx="26">
                  <c:v>95</c:v>
                </c:pt>
                <c:pt idx="27">
                  <c:v>85</c:v>
                </c:pt>
                <c:pt idx="28">
                  <c:v>75</c:v>
                </c:pt>
              </c:numCache>
            </c:numRef>
          </c:yVal>
        </c:ser>
        <c:axId val="75707136"/>
        <c:axId val="75716096"/>
      </c:scatterChart>
      <c:valAx>
        <c:axId val="75707136"/>
        <c:scaling>
          <c:orientation val="maxMin"/>
          <c:max val="-40"/>
          <c:min val="-100"/>
        </c:scaling>
        <c:axPos val="b"/>
        <c:majorGridlines/>
        <c:numFmt formatCode="General" sourceLinked="1"/>
        <c:tickLblPos val="nextTo"/>
        <c:crossAx val="75716096"/>
        <c:crosses val="autoZero"/>
        <c:crossBetween val="midCat"/>
      </c:valAx>
      <c:valAx>
        <c:axId val="75716096"/>
        <c:scaling>
          <c:orientation val="minMax"/>
          <c:max val="100"/>
          <c:min val="0"/>
        </c:scaling>
        <c:axPos val="r"/>
        <c:majorGridlines/>
        <c:numFmt formatCode="General" sourceLinked="1"/>
        <c:tickLblPos val="high"/>
        <c:crossAx val="75707136"/>
        <c:crosses val="autoZero"/>
        <c:crossBetween val="midCat"/>
      </c:valAx>
    </c:plotArea>
    <c:legend>
      <c:legendPos val="r"/>
    </c:legend>
    <c:plotVisOnly val="1"/>
  </c:chart>
  <c:printSettings>
    <c:headerFooter/>
    <c:pageMargins b="0.75000000000000511" l="0.70000000000000062" r="0.70000000000000062" t="0.75000000000000511" header="0.30000000000000032" footer="0.30000000000000032"/>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 RSS over Time</a:t>
            </a:r>
          </a:p>
        </c:rich>
      </c:tx>
    </c:title>
    <c:plotArea>
      <c:layout>
        <c:manualLayout>
          <c:layoutTarget val="inner"/>
          <c:xMode val="edge"/>
          <c:yMode val="edge"/>
          <c:x val="4.7443609022556434E-2"/>
          <c:y val="0.19480351414406533"/>
          <c:w val="0.77649345989519714"/>
          <c:h val="0.68921660834062359"/>
        </c:manualLayout>
      </c:layout>
      <c:scatterChart>
        <c:scatterStyle val="lineMarker"/>
        <c:ser>
          <c:idx val="0"/>
          <c:order val="0"/>
          <c:tx>
            <c:v>RSU- RSS</c:v>
          </c:tx>
          <c:spPr>
            <a:ln w="28575">
              <a:noFill/>
            </a:ln>
          </c:spPr>
          <c:xVal>
            <c:numRef>
              <c:f>'100OBU'!$A$3:$A$32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'20OBU'!$Q$3:$Q$32</c:f>
              <c:numCache>
                <c:formatCode>General</c:formatCode>
                <c:ptCount val="30"/>
                <c:pt idx="0">
                  <c:v>0</c:v>
                </c:pt>
                <c:pt idx="1">
                  <c:v>-66.118391599999995</c:v>
                </c:pt>
                <c:pt idx="2">
                  <c:v>-65.811858200000003</c:v>
                </c:pt>
                <c:pt idx="3">
                  <c:v>-63.320227000000003</c:v>
                </c:pt>
                <c:pt idx="4">
                  <c:v>-66.395569100000003</c:v>
                </c:pt>
                <c:pt idx="5">
                  <c:v>-64.01033480000001</c:v>
                </c:pt>
                <c:pt idx="6">
                  <c:v>-60.626664199999993</c:v>
                </c:pt>
                <c:pt idx="7">
                  <c:v>-61.298186900000005</c:v>
                </c:pt>
                <c:pt idx="8">
                  <c:v>-57.240332200000012</c:v>
                </c:pt>
                <c:pt idx="9">
                  <c:v>-58.477946499999995</c:v>
                </c:pt>
                <c:pt idx="10">
                  <c:v>-59.584600800000011</c:v>
                </c:pt>
                <c:pt idx="11">
                  <c:v>-58.245940099999999</c:v>
                </c:pt>
                <c:pt idx="12">
                  <c:v>-56.652009999999997</c:v>
                </c:pt>
                <c:pt idx="13">
                  <c:v>-57.5475086</c:v>
                </c:pt>
                <c:pt idx="14">
                  <c:v>-58.440528500000006</c:v>
                </c:pt>
                <c:pt idx="15">
                  <c:v>-57.151857199999981</c:v>
                </c:pt>
                <c:pt idx="16">
                  <c:v>-57.32553209999999</c:v>
                </c:pt>
                <c:pt idx="17">
                  <c:v>-58.315581999999992</c:v>
                </c:pt>
                <c:pt idx="18">
                  <c:v>-62.411453200000004</c:v>
                </c:pt>
                <c:pt idx="19">
                  <c:v>-58.563284500000009</c:v>
                </c:pt>
                <c:pt idx="20">
                  <c:v>-64.603591199999997</c:v>
                </c:pt>
                <c:pt idx="21">
                  <c:v>-63.075708600000006</c:v>
                </c:pt>
                <c:pt idx="22">
                  <c:v>-64.018141799999995</c:v>
                </c:pt>
                <c:pt idx="23">
                  <c:v>-64.568457199999997</c:v>
                </c:pt>
                <c:pt idx="24">
                  <c:v>-64.919738899999999</c:v>
                </c:pt>
                <c:pt idx="25">
                  <c:v>-64.830130600000004</c:v>
                </c:pt>
                <c:pt idx="26">
                  <c:v>-65.495372399999994</c:v>
                </c:pt>
                <c:pt idx="27">
                  <c:v>-67.8621531</c:v>
                </c:pt>
                <c:pt idx="28">
                  <c:v>-68.071517700000015</c:v>
                </c:pt>
                <c:pt idx="29">
                  <c:v>-68.165075400000006</c:v>
                </c:pt>
              </c:numCache>
            </c:numRef>
          </c:yVal>
        </c:ser>
        <c:axId val="75827072"/>
        <c:axId val="75828608"/>
      </c:scatterChart>
      <c:valAx>
        <c:axId val="75827072"/>
        <c:scaling>
          <c:orientation val="minMax"/>
        </c:scaling>
        <c:axPos val="b"/>
        <c:majorGridlines/>
        <c:numFmt formatCode="0.00" sourceLinked="0"/>
        <c:tickLblPos val="low"/>
        <c:crossAx val="75828608"/>
        <c:crosses val="autoZero"/>
        <c:crossBetween val="midCat"/>
      </c:valAx>
      <c:valAx>
        <c:axId val="75828608"/>
        <c:scaling>
          <c:orientation val="minMax"/>
        </c:scaling>
        <c:axPos val="l"/>
        <c:majorGridlines/>
        <c:numFmt formatCode="General" sourceLinked="1"/>
        <c:tickLblPos val="low"/>
        <c:crossAx val="75827072"/>
        <c:crosses val="autoZero"/>
        <c:crossBetween val="midCat"/>
      </c:valAx>
    </c:plotArea>
    <c:legend>
      <c:legendPos val="r"/>
    </c:legend>
    <c:plotVisOnly val="1"/>
  </c:chart>
  <c:printSettings>
    <c:headerFooter/>
    <c:pageMargins b="0.75000000000000733" l="0.70000000000000062" r="0.70000000000000062" t="0.75000000000000733" header="0.30000000000000032" footer="0.30000000000000032"/>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RSS</a:t>
            </a:r>
            <a:endParaRPr lang="en-US"/>
          </a:p>
        </c:rich>
      </c:tx>
      <c:layout/>
    </c:title>
    <c:plotArea>
      <c:layout/>
      <c:scatterChart>
        <c:scatterStyle val="lineMarker"/>
        <c:ser>
          <c:idx val="0"/>
          <c:order val="0"/>
          <c:tx>
            <c:strRef>
              <c:f>'10OBU'!$F$2</c:f>
              <c:strCache>
                <c:ptCount val="1"/>
                <c:pt idx="0">
                  <c:v>Car-PDR (%)</c:v>
                </c:pt>
              </c:strCache>
            </c:strRef>
          </c:tx>
          <c:spPr>
            <a:ln w="28575">
              <a:noFill/>
            </a:ln>
          </c:spPr>
          <c:xVal>
            <c:numRef>
              <c:f>'40OBU'!$O$4:$O$32</c:f>
              <c:numCache>
                <c:formatCode>0.000000</c:formatCode>
                <c:ptCount val="29"/>
                <c:pt idx="0">
                  <c:v>-65.255852500000003</c:v>
                </c:pt>
                <c:pt idx="1">
                  <c:v>-63.031677299999998</c:v>
                </c:pt>
                <c:pt idx="2">
                  <c:v>-61.814430928571426</c:v>
                </c:pt>
                <c:pt idx="3">
                  <c:v>-61.642045900000006</c:v>
                </c:pt>
                <c:pt idx="4">
                  <c:v>-64.375169</c:v>
                </c:pt>
                <c:pt idx="5">
                  <c:v>-60.767088625</c:v>
                </c:pt>
                <c:pt idx="6">
                  <c:v>-63.098630400000005</c:v>
                </c:pt>
                <c:pt idx="7">
                  <c:v>-60.014466249999998</c:v>
                </c:pt>
                <c:pt idx="8">
                  <c:v>-59.209349750000001</c:v>
                </c:pt>
                <c:pt idx="9">
                  <c:v>-58.013750166666675</c:v>
                </c:pt>
                <c:pt idx="10">
                  <c:v>-57.765252875000002</c:v>
                </c:pt>
                <c:pt idx="11">
                  <c:v>-59.271719857142855</c:v>
                </c:pt>
                <c:pt idx="12">
                  <c:v>-58.86740666666666</c:v>
                </c:pt>
                <c:pt idx="13">
                  <c:v>-59.363032249999996</c:v>
                </c:pt>
                <c:pt idx="14">
                  <c:v>-60.239153499999993</c:v>
                </c:pt>
                <c:pt idx="15">
                  <c:v>-61.152296166666666</c:v>
                </c:pt>
                <c:pt idx="16">
                  <c:v>-62.949483166666674</c:v>
                </c:pt>
                <c:pt idx="17">
                  <c:v>-65.687265999999994</c:v>
                </c:pt>
                <c:pt idx="18">
                  <c:v>-62.592432500000001</c:v>
                </c:pt>
                <c:pt idx="19">
                  <c:v>-66.855609999999999</c:v>
                </c:pt>
                <c:pt idx="20">
                  <c:v>-64.390536666666662</c:v>
                </c:pt>
                <c:pt idx="21">
                  <c:v>-64.34689075</c:v>
                </c:pt>
                <c:pt idx="22">
                  <c:v>-65.1455275</c:v>
                </c:pt>
                <c:pt idx="23">
                  <c:v>-66.247425800000002</c:v>
                </c:pt>
                <c:pt idx="24">
                  <c:v>-65.405170083333331</c:v>
                </c:pt>
                <c:pt idx="25">
                  <c:v>-68.404607600000006</c:v>
                </c:pt>
                <c:pt idx="26">
                  <c:v>-67.96592287499999</c:v>
                </c:pt>
                <c:pt idx="27">
                  <c:v>-69.235691666666668</c:v>
                </c:pt>
                <c:pt idx="28">
                  <c:v>-70.693111999999999</c:v>
                </c:pt>
              </c:numCache>
            </c:numRef>
          </c:xVal>
          <c:yVal>
            <c:numRef>
              <c:f>'40OBU'!$F$4:$F$32</c:f>
              <c:numCache>
                <c:formatCode>General</c:formatCode>
                <c:ptCount val="29"/>
                <c:pt idx="0" formatCode="0.0">
                  <c:v>55.555555555555557</c:v>
                </c:pt>
                <c:pt idx="1">
                  <c:v>50</c:v>
                </c:pt>
                <c:pt idx="2">
                  <c:v>70</c:v>
                </c:pt>
                <c:pt idx="3">
                  <c:v>50</c:v>
                </c:pt>
                <c:pt idx="4">
                  <c:v>30</c:v>
                </c:pt>
                <c:pt idx="5">
                  <c:v>40</c:v>
                </c:pt>
                <c:pt idx="6">
                  <c:v>50</c:v>
                </c:pt>
                <c:pt idx="7">
                  <c:v>75</c:v>
                </c:pt>
                <c:pt idx="8">
                  <c:v>20</c:v>
                </c:pt>
                <c:pt idx="9">
                  <c:v>60</c:v>
                </c:pt>
                <c:pt idx="10">
                  <c:v>40</c:v>
                </c:pt>
                <c:pt idx="11">
                  <c:v>70</c:v>
                </c:pt>
                <c:pt idx="12">
                  <c:v>40</c:v>
                </c:pt>
                <c:pt idx="13">
                  <c:v>20</c:v>
                </c:pt>
                <c:pt idx="14" formatCode="0">
                  <c:v>33.333333333333329</c:v>
                </c:pt>
                <c:pt idx="15" formatCode="0">
                  <c:v>60</c:v>
                </c:pt>
                <c:pt idx="16" formatCode="0">
                  <c:v>30</c:v>
                </c:pt>
                <c:pt idx="17" formatCode="0">
                  <c:v>20</c:v>
                </c:pt>
                <c:pt idx="18" formatCode="0">
                  <c:v>20</c:v>
                </c:pt>
                <c:pt idx="19" formatCode="0">
                  <c:v>20</c:v>
                </c:pt>
                <c:pt idx="20" formatCode="0">
                  <c:v>30</c:v>
                </c:pt>
                <c:pt idx="21" formatCode="0">
                  <c:v>22.222222222222221</c:v>
                </c:pt>
                <c:pt idx="22">
                  <c:v>10</c:v>
                </c:pt>
                <c:pt idx="23">
                  <c:v>50</c:v>
                </c:pt>
                <c:pt idx="24">
                  <c:v>60</c:v>
                </c:pt>
                <c:pt idx="25">
                  <c:v>50</c:v>
                </c:pt>
                <c:pt idx="26">
                  <c:v>50</c:v>
                </c:pt>
                <c:pt idx="27">
                  <c:v>30</c:v>
                </c:pt>
                <c:pt idx="28">
                  <c:v>30</c:v>
                </c:pt>
              </c:numCache>
            </c:numRef>
          </c:yVal>
        </c:ser>
        <c:axId val="75847168"/>
        <c:axId val="76079488"/>
      </c:scatterChart>
      <c:valAx>
        <c:axId val="75847168"/>
        <c:scaling>
          <c:orientation val="maxMin"/>
          <c:max val="0"/>
          <c:min val="-100"/>
        </c:scaling>
        <c:axPos val="b"/>
        <c:majorGridlines/>
        <c:numFmt formatCode="0" sourceLinked="0"/>
        <c:tickLblPos val="nextTo"/>
        <c:crossAx val="76079488"/>
        <c:crosses val="autoZero"/>
        <c:crossBetween val="midCat"/>
      </c:valAx>
      <c:valAx>
        <c:axId val="76079488"/>
        <c:scaling>
          <c:orientation val="minMax"/>
          <c:max val="100"/>
          <c:min val="0"/>
        </c:scaling>
        <c:axPos val="r"/>
        <c:majorGridlines/>
        <c:numFmt formatCode="0" sourceLinked="0"/>
        <c:tickLblPos val="high"/>
        <c:crossAx val="75847168"/>
        <c:crosses val="autoZero"/>
        <c:crossBetween val="midCat"/>
      </c:valAx>
    </c:plotArea>
    <c:legend>
      <c:legendPos val="r"/>
      <c:layout/>
    </c:legend>
    <c:plotVisOnly val="1"/>
  </c:chart>
  <c:printSettings>
    <c:headerFooter/>
    <c:pageMargins b="0.75000000000000511" l="0.70000000000000062" r="0.70000000000000062" t="0.75000000000000511" header="0.30000000000000032" footer="0.30000000000000032"/>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 SNR</a:t>
            </a:r>
          </a:p>
        </c:rich>
      </c:tx>
      <c:layout/>
    </c:title>
    <c:plotArea>
      <c:layout/>
      <c:scatterChart>
        <c:scatterStyle val="lineMarker"/>
        <c:ser>
          <c:idx val="0"/>
          <c:order val="0"/>
          <c:tx>
            <c:strRef>
              <c:f>'10OBU'!$F$2</c:f>
              <c:strCache>
                <c:ptCount val="1"/>
                <c:pt idx="0">
                  <c:v>Car-PDR (%)</c:v>
                </c:pt>
              </c:strCache>
            </c:strRef>
          </c:tx>
          <c:spPr>
            <a:ln w="28575">
              <a:noFill/>
            </a:ln>
          </c:spPr>
          <c:xVal>
            <c:numRef>
              <c:f>'40OBU'!$P$4:$P$32</c:f>
              <c:numCache>
                <c:formatCode>0.000000</c:formatCode>
                <c:ptCount val="29"/>
                <c:pt idx="0">
                  <c:v>38.923176599999998</c:v>
                </c:pt>
                <c:pt idx="1">
                  <c:v>40.992734199999994</c:v>
                </c:pt>
                <c:pt idx="2">
                  <c:v>41.069519071428566</c:v>
                </c:pt>
                <c:pt idx="3">
                  <c:v>43.899862400000004</c:v>
                </c:pt>
                <c:pt idx="4">
                  <c:v>40.727305333333327</c:v>
                </c:pt>
                <c:pt idx="5">
                  <c:v>40.242013374999999</c:v>
                </c:pt>
                <c:pt idx="6">
                  <c:v>42.184752099999997</c:v>
                </c:pt>
                <c:pt idx="7">
                  <c:v>40.4313675</c:v>
                </c:pt>
                <c:pt idx="8">
                  <c:v>42.718029999999999</c:v>
                </c:pt>
                <c:pt idx="9">
                  <c:v>43.416398416666659</c:v>
                </c:pt>
                <c:pt idx="10">
                  <c:v>43.993476749999999</c:v>
                </c:pt>
                <c:pt idx="11">
                  <c:v>45.357078714285713</c:v>
                </c:pt>
                <c:pt idx="12">
                  <c:v>45.669910833333326</c:v>
                </c:pt>
                <c:pt idx="13">
                  <c:v>49.366722750000001</c:v>
                </c:pt>
                <c:pt idx="14">
                  <c:v>43.644616833333338</c:v>
                </c:pt>
                <c:pt idx="15">
                  <c:v>42.397467083333332</c:v>
                </c:pt>
                <c:pt idx="16">
                  <c:v>41.815421500000006</c:v>
                </c:pt>
                <c:pt idx="17">
                  <c:v>43.7479795</c:v>
                </c:pt>
                <c:pt idx="18">
                  <c:v>36.937025749999997</c:v>
                </c:pt>
                <c:pt idx="19">
                  <c:v>41.145615750000005</c:v>
                </c:pt>
                <c:pt idx="20">
                  <c:v>37.257061166666666</c:v>
                </c:pt>
                <c:pt idx="21">
                  <c:v>33.912686000000001</c:v>
                </c:pt>
                <c:pt idx="22">
                  <c:v>38.8544725</c:v>
                </c:pt>
                <c:pt idx="23">
                  <c:v>37.246715700000003</c:v>
                </c:pt>
                <c:pt idx="24">
                  <c:v>37.374421416666664</c:v>
                </c:pt>
                <c:pt idx="25">
                  <c:v>35.695778900000001</c:v>
                </c:pt>
                <c:pt idx="26">
                  <c:v>35.395445374999994</c:v>
                </c:pt>
                <c:pt idx="27">
                  <c:v>35.882363000000005</c:v>
                </c:pt>
                <c:pt idx="28">
                  <c:v>32.275673333333337</c:v>
                </c:pt>
              </c:numCache>
            </c:numRef>
          </c:xVal>
          <c:yVal>
            <c:numRef>
              <c:f>'40OBU'!$F$4:$F$32</c:f>
              <c:numCache>
                <c:formatCode>General</c:formatCode>
                <c:ptCount val="29"/>
                <c:pt idx="0" formatCode="0.0">
                  <c:v>55.555555555555557</c:v>
                </c:pt>
                <c:pt idx="1">
                  <c:v>50</c:v>
                </c:pt>
                <c:pt idx="2">
                  <c:v>70</c:v>
                </c:pt>
                <c:pt idx="3">
                  <c:v>50</c:v>
                </c:pt>
                <c:pt idx="4">
                  <c:v>30</c:v>
                </c:pt>
                <c:pt idx="5">
                  <c:v>40</c:v>
                </c:pt>
                <c:pt idx="6">
                  <c:v>50</c:v>
                </c:pt>
                <c:pt idx="7">
                  <c:v>75</c:v>
                </c:pt>
                <c:pt idx="8">
                  <c:v>20</c:v>
                </c:pt>
                <c:pt idx="9">
                  <c:v>60</c:v>
                </c:pt>
                <c:pt idx="10">
                  <c:v>40</c:v>
                </c:pt>
                <c:pt idx="11">
                  <c:v>70</c:v>
                </c:pt>
                <c:pt idx="12">
                  <c:v>40</c:v>
                </c:pt>
                <c:pt idx="13">
                  <c:v>20</c:v>
                </c:pt>
                <c:pt idx="14" formatCode="0">
                  <c:v>33.333333333333329</c:v>
                </c:pt>
                <c:pt idx="15" formatCode="0">
                  <c:v>60</c:v>
                </c:pt>
                <c:pt idx="16" formatCode="0">
                  <c:v>30</c:v>
                </c:pt>
                <c:pt idx="17" formatCode="0">
                  <c:v>20</c:v>
                </c:pt>
                <c:pt idx="18" formatCode="0">
                  <c:v>20</c:v>
                </c:pt>
                <c:pt idx="19" formatCode="0">
                  <c:v>20</c:v>
                </c:pt>
                <c:pt idx="20" formatCode="0">
                  <c:v>30</c:v>
                </c:pt>
                <c:pt idx="21" formatCode="0">
                  <c:v>22.222222222222221</c:v>
                </c:pt>
                <c:pt idx="22">
                  <c:v>10</c:v>
                </c:pt>
                <c:pt idx="23">
                  <c:v>50</c:v>
                </c:pt>
                <c:pt idx="24">
                  <c:v>60</c:v>
                </c:pt>
                <c:pt idx="25">
                  <c:v>50</c:v>
                </c:pt>
                <c:pt idx="26">
                  <c:v>50</c:v>
                </c:pt>
                <c:pt idx="27">
                  <c:v>30</c:v>
                </c:pt>
                <c:pt idx="28">
                  <c:v>30</c:v>
                </c:pt>
              </c:numCache>
            </c:numRef>
          </c:yVal>
        </c:ser>
        <c:axId val="77137792"/>
        <c:axId val="77145600"/>
      </c:scatterChart>
      <c:valAx>
        <c:axId val="77137792"/>
        <c:scaling>
          <c:orientation val="minMax"/>
          <c:max val="50"/>
        </c:scaling>
        <c:axPos val="b"/>
        <c:majorGridlines/>
        <c:numFmt formatCode="0" sourceLinked="0"/>
        <c:tickLblPos val="nextTo"/>
        <c:crossAx val="77145600"/>
        <c:crosses val="autoZero"/>
        <c:crossBetween val="midCat"/>
      </c:valAx>
      <c:valAx>
        <c:axId val="77145600"/>
        <c:scaling>
          <c:orientation val="minMax"/>
          <c:max val="100"/>
          <c:min val="0"/>
        </c:scaling>
        <c:axPos val="l"/>
        <c:majorGridlines/>
        <c:numFmt formatCode="0" sourceLinked="0"/>
        <c:tickLblPos val="nextTo"/>
        <c:crossAx val="77137792"/>
        <c:crosses val="autoZero"/>
        <c:crossBetween val="midCat"/>
      </c:valAx>
    </c:plotArea>
    <c:legend>
      <c:legendPos val="r"/>
      <c:layout/>
    </c:legend>
    <c:plotVisOnly val="1"/>
  </c:chart>
  <c:printSettings>
    <c:headerFooter/>
    <c:pageMargins b="0.75000000000000533" l="0.70000000000000062" r="0.70000000000000062" t="0.75000000000000533"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PSR</a:t>
            </a:r>
            <a:endParaRPr lang="en-US"/>
          </a:p>
        </c:rich>
      </c:tx>
      <c:layout/>
    </c:title>
    <c:plotArea>
      <c:layout/>
      <c:scatterChart>
        <c:scatterStyle val="lineMarker"/>
        <c:ser>
          <c:idx val="0"/>
          <c:order val="0"/>
          <c:tx>
            <c:strRef>
              <c:f>'1OBU'!$F$2</c:f>
              <c:strCache>
                <c:ptCount val="1"/>
                <c:pt idx="0">
                  <c:v>Car-PDR (%)</c:v>
                </c:pt>
              </c:strCache>
            </c:strRef>
          </c:tx>
          <c:spPr>
            <a:ln w="28575">
              <a:noFill/>
            </a:ln>
          </c:spPr>
          <c:xVal>
            <c:numRef>
              <c:f>'1OBU'!$J$3:$J$32</c:f>
              <c:numCache>
                <c:formatCode>0</c:formatCode>
                <c:ptCount val="30"/>
                <c:pt idx="0">
                  <c:v>0</c:v>
                </c:pt>
                <c:pt idx="1">
                  <c:v>90</c:v>
                </c:pt>
                <c:pt idx="2">
                  <c:v>90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80</c:v>
                </c:pt>
                <c:pt idx="24">
                  <c:v>100</c:v>
                </c:pt>
                <c:pt idx="25">
                  <c:v>100</c:v>
                </c:pt>
                <c:pt idx="26">
                  <c:v>90</c:v>
                </c:pt>
                <c:pt idx="27">
                  <c:v>100</c:v>
                </c:pt>
                <c:pt idx="28">
                  <c:v>90</c:v>
                </c:pt>
                <c:pt idx="29">
                  <c:v>80</c:v>
                </c:pt>
              </c:numCache>
            </c:numRef>
          </c:xVal>
          <c:yVal>
            <c:numRef>
              <c:f>'1OBU'!$F$3:$F$32</c:f>
              <c:numCache>
                <c:formatCode>0.00</c:formatCode>
                <c:ptCount val="30"/>
                <c:pt idx="0">
                  <c:v>0</c:v>
                </c:pt>
                <c:pt idx="1">
                  <c:v>100</c:v>
                </c:pt>
                <c:pt idx="2">
                  <c:v>100</c:v>
                </c:pt>
                <c:pt idx="3">
                  <c:v>100</c:v>
                </c:pt>
                <c:pt idx="4">
                  <c:v>100</c:v>
                </c:pt>
                <c:pt idx="5">
                  <c:v>100</c:v>
                </c:pt>
                <c:pt idx="6">
                  <c:v>100</c:v>
                </c:pt>
                <c:pt idx="7">
                  <c:v>100</c:v>
                </c:pt>
                <c:pt idx="8">
                  <c:v>100</c:v>
                </c:pt>
                <c:pt idx="9">
                  <c:v>80</c:v>
                </c:pt>
                <c:pt idx="10">
                  <c:v>100</c:v>
                </c:pt>
                <c:pt idx="11">
                  <c:v>100</c:v>
                </c:pt>
                <c:pt idx="12">
                  <c:v>100</c:v>
                </c:pt>
                <c:pt idx="13">
                  <c:v>100</c:v>
                </c:pt>
                <c:pt idx="14">
                  <c:v>100</c:v>
                </c:pt>
                <c:pt idx="15">
                  <c:v>80</c:v>
                </c:pt>
                <c:pt idx="16">
                  <c:v>80</c:v>
                </c:pt>
                <c:pt idx="17">
                  <c:v>90</c:v>
                </c:pt>
                <c:pt idx="18">
                  <c:v>100</c:v>
                </c:pt>
                <c:pt idx="19">
                  <c:v>100</c:v>
                </c:pt>
                <c:pt idx="20">
                  <c:v>90</c:v>
                </c:pt>
                <c:pt idx="21">
                  <c:v>90</c:v>
                </c:pt>
                <c:pt idx="22">
                  <c:v>80</c:v>
                </c:pt>
                <c:pt idx="23">
                  <c:v>100</c:v>
                </c:pt>
                <c:pt idx="24">
                  <c:v>88.888888888888886</c:v>
                </c:pt>
                <c:pt idx="25">
                  <c:v>70</c:v>
                </c:pt>
                <c:pt idx="26">
                  <c:v>90</c:v>
                </c:pt>
                <c:pt idx="27">
                  <c:v>100</c:v>
                </c:pt>
                <c:pt idx="28">
                  <c:v>100</c:v>
                </c:pt>
                <c:pt idx="29">
                  <c:v>100</c:v>
                </c:pt>
              </c:numCache>
            </c:numRef>
          </c:yVal>
        </c:ser>
        <c:axId val="123724544"/>
        <c:axId val="125244544"/>
      </c:scatterChart>
      <c:valAx>
        <c:axId val="123724544"/>
        <c:scaling>
          <c:orientation val="minMax"/>
          <c:max val="100"/>
        </c:scaling>
        <c:axPos val="b"/>
        <c:majorGridlines/>
        <c:numFmt formatCode="0" sourceLinked="1"/>
        <c:tickLblPos val="nextTo"/>
        <c:crossAx val="125244544"/>
        <c:crosses val="autoZero"/>
        <c:crossBetween val="midCat"/>
      </c:valAx>
      <c:valAx>
        <c:axId val="125244544"/>
        <c:scaling>
          <c:orientation val="minMax"/>
          <c:max val="100"/>
          <c:min val="0"/>
        </c:scaling>
        <c:axPos val="l"/>
        <c:majorGridlines/>
        <c:numFmt formatCode="0" sourceLinked="0"/>
        <c:tickLblPos val="nextTo"/>
        <c:crossAx val="123724544"/>
        <c:crosses val="autoZero"/>
        <c:crossBetween val="midCat"/>
      </c:valAx>
    </c:plotArea>
    <c:legend>
      <c:legendPos val="r"/>
      <c:layout/>
    </c:legend>
    <c:plotVisOnly val="1"/>
  </c:chart>
  <c:printSettings>
    <c:headerFooter/>
    <c:pageMargins b="0.75000000000000466" l="0.70000000000000062" r="0.70000000000000062" t="0.75000000000000466" header="0.30000000000000032" footer="0.30000000000000032"/>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PSR</a:t>
            </a:r>
            <a:endParaRPr lang="en-US"/>
          </a:p>
        </c:rich>
      </c:tx>
      <c:layout/>
    </c:title>
    <c:plotArea>
      <c:layout/>
      <c:scatterChart>
        <c:scatterStyle val="lineMarker"/>
        <c:ser>
          <c:idx val="0"/>
          <c:order val="0"/>
          <c:tx>
            <c:strRef>
              <c:f>'10OBU'!$F$2</c:f>
              <c:strCache>
                <c:ptCount val="1"/>
                <c:pt idx="0">
                  <c:v>Car-PDR (%)</c:v>
                </c:pt>
              </c:strCache>
            </c:strRef>
          </c:tx>
          <c:spPr>
            <a:ln w="28575">
              <a:noFill/>
            </a:ln>
          </c:spPr>
          <c:xVal>
            <c:numRef>
              <c:f>'40OBU'!$J$3:$J$32</c:f>
              <c:numCache>
                <c:formatCode>General</c:formatCode>
                <c:ptCount val="30"/>
                <c:pt idx="0">
                  <c:v>0</c:v>
                </c:pt>
                <c:pt idx="1">
                  <c:v>90</c:v>
                </c:pt>
                <c:pt idx="2">
                  <c:v>90</c:v>
                </c:pt>
                <c:pt idx="3">
                  <c:v>100</c:v>
                </c:pt>
                <c:pt idx="4">
                  <c:v>80</c:v>
                </c:pt>
                <c:pt idx="5">
                  <c:v>100</c:v>
                </c:pt>
                <c:pt idx="6">
                  <c:v>90</c:v>
                </c:pt>
                <c:pt idx="7">
                  <c:v>100</c:v>
                </c:pt>
                <c:pt idx="8">
                  <c:v>100</c:v>
                </c:pt>
                <c:pt idx="9">
                  <c:v>90</c:v>
                </c:pt>
                <c:pt idx="10">
                  <c:v>100</c:v>
                </c:pt>
                <c:pt idx="11">
                  <c:v>100</c:v>
                </c:pt>
                <c:pt idx="12">
                  <c:v>90</c:v>
                </c:pt>
                <c:pt idx="13">
                  <c:v>100</c:v>
                </c:pt>
                <c:pt idx="14">
                  <c:v>90</c:v>
                </c:pt>
                <c:pt idx="15">
                  <c:v>100</c:v>
                </c:pt>
                <c:pt idx="16">
                  <c:v>100</c:v>
                </c:pt>
                <c:pt idx="17">
                  <c:v>90</c:v>
                </c:pt>
                <c:pt idx="18">
                  <c:v>100</c:v>
                </c:pt>
                <c:pt idx="19">
                  <c:v>90</c:v>
                </c:pt>
                <c:pt idx="20">
                  <c:v>100</c:v>
                </c:pt>
                <c:pt idx="21">
                  <c:v>100</c:v>
                </c:pt>
                <c:pt idx="22">
                  <c:v>100</c:v>
                </c:pt>
                <c:pt idx="23">
                  <c:v>90</c:v>
                </c:pt>
                <c:pt idx="24">
                  <c:v>100</c:v>
                </c:pt>
                <c:pt idx="25">
                  <c:v>100</c:v>
                </c:pt>
                <c:pt idx="26">
                  <c:v>90</c:v>
                </c:pt>
                <c:pt idx="27">
                  <c:v>100</c:v>
                </c:pt>
                <c:pt idx="28">
                  <c:v>90</c:v>
                </c:pt>
                <c:pt idx="29">
                  <c:v>80</c:v>
                </c:pt>
              </c:numCache>
            </c:numRef>
          </c:xVal>
          <c:yVal>
            <c:numRef>
              <c:f>'40OBU'!$F$3:$F$32</c:f>
              <c:numCache>
                <c:formatCode>0.0</c:formatCode>
                <c:ptCount val="30"/>
                <c:pt idx="0" formatCode="General">
                  <c:v>0</c:v>
                </c:pt>
                <c:pt idx="1">
                  <c:v>55.555555555555557</c:v>
                </c:pt>
                <c:pt idx="2" formatCode="General">
                  <c:v>50</c:v>
                </c:pt>
                <c:pt idx="3" formatCode="General">
                  <c:v>70</c:v>
                </c:pt>
                <c:pt idx="4" formatCode="General">
                  <c:v>50</c:v>
                </c:pt>
                <c:pt idx="5" formatCode="General">
                  <c:v>30</c:v>
                </c:pt>
                <c:pt idx="6" formatCode="General">
                  <c:v>40</c:v>
                </c:pt>
                <c:pt idx="7" formatCode="General">
                  <c:v>50</c:v>
                </c:pt>
                <c:pt idx="8" formatCode="General">
                  <c:v>75</c:v>
                </c:pt>
                <c:pt idx="9" formatCode="General">
                  <c:v>20</c:v>
                </c:pt>
                <c:pt idx="10" formatCode="General">
                  <c:v>60</c:v>
                </c:pt>
                <c:pt idx="11" formatCode="General">
                  <c:v>40</c:v>
                </c:pt>
                <c:pt idx="12" formatCode="General">
                  <c:v>70</c:v>
                </c:pt>
                <c:pt idx="13" formatCode="General">
                  <c:v>40</c:v>
                </c:pt>
                <c:pt idx="14" formatCode="General">
                  <c:v>20</c:v>
                </c:pt>
                <c:pt idx="15" formatCode="0">
                  <c:v>33.333333333333329</c:v>
                </c:pt>
                <c:pt idx="16" formatCode="0">
                  <c:v>60</c:v>
                </c:pt>
                <c:pt idx="17" formatCode="0">
                  <c:v>30</c:v>
                </c:pt>
                <c:pt idx="18" formatCode="0">
                  <c:v>20</c:v>
                </c:pt>
                <c:pt idx="19" formatCode="0">
                  <c:v>20</c:v>
                </c:pt>
                <c:pt idx="20" formatCode="0">
                  <c:v>20</c:v>
                </c:pt>
                <c:pt idx="21" formatCode="0">
                  <c:v>30</c:v>
                </c:pt>
                <c:pt idx="22" formatCode="0">
                  <c:v>22.222222222222221</c:v>
                </c:pt>
                <c:pt idx="23" formatCode="General">
                  <c:v>10</c:v>
                </c:pt>
                <c:pt idx="24" formatCode="General">
                  <c:v>50</c:v>
                </c:pt>
                <c:pt idx="25" formatCode="General">
                  <c:v>60</c:v>
                </c:pt>
                <c:pt idx="26" formatCode="General">
                  <c:v>50</c:v>
                </c:pt>
                <c:pt idx="27" formatCode="General">
                  <c:v>50</c:v>
                </c:pt>
                <c:pt idx="28" formatCode="General">
                  <c:v>30</c:v>
                </c:pt>
                <c:pt idx="29" formatCode="General">
                  <c:v>30</c:v>
                </c:pt>
              </c:numCache>
            </c:numRef>
          </c:yVal>
        </c:ser>
        <c:axId val="77166848"/>
        <c:axId val="77187712"/>
      </c:scatterChart>
      <c:valAx>
        <c:axId val="77166848"/>
        <c:scaling>
          <c:orientation val="minMax"/>
          <c:max val="100"/>
        </c:scaling>
        <c:axPos val="b"/>
        <c:majorGridlines/>
        <c:numFmt formatCode="General" sourceLinked="1"/>
        <c:tickLblPos val="nextTo"/>
        <c:crossAx val="77187712"/>
        <c:crosses val="autoZero"/>
        <c:crossBetween val="midCat"/>
      </c:valAx>
      <c:valAx>
        <c:axId val="77187712"/>
        <c:scaling>
          <c:orientation val="minMax"/>
          <c:max val="100"/>
          <c:min val="0"/>
        </c:scaling>
        <c:axPos val="l"/>
        <c:majorGridlines/>
        <c:numFmt formatCode="General" sourceLinked="1"/>
        <c:tickLblPos val="nextTo"/>
        <c:crossAx val="77166848"/>
        <c:crosses val="autoZero"/>
        <c:crossBetween val="midCat"/>
      </c:valAx>
    </c:plotArea>
    <c:legend>
      <c:legendPos val="r"/>
      <c:layout/>
    </c:legend>
    <c:plotVisOnly val="1"/>
  </c:chart>
  <c:printSettings>
    <c:headerFooter/>
    <c:pageMargins b="0.75000000000000533" l="0.70000000000000062" r="0.70000000000000062" t="0.75000000000000533" header="0.30000000000000032" footer="0.30000000000000032"/>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Car-PDSR Vs.</a:t>
            </a:r>
            <a:r>
              <a:rPr lang="en-US" baseline="0"/>
              <a:t> RSS</a:t>
            </a:r>
            <a:endParaRPr lang="en-US"/>
          </a:p>
        </c:rich>
      </c:tx>
      <c:layout/>
    </c:title>
    <c:plotArea>
      <c:layout>
        <c:manualLayout>
          <c:layoutTarget val="inner"/>
          <c:xMode val="edge"/>
          <c:yMode val="edge"/>
          <c:x val="4.7443609022556434E-2"/>
          <c:y val="0.19480351414406533"/>
          <c:w val="0.67008900203264099"/>
          <c:h val="0.68921660834062359"/>
        </c:manualLayout>
      </c:layout>
      <c:scatterChart>
        <c:scatterStyle val="lineMarker"/>
        <c:ser>
          <c:idx val="0"/>
          <c:order val="0"/>
          <c:tx>
            <c:v>Car-PDSR Vs. RSS</c:v>
          </c:tx>
          <c:spPr>
            <a:ln w="28575">
              <a:noFill/>
            </a:ln>
          </c:spPr>
          <c:xVal>
            <c:numRef>
              <c:f>'40OBU'!$O$4:$O$32</c:f>
              <c:numCache>
                <c:formatCode>0.000000</c:formatCode>
                <c:ptCount val="29"/>
                <c:pt idx="0">
                  <c:v>-65.255852500000003</c:v>
                </c:pt>
                <c:pt idx="1">
                  <c:v>-63.031677299999998</c:v>
                </c:pt>
                <c:pt idx="2">
                  <c:v>-61.814430928571426</c:v>
                </c:pt>
                <c:pt idx="3">
                  <c:v>-61.642045900000006</c:v>
                </c:pt>
                <c:pt idx="4">
                  <c:v>-64.375169</c:v>
                </c:pt>
                <c:pt idx="5">
                  <c:v>-60.767088625</c:v>
                </c:pt>
                <c:pt idx="6">
                  <c:v>-63.098630400000005</c:v>
                </c:pt>
                <c:pt idx="7">
                  <c:v>-60.014466249999998</c:v>
                </c:pt>
                <c:pt idx="8">
                  <c:v>-59.209349750000001</c:v>
                </c:pt>
                <c:pt idx="9">
                  <c:v>-58.013750166666675</c:v>
                </c:pt>
                <c:pt idx="10">
                  <c:v>-57.765252875000002</c:v>
                </c:pt>
                <c:pt idx="11">
                  <c:v>-59.271719857142855</c:v>
                </c:pt>
                <c:pt idx="12">
                  <c:v>-58.86740666666666</c:v>
                </c:pt>
                <c:pt idx="13">
                  <c:v>-59.363032249999996</c:v>
                </c:pt>
                <c:pt idx="14">
                  <c:v>-60.239153499999993</c:v>
                </c:pt>
                <c:pt idx="15">
                  <c:v>-61.152296166666666</c:v>
                </c:pt>
                <c:pt idx="16">
                  <c:v>-62.949483166666674</c:v>
                </c:pt>
                <c:pt idx="17">
                  <c:v>-65.687265999999994</c:v>
                </c:pt>
                <c:pt idx="18">
                  <c:v>-62.592432500000001</c:v>
                </c:pt>
                <c:pt idx="19">
                  <c:v>-66.855609999999999</c:v>
                </c:pt>
                <c:pt idx="20">
                  <c:v>-64.390536666666662</c:v>
                </c:pt>
                <c:pt idx="21">
                  <c:v>-64.34689075</c:v>
                </c:pt>
                <c:pt idx="22">
                  <c:v>-65.1455275</c:v>
                </c:pt>
                <c:pt idx="23">
                  <c:v>-66.247425800000002</c:v>
                </c:pt>
                <c:pt idx="24">
                  <c:v>-65.405170083333331</c:v>
                </c:pt>
                <c:pt idx="25">
                  <c:v>-68.404607600000006</c:v>
                </c:pt>
                <c:pt idx="26">
                  <c:v>-67.96592287499999</c:v>
                </c:pt>
                <c:pt idx="27">
                  <c:v>-69.235691666666668</c:v>
                </c:pt>
                <c:pt idx="28">
                  <c:v>-70.693111999999999</c:v>
                </c:pt>
              </c:numCache>
            </c:numRef>
          </c:xVal>
          <c:yVal>
            <c:numRef>
              <c:f>'40OBU'!$M$4:$M$32</c:f>
              <c:numCache>
                <c:formatCode>0.0</c:formatCode>
                <c:ptCount val="29"/>
                <c:pt idx="0">
                  <c:v>61.951566951566953</c:v>
                </c:pt>
                <c:pt idx="1">
                  <c:v>64.943019943019948</c:v>
                </c:pt>
                <c:pt idx="2">
                  <c:v>65.256410256410248</c:v>
                </c:pt>
                <c:pt idx="3">
                  <c:v>65</c:v>
                </c:pt>
                <c:pt idx="4">
                  <c:v>67.307692307692307</c:v>
                </c:pt>
                <c:pt idx="5">
                  <c:v>61.666666666666664</c:v>
                </c:pt>
                <c:pt idx="6">
                  <c:v>69.871794871794876</c:v>
                </c:pt>
                <c:pt idx="7">
                  <c:v>66.538461538461533</c:v>
                </c:pt>
                <c:pt idx="8">
                  <c:v>60.669515669515675</c:v>
                </c:pt>
                <c:pt idx="9">
                  <c:v>65</c:v>
                </c:pt>
                <c:pt idx="10">
                  <c:v>65.769230769230774</c:v>
                </c:pt>
                <c:pt idx="11">
                  <c:v>59.387464387464391</c:v>
                </c:pt>
                <c:pt idx="12">
                  <c:v>65.256410256410248</c:v>
                </c:pt>
                <c:pt idx="13">
                  <c:v>57.535612535612536</c:v>
                </c:pt>
                <c:pt idx="14">
                  <c:v>62.692307692307693</c:v>
                </c:pt>
                <c:pt idx="15">
                  <c:v>58.46153846153846</c:v>
                </c:pt>
                <c:pt idx="16">
                  <c:v>58.675213675213676</c:v>
                </c:pt>
                <c:pt idx="17">
                  <c:v>62.307692307692307</c:v>
                </c:pt>
                <c:pt idx="18">
                  <c:v>58.960113960113958</c:v>
                </c:pt>
                <c:pt idx="19">
                  <c:v>67.435897435897431</c:v>
                </c:pt>
                <c:pt idx="20">
                  <c:v>63.846153846153847</c:v>
                </c:pt>
                <c:pt idx="21">
                  <c:v>66.410256410256409</c:v>
                </c:pt>
                <c:pt idx="22">
                  <c:v>55.683760683760681</c:v>
                </c:pt>
                <c:pt idx="23">
                  <c:v>69.230769230769226</c:v>
                </c:pt>
                <c:pt idx="24">
                  <c:v>62.948717948717949</c:v>
                </c:pt>
                <c:pt idx="25">
                  <c:v>65.512820512820511</c:v>
                </c:pt>
                <c:pt idx="26">
                  <c:v>64.358974358974365</c:v>
                </c:pt>
                <c:pt idx="27">
                  <c:v>61.809116809116809</c:v>
                </c:pt>
                <c:pt idx="28">
                  <c:v>59.230769230769234</c:v>
                </c:pt>
              </c:numCache>
            </c:numRef>
          </c:yVal>
        </c:ser>
        <c:axId val="123017856"/>
        <c:axId val="123023744"/>
      </c:scatterChart>
      <c:valAx>
        <c:axId val="123017856"/>
        <c:scaling>
          <c:orientation val="maxMin"/>
          <c:max val="-40"/>
          <c:min val="-100"/>
        </c:scaling>
        <c:axPos val="b"/>
        <c:majorGridlines/>
        <c:numFmt formatCode="0" sourceLinked="0"/>
        <c:tickLblPos val="nextTo"/>
        <c:crossAx val="123023744"/>
        <c:crosses val="autoZero"/>
        <c:crossBetween val="midCat"/>
      </c:valAx>
      <c:valAx>
        <c:axId val="123023744"/>
        <c:scaling>
          <c:orientation val="minMax"/>
          <c:max val="100"/>
          <c:min val="0"/>
        </c:scaling>
        <c:axPos val="r"/>
        <c:majorGridlines/>
        <c:numFmt formatCode="0" sourceLinked="0"/>
        <c:tickLblPos val="high"/>
        <c:crossAx val="123017856"/>
        <c:crosses val="autoZero"/>
        <c:crossBetween val="midCat"/>
      </c:valAx>
    </c:plotArea>
    <c:legend>
      <c:legendPos val="r"/>
      <c:layout/>
    </c:legend>
    <c:plotVisOnly val="1"/>
  </c:chart>
  <c:printSettings>
    <c:headerFooter/>
    <c:pageMargins b="0.75000000000000555" l="0.70000000000000062" r="0.70000000000000062" t="0.75000000000000555" header="0.30000000000000032" footer="0.30000000000000032"/>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RSS</a:t>
            </a:r>
            <a:endParaRPr lang="en-US"/>
          </a:p>
        </c:rich>
      </c:tx>
    </c:title>
    <c:plotArea>
      <c:layout>
        <c:manualLayout>
          <c:layoutTarget val="inner"/>
          <c:xMode val="edge"/>
          <c:yMode val="edge"/>
          <c:x val="3.6829824843323242E-2"/>
          <c:y val="0.19943314377369606"/>
          <c:w val="0.67306936632920922"/>
          <c:h val="0.68458697871098906"/>
        </c:manualLayout>
      </c:layout>
      <c:scatterChart>
        <c:scatterStyle val="lineMarker"/>
        <c:ser>
          <c:idx val="1"/>
          <c:order val="0"/>
          <c:tx>
            <c:v>RSU-PDR Vs. RSS</c:v>
          </c:tx>
          <c:spPr>
            <a:ln w="28575">
              <a:noFill/>
            </a:ln>
          </c:spPr>
          <c:xVal>
            <c:numRef>
              <c:f>'40OBU'!$Q$4:$Q$32</c:f>
              <c:numCache>
                <c:formatCode>0.000000</c:formatCode>
                <c:ptCount val="29"/>
                <c:pt idx="0">
                  <c:v>-61.661929111111107</c:v>
                </c:pt>
                <c:pt idx="1">
                  <c:v>-64.508364300000011</c:v>
                </c:pt>
                <c:pt idx="2">
                  <c:v>-60.818959199999995</c:v>
                </c:pt>
                <c:pt idx="3">
                  <c:v>-61.375874400000001</c:v>
                </c:pt>
                <c:pt idx="4">
                  <c:v>-62.734774333333341</c:v>
                </c:pt>
                <c:pt idx="5">
                  <c:v>-63.790362499999993</c:v>
                </c:pt>
                <c:pt idx="6">
                  <c:v>-59.736436000000005</c:v>
                </c:pt>
                <c:pt idx="7">
                  <c:v>-63.812070000000006</c:v>
                </c:pt>
                <c:pt idx="8">
                  <c:v>-58.958167000000003</c:v>
                </c:pt>
                <c:pt idx="9">
                  <c:v>-58.010738500000002</c:v>
                </c:pt>
                <c:pt idx="10">
                  <c:v>-58.597060749999997</c:v>
                </c:pt>
                <c:pt idx="11">
                  <c:v>-56.630772285714286</c:v>
                </c:pt>
                <c:pt idx="12">
                  <c:v>-55.750371666666666</c:v>
                </c:pt>
                <c:pt idx="13">
                  <c:v>-56.499872499999995</c:v>
                </c:pt>
                <c:pt idx="14">
                  <c:v>-61.974414000000003</c:v>
                </c:pt>
                <c:pt idx="15">
                  <c:v>-61.075119833333332</c:v>
                </c:pt>
                <c:pt idx="16">
                  <c:v>-63.147130666666669</c:v>
                </c:pt>
                <c:pt idx="17">
                  <c:v>-65.006444500000001</c:v>
                </c:pt>
                <c:pt idx="18">
                  <c:v>-63.125777499999998</c:v>
                </c:pt>
                <c:pt idx="19">
                  <c:v>-62.373282000000003</c:v>
                </c:pt>
                <c:pt idx="20">
                  <c:v>-63.565970333333325</c:v>
                </c:pt>
                <c:pt idx="21">
                  <c:v>-66.612063000000006</c:v>
                </c:pt>
                <c:pt idx="22">
                  <c:v>-58.535207</c:v>
                </c:pt>
                <c:pt idx="23">
                  <c:v>-67.787517199999996</c:v>
                </c:pt>
                <c:pt idx="24">
                  <c:v>-67.299149833333331</c:v>
                </c:pt>
                <c:pt idx="25">
                  <c:v>-68.395160399999995</c:v>
                </c:pt>
                <c:pt idx="26">
                  <c:v>-66.083845499999995</c:v>
                </c:pt>
                <c:pt idx="27">
                  <c:v>-65.937417999999994</c:v>
                </c:pt>
                <c:pt idx="28">
                  <c:v>-72.515762666666674</c:v>
                </c:pt>
              </c:numCache>
            </c:numRef>
          </c:xVal>
          <c:yVal>
            <c:numRef>
              <c:f>'40OBU'!$L$4:$L$32</c:f>
              <c:numCache>
                <c:formatCode>0.0</c:formatCode>
                <c:ptCount val="29"/>
                <c:pt idx="0">
                  <c:v>33.903133903133906</c:v>
                </c:pt>
                <c:pt idx="1">
                  <c:v>39.886039886039889</c:v>
                </c:pt>
                <c:pt idx="2">
                  <c:v>30.512820512820511</c:v>
                </c:pt>
                <c:pt idx="3">
                  <c:v>50</c:v>
                </c:pt>
                <c:pt idx="4">
                  <c:v>34.615384615384613</c:v>
                </c:pt>
                <c:pt idx="5">
                  <c:v>33.333333333333329</c:v>
                </c:pt>
                <c:pt idx="6">
                  <c:v>39.743589743589745</c:v>
                </c:pt>
                <c:pt idx="7">
                  <c:v>33.076923076923073</c:v>
                </c:pt>
                <c:pt idx="8">
                  <c:v>31.339031339031344</c:v>
                </c:pt>
                <c:pt idx="9">
                  <c:v>30</c:v>
                </c:pt>
                <c:pt idx="10">
                  <c:v>31.538461538461537</c:v>
                </c:pt>
                <c:pt idx="11">
                  <c:v>28.774928774928775</c:v>
                </c:pt>
                <c:pt idx="12">
                  <c:v>30.512820512820511</c:v>
                </c:pt>
                <c:pt idx="13">
                  <c:v>25.071225071225072</c:v>
                </c:pt>
                <c:pt idx="14">
                  <c:v>25.384615384615383</c:v>
                </c:pt>
                <c:pt idx="15">
                  <c:v>16.923076923076923</c:v>
                </c:pt>
                <c:pt idx="16">
                  <c:v>27.350427350427353</c:v>
                </c:pt>
                <c:pt idx="17">
                  <c:v>24.615384615384617</c:v>
                </c:pt>
                <c:pt idx="18">
                  <c:v>27.920227920227919</c:v>
                </c:pt>
                <c:pt idx="19">
                  <c:v>34.871794871794869</c:v>
                </c:pt>
                <c:pt idx="20">
                  <c:v>27.692307692307693</c:v>
                </c:pt>
                <c:pt idx="21">
                  <c:v>32.820512820512818</c:v>
                </c:pt>
                <c:pt idx="22">
                  <c:v>21.36752136752137</c:v>
                </c:pt>
                <c:pt idx="23">
                  <c:v>38.461538461538467</c:v>
                </c:pt>
                <c:pt idx="24">
                  <c:v>25.897435897435901</c:v>
                </c:pt>
                <c:pt idx="25">
                  <c:v>41.025641025641029</c:v>
                </c:pt>
                <c:pt idx="26">
                  <c:v>28.717948717948715</c:v>
                </c:pt>
                <c:pt idx="27">
                  <c:v>33.618233618233617</c:v>
                </c:pt>
                <c:pt idx="28">
                  <c:v>38.461538461538467</c:v>
                </c:pt>
              </c:numCache>
            </c:numRef>
          </c:yVal>
        </c:ser>
        <c:axId val="123067776"/>
        <c:axId val="77206656"/>
      </c:scatterChart>
      <c:valAx>
        <c:axId val="123067776"/>
        <c:scaling>
          <c:orientation val="maxMin"/>
          <c:min val="-100"/>
        </c:scaling>
        <c:axPos val="b"/>
        <c:majorGridlines/>
        <c:numFmt formatCode="0" sourceLinked="0"/>
        <c:tickLblPos val="nextTo"/>
        <c:crossAx val="77206656"/>
        <c:crosses val="autoZero"/>
        <c:crossBetween val="midCat"/>
      </c:valAx>
      <c:valAx>
        <c:axId val="77206656"/>
        <c:scaling>
          <c:orientation val="minMax"/>
          <c:max val="100"/>
          <c:min val="0"/>
        </c:scaling>
        <c:axPos val="r"/>
        <c:majorGridlines/>
        <c:numFmt formatCode="0" sourceLinked="0"/>
        <c:tickLblPos val="high"/>
        <c:crossAx val="123067776"/>
        <c:crosses val="autoZero"/>
        <c:crossBetween val="midCat"/>
      </c:valAx>
    </c:plotArea>
    <c:legend>
      <c:legendPos val="r"/>
    </c:legend>
    <c:plotVisOnly val="1"/>
  </c:chart>
  <c:printSettings>
    <c:headerFooter/>
    <c:pageMargins b="0.75000000000000533" l="0.70000000000000062" r="0.70000000000000062" t="0.75000000000000533"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SNR</a:t>
            </a:r>
            <a:endParaRPr lang="en-US"/>
          </a:p>
        </c:rich>
      </c:tx>
    </c:title>
    <c:plotArea>
      <c:layout>
        <c:manualLayout>
          <c:layoutTarget val="inner"/>
          <c:xMode val="edge"/>
          <c:yMode val="edge"/>
          <c:x val="9.2509056202685444E-2"/>
          <c:y val="0.19480351414406533"/>
          <c:w val="0.6611906466237264"/>
          <c:h val="0.68921660834062359"/>
        </c:manualLayout>
      </c:layout>
      <c:scatterChart>
        <c:scatterStyle val="lineMarker"/>
        <c:ser>
          <c:idx val="0"/>
          <c:order val="0"/>
          <c:tx>
            <c:v>RSU-PDR Vs. SNR</c:v>
          </c:tx>
          <c:spPr>
            <a:ln w="28575">
              <a:noFill/>
            </a:ln>
          </c:spPr>
          <c:marker>
            <c:spPr>
              <a:solidFill>
                <a:srgbClr val="C00000"/>
              </a:solidFill>
            </c:spPr>
          </c:marker>
          <c:xVal>
            <c:numRef>
              <c:f>'40OBU'!$R$4:$R$32</c:f>
              <c:numCache>
                <c:formatCode>0.000000</c:formatCode>
                <c:ptCount val="29"/>
                <c:pt idx="0">
                  <c:v>42.565488199999997</c:v>
                </c:pt>
                <c:pt idx="1">
                  <c:v>33.6845268</c:v>
                </c:pt>
                <c:pt idx="2">
                  <c:v>42.023293000000002</c:v>
                </c:pt>
                <c:pt idx="3">
                  <c:v>42.220671000000003</c:v>
                </c:pt>
                <c:pt idx="4">
                  <c:v>41.265225666666659</c:v>
                </c:pt>
                <c:pt idx="5">
                  <c:v>39.267242499999995</c:v>
                </c:pt>
                <c:pt idx="6">
                  <c:v>44.263563999999995</c:v>
                </c:pt>
                <c:pt idx="7">
                  <c:v>40.187930000000001</c:v>
                </c:pt>
                <c:pt idx="8">
                  <c:v>45.041832999999997</c:v>
                </c:pt>
                <c:pt idx="9">
                  <c:v>45.989261499999998</c:v>
                </c:pt>
                <c:pt idx="10">
                  <c:v>45.402939250000003</c:v>
                </c:pt>
                <c:pt idx="11">
                  <c:v>47.369227714285714</c:v>
                </c:pt>
                <c:pt idx="12">
                  <c:v>48.249628333333334</c:v>
                </c:pt>
                <c:pt idx="13">
                  <c:v>47.500127500000005</c:v>
                </c:pt>
                <c:pt idx="14">
                  <c:v>42.025585999999997</c:v>
                </c:pt>
                <c:pt idx="15">
                  <c:v>42.924880166666668</c:v>
                </c:pt>
                <c:pt idx="16">
                  <c:v>40.852869333333331</c:v>
                </c:pt>
                <c:pt idx="17">
                  <c:v>38.993555499999999</c:v>
                </c:pt>
                <c:pt idx="18">
                  <c:v>40.874222500000002</c:v>
                </c:pt>
                <c:pt idx="19">
                  <c:v>41.626717999999997</c:v>
                </c:pt>
                <c:pt idx="20">
                  <c:v>40.434029666666667</c:v>
                </c:pt>
                <c:pt idx="21">
                  <c:v>37.387936999999994</c:v>
                </c:pt>
                <c:pt idx="22">
                  <c:v>45.464793</c:v>
                </c:pt>
                <c:pt idx="23">
                  <c:v>36.212482799999997</c:v>
                </c:pt>
                <c:pt idx="24">
                  <c:v>36.700850166666662</c:v>
                </c:pt>
                <c:pt idx="25">
                  <c:v>35.604839600000005</c:v>
                </c:pt>
                <c:pt idx="26">
                  <c:v>37.916154499999998</c:v>
                </c:pt>
                <c:pt idx="27">
                  <c:v>38.062581999999999</c:v>
                </c:pt>
                <c:pt idx="28">
                  <c:v>31.484237333333336</c:v>
                </c:pt>
              </c:numCache>
            </c:numRef>
          </c:xVal>
          <c:yVal>
            <c:numRef>
              <c:f>'40OBU'!$L$4:$L$32</c:f>
              <c:numCache>
                <c:formatCode>0.0</c:formatCode>
                <c:ptCount val="29"/>
                <c:pt idx="0">
                  <c:v>33.903133903133906</c:v>
                </c:pt>
                <c:pt idx="1">
                  <c:v>39.886039886039889</c:v>
                </c:pt>
                <c:pt idx="2">
                  <c:v>30.512820512820511</c:v>
                </c:pt>
                <c:pt idx="3">
                  <c:v>50</c:v>
                </c:pt>
                <c:pt idx="4">
                  <c:v>34.615384615384613</c:v>
                </c:pt>
                <c:pt idx="5">
                  <c:v>33.333333333333329</c:v>
                </c:pt>
                <c:pt idx="6">
                  <c:v>39.743589743589745</c:v>
                </c:pt>
                <c:pt idx="7">
                  <c:v>33.076923076923073</c:v>
                </c:pt>
                <c:pt idx="8">
                  <c:v>31.339031339031344</c:v>
                </c:pt>
                <c:pt idx="9">
                  <c:v>30</c:v>
                </c:pt>
                <c:pt idx="10">
                  <c:v>31.538461538461537</c:v>
                </c:pt>
                <c:pt idx="11">
                  <c:v>28.774928774928775</c:v>
                </c:pt>
                <c:pt idx="12">
                  <c:v>30.512820512820511</c:v>
                </c:pt>
                <c:pt idx="13">
                  <c:v>25.071225071225072</c:v>
                </c:pt>
                <c:pt idx="14">
                  <c:v>25.384615384615383</c:v>
                </c:pt>
                <c:pt idx="15">
                  <c:v>16.923076923076923</c:v>
                </c:pt>
                <c:pt idx="16">
                  <c:v>27.350427350427353</c:v>
                </c:pt>
                <c:pt idx="17">
                  <c:v>24.615384615384617</c:v>
                </c:pt>
                <c:pt idx="18">
                  <c:v>27.920227920227919</c:v>
                </c:pt>
                <c:pt idx="19">
                  <c:v>34.871794871794869</c:v>
                </c:pt>
                <c:pt idx="20">
                  <c:v>27.692307692307693</c:v>
                </c:pt>
                <c:pt idx="21">
                  <c:v>32.820512820512818</c:v>
                </c:pt>
                <c:pt idx="22">
                  <c:v>21.36752136752137</c:v>
                </c:pt>
                <c:pt idx="23">
                  <c:v>38.461538461538467</c:v>
                </c:pt>
                <c:pt idx="24">
                  <c:v>25.897435897435901</c:v>
                </c:pt>
                <c:pt idx="25">
                  <c:v>41.025641025641029</c:v>
                </c:pt>
                <c:pt idx="26">
                  <c:v>28.717948717948715</c:v>
                </c:pt>
                <c:pt idx="27">
                  <c:v>33.618233618233617</c:v>
                </c:pt>
                <c:pt idx="28">
                  <c:v>38.461538461538467</c:v>
                </c:pt>
              </c:numCache>
            </c:numRef>
          </c:yVal>
        </c:ser>
        <c:axId val="77230464"/>
        <c:axId val="77232384"/>
      </c:scatterChart>
      <c:valAx>
        <c:axId val="77230464"/>
        <c:scaling>
          <c:orientation val="minMax"/>
          <c:max val="50"/>
          <c:min val="0"/>
        </c:scaling>
        <c:axPos val="b"/>
        <c:majorGridlines/>
        <c:numFmt formatCode="0" sourceLinked="0"/>
        <c:tickLblPos val="nextTo"/>
        <c:crossAx val="77232384"/>
        <c:crosses val="autoZero"/>
        <c:crossBetween val="midCat"/>
      </c:valAx>
      <c:valAx>
        <c:axId val="77232384"/>
        <c:scaling>
          <c:orientation val="minMax"/>
          <c:max val="100"/>
          <c:min val="0"/>
        </c:scaling>
        <c:axPos val="l"/>
        <c:majorGridlines/>
        <c:numFmt formatCode="0" sourceLinked="0"/>
        <c:tickLblPos val="nextTo"/>
        <c:crossAx val="77230464"/>
        <c:crosses val="autoZero"/>
        <c:crossBetween val="midCat"/>
      </c:valAx>
    </c:plotArea>
    <c:legend>
      <c:legendPos val="r"/>
    </c:legend>
    <c:plotVisOnly val="1"/>
  </c:chart>
  <c:printSettings>
    <c:headerFooter/>
    <c:pageMargins b="0.75000000000000533" l="0.70000000000000062" r="0.70000000000000062" t="0.75000000000000533" header="0.30000000000000032" footer="0.30000000000000032"/>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PSR</a:t>
            </a:r>
            <a:endParaRPr lang="en-US"/>
          </a:p>
        </c:rich>
      </c:tx>
    </c:title>
    <c:plotArea>
      <c:layout>
        <c:manualLayout>
          <c:layoutTarget val="inner"/>
          <c:xMode val="edge"/>
          <c:yMode val="edge"/>
          <c:x val="9.8925095901475218E-2"/>
          <c:y val="0.19480351414406533"/>
          <c:w val="0.68317221885725432"/>
          <c:h val="0.68921660834062359"/>
        </c:manualLayout>
      </c:layout>
      <c:scatterChart>
        <c:scatterStyle val="lineMarker"/>
        <c:ser>
          <c:idx val="0"/>
          <c:order val="0"/>
          <c:tx>
            <c:v>RSU-PDR Vs. PSR</c:v>
          </c:tx>
          <c:spPr>
            <a:ln w="28575">
              <a:noFill/>
            </a:ln>
          </c:spPr>
          <c:marker>
            <c:spPr>
              <a:solidFill>
                <a:srgbClr val="C00000"/>
              </a:solidFill>
            </c:spPr>
          </c:marker>
          <c:xVal>
            <c:numRef>
              <c:f>'40OBU'!$D$4:$D$32</c:f>
              <c:numCache>
                <c:formatCode>0</c:formatCode>
                <c:ptCount val="29"/>
                <c:pt idx="0">
                  <c:v>90</c:v>
                </c:pt>
                <c:pt idx="1">
                  <c:v>100</c:v>
                </c:pt>
                <c:pt idx="2">
                  <c:v>100</c:v>
                </c:pt>
                <c:pt idx="3">
                  <c:v>100</c:v>
                </c:pt>
                <c:pt idx="4">
                  <c:v>100</c:v>
                </c:pt>
                <c:pt idx="5">
                  <c:v>100</c:v>
                </c:pt>
                <c:pt idx="6">
                  <c:v>100</c:v>
                </c:pt>
                <c:pt idx="7">
                  <c:v>80</c:v>
                </c:pt>
                <c:pt idx="8">
                  <c:v>100</c:v>
                </c:pt>
                <c:pt idx="9">
                  <c:v>100</c:v>
                </c:pt>
                <c:pt idx="10">
                  <c:v>100</c:v>
                </c:pt>
                <c:pt idx="11">
                  <c:v>100</c:v>
                </c:pt>
                <c:pt idx="12">
                  <c:v>100</c:v>
                </c:pt>
                <c:pt idx="13">
                  <c:v>100</c:v>
                </c:pt>
                <c:pt idx="14">
                  <c:v>90</c:v>
                </c:pt>
                <c:pt idx="15">
                  <c:v>100</c:v>
                </c:pt>
                <c:pt idx="16">
                  <c:v>100</c:v>
                </c:pt>
                <c:pt idx="17">
                  <c:v>100</c:v>
                </c:pt>
                <c:pt idx="18">
                  <c:v>100</c:v>
                </c:pt>
                <c:pt idx="19">
                  <c:v>100</c:v>
                </c:pt>
                <c:pt idx="20">
                  <c:v>100</c:v>
                </c:pt>
                <c:pt idx="21">
                  <c:v>90</c:v>
                </c:pt>
                <c:pt idx="22">
                  <c:v>100</c:v>
                </c:pt>
                <c:pt idx="23">
                  <c:v>100</c:v>
                </c:pt>
                <c:pt idx="24">
                  <c:v>100</c:v>
                </c:pt>
                <c:pt idx="25">
                  <c:v>100</c:v>
                </c:pt>
                <c:pt idx="26">
                  <c:v>80</c:v>
                </c:pt>
                <c:pt idx="27">
                  <c:v>100</c:v>
                </c:pt>
                <c:pt idx="28">
                  <c:v>100</c:v>
                </c:pt>
              </c:numCache>
            </c:numRef>
          </c:xVal>
          <c:yVal>
            <c:numRef>
              <c:f>'40OBU'!$L$4:$L$32</c:f>
              <c:numCache>
                <c:formatCode>0.0</c:formatCode>
                <c:ptCount val="29"/>
                <c:pt idx="0">
                  <c:v>33.903133903133906</c:v>
                </c:pt>
                <c:pt idx="1">
                  <c:v>39.886039886039889</c:v>
                </c:pt>
                <c:pt idx="2">
                  <c:v>30.512820512820511</c:v>
                </c:pt>
                <c:pt idx="3">
                  <c:v>50</c:v>
                </c:pt>
                <c:pt idx="4">
                  <c:v>34.615384615384613</c:v>
                </c:pt>
                <c:pt idx="5">
                  <c:v>33.333333333333329</c:v>
                </c:pt>
                <c:pt idx="6">
                  <c:v>39.743589743589745</c:v>
                </c:pt>
                <c:pt idx="7">
                  <c:v>33.076923076923073</c:v>
                </c:pt>
                <c:pt idx="8">
                  <c:v>31.339031339031344</c:v>
                </c:pt>
                <c:pt idx="9">
                  <c:v>30</c:v>
                </c:pt>
                <c:pt idx="10">
                  <c:v>31.538461538461537</c:v>
                </c:pt>
                <c:pt idx="11">
                  <c:v>28.774928774928775</c:v>
                </c:pt>
                <c:pt idx="12">
                  <c:v>30.512820512820511</c:v>
                </c:pt>
                <c:pt idx="13">
                  <c:v>25.071225071225072</c:v>
                </c:pt>
                <c:pt idx="14">
                  <c:v>25.384615384615383</c:v>
                </c:pt>
                <c:pt idx="15">
                  <c:v>16.923076923076923</c:v>
                </c:pt>
                <c:pt idx="16">
                  <c:v>27.350427350427353</c:v>
                </c:pt>
                <c:pt idx="17">
                  <c:v>24.615384615384617</c:v>
                </c:pt>
                <c:pt idx="18">
                  <c:v>27.920227920227919</c:v>
                </c:pt>
                <c:pt idx="19">
                  <c:v>34.871794871794869</c:v>
                </c:pt>
                <c:pt idx="20">
                  <c:v>27.692307692307693</c:v>
                </c:pt>
                <c:pt idx="21">
                  <c:v>32.820512820512818</c:v>
                </c:pt>
                <c:pt idx="22">
                  <c:v>21.36752136752137</c:v>
                </c:pt>
                <c:pt idx="23">
                  <c:v>38.461538461538467</c:v>
                </c:pt>
                <c:pt idx="24">
                  <c:v>25.897435897435901</c:v>
                </c:pt>
                <c:pt idx="25">
                  <c:v>41.025641025641029</c:v>
                </c:pt>
                <c:pt idx="26">
                  <c:v>28.717948717948715</c:v>
                </c:pt>
                <c:pt idx="27">
                  <c:v>33.618233618233617</c:v>
                </c:pt>
                <c:pt idx="28">
                  <c:v>38.461538461538467</c:v>
                </c:pt>
              </c:numCache>
            </c:numRef>
          </c:yVal>
        </c:ser>
        <c:axId val="77245440"/>
        <c:axId val="77249920"/>
      </c:scatterChart>
      <c:valAx>
        <c:axId val="77245440"/>
        <c:scaling>
          <c:orientation val="minMax"/>
          <c:max val="100"/>
          <c:min val="0"/>
        </c:scaling>
        <c:axPos val="b"/>
        <c:majorGridlines/>
        <c:numFmt formatCode="0" sourceLinked="1"/>
        <c:tickLblPos val="nextTo"/>
        <c:crossAx val="77249920"/>
        <c:crosses val="autoZero"/>
        <c:crossBetween val="midCat"/>
      </c:valAx>
      <c:valAx>
        <c:axId val="77249920"/>
        <c:scaling>
          <c:orientation val="minMax"/>
          <c:max val="100"/>
          <c:min val="0"/>
        </c:scaling>
        <c:axPos val="l"/>
        <c:majorGridlines/>
        <c:numFmt formatCode="0" sourceLinked="0"/>
        <c:tickLblPos val="nextTo"/>
        <c:crossAx val="77245440"/>
        <c:crosses val="autoZero"/>
        <c:crossBetween val="midCat"/>
      </c:valAx>
    </c:plotArea>
    <c:legend>
      <c:legendPos val="r"/>
      <c:layout>
        <c:manualLayout>
          <c:xMode val="edge"/>
          <c:yMode val="edge"/>
          <c:x val="0.77936018574600818"/>
          <c:y val="0.61780584718577503"/>
          <c:w val="0.21807571168988488"/>
          <c:h val="8.3717191601050026E-2"/>
        </c:manualLayout>
      </c:layout>
    </c:legend>
    <c:plotVisOnly val="1"/>
  </c:chart>
  <c:printSettings>
    <c:headerFooter/>
    <c:pageMargins b="0.75000000000000533" l="0.70000000000000062" r="0.70000000000000062" t="0.75000000000000533" header="0.30000000000000032" footer="0.30000000000000032"/>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RSU-PDSR Vs.</a:t>
            </a:r>
            <a:r>
              <a:rPr lang="en-US" baseline="0"/>
              <a:t> RSS</a:t>
            </a:r>
            <a:endParaRPr lang="en-US"/>
          </a:p>
        </c:rich>
      </c:tx>
    </c:title>
    <c:plotArea>
      <c:layout/>
      <c:scatterChart>
        <c:scatterStyle val="lineMarker"/>
        <c:ser>
          <c:idx val="1"/>
          <c:order val="0"/>
          <c:tx>
            <c:v>PDSR Vs RSS</c:v>
          </c:tx>
          <c:spPr>
            <a:ln w="28575">
              <a:noFill/>
            </a:ln>
          </c:spPr>
          <c:xVal>
            <c:numRef>
              <c:f>'40OBU'!$Q$4:$Q$32</c:f>
              <c:numCache>
                <c:formatCode>0.000000</c:formatCode>
                <c:ptCount val="29"/>
                <c:pt idx="0">
                  <c:v>-61.661929111111107</c:v>
                </c:pt>
                <c:pt idx="1">
                  <c:v>-64.508364300000011</c:v>
                </c:pt>
                <c:pt idx="2">
                  <c:v>-60.818959199999995</c:v>
                </c:pt>
                <c:pt idx="3">
                  <c:v>-61.375874400000001</c:v>
                </c:pt>
                <c:pt idx="4">
                  <c:v>-62.734774333333341</c:v>
                </c:pt>
                <c:pt idx="5">
                  <c:v>-63.790362499999993</c:v>
                </c:pt>
                <c:pt idx="6">
                  <c:v>-59.736436000000005</c:v>
                </c:pt>
                <c:pt idx="7">
                  <c:v>-63.812070000000006</c:v>
                </c:pt>
                <c:pt idx="8">
                  <c:v>-58.958167000000003</c:v>
                </c:pt>
                <c:pt idx="9">
                  <c:v>-58.010738500000002</c:v>
                </c:pt>
                <c:pt idx="10">
                  <c:v>-58.597060749999997</c:v>
                </c:pt>
                <c:pt idx="11">
                  <c:v>-56.630772285714286</c:v>
                </c:pt>
                <c:pt idx="12">
                  <c:v>-55.750371666666666</c:v>
                </c:pt>
                <c:pt idx="13">
                  <c:v>-56.499872499999995</c:v>
                </c:pt>
                <c:pt idx="14">
                  <c:v>-61.974414000000003</c:v>
                </c:pt>
                <c:pt idx="15">
                  <c:v>-61.075119833333332</c:v>
                </c:pt>
                <c:pt idx="16">
                  <c:v>-63.147130666666669</c:v>
                </c:pt>
                <c:pt idx="17">
                  <c:v>-65.006444500000001</c:v>
                </c:pt>
                <c:pt idx="18">
                  <c:v>-63.125777499999998</c:v>
                </c:pt>
                <c:pt idx="19">
                  <c:v>-62.373282000000003</c:v>
                </c:pt>
                <c:pt idx="20">
                  <c:v>-63.565970333333325</c:v>
                </c:pt>
                <c:pt idx="21">
                  <c:v>-66.612063000000006</c:v>
                </c:pt>
                <c:pt idx="22">
                  <c:v>-58.535207</c:v>
                </c:pt>
                <c:pt idx="23">
                  <c:v>-67.787517199999996</c:v>
                </c:pt>
                <c:pt idx="24">
                  <c:v>-67.299149833333331</c:v>
                </c:pt>
                <c:pt idx="25">
                  <c:v>-68.395160399999995</c:v>
                </c:pt>
                <c:pt idx="26">
                  <c:v>-66.083845499999995</c:v>
                </c:pt>
                <c:pt idx="27">
                  <c:v>-65.937417999999994</c:v>
                </c:pt>
                <c:pt idx="28">
                  <c:v>-72.515762666666674</c:v>
                </c:pt>
              </c:numCache>
            </c:numRef>
          </c:xVal>
          <c:yVal>
            <c:numRef>
              <c:f>'40OBU'!$G$4:$G$32</c:f>
              <c:numCache>
                <c:formatCode>General</c:formatCode>
                <c:ptCount val="29"/>
                <c:pt idx="0" formatCode="0.00">
                  <c:v>72.777777777777771</c:v>
                </c:pt>
                <c:pt idx="1">
                  <c:v>75</c:v>
                </c:pt>
                <c:pt idx="2">
                  <c:v>85</c:v>
                </c:pt>
                <c:pt idx="3">
                  <c:v>75</c:v>
                </c:pt>
                <c:pt idx="4">
                  <c:v>65</c:v>
                </c:pt>
                <c:pt idx="5">
                  <c:v>70</c:v>
                </c:pt>
                <c:pt idx="6">
                  <c:v>75</c:v>
                </c:pt>
                <c:pt idx="7">
                  <c:v>77.5</c:v>
                </c:pt>
                <c:pt idx="8">
                  <c:v>60</c:v>
                </c:pt>
                <c:pt idx="9">
                  <c:v>80</c:v>
                </c:pt>
                <c:pt idx="10">
                  <c:v>70</c:v>
                </c:pt>
                <c:pt idx="11">
                  <c:v>85</c:v>
                </c:pt>
                <c:pt idx="12">
                  <c:v>70</c:v>
                </c:pt>
                <c:pt idx="13">
                  <c:v>60</c:v>
                </c:pt>
                <c:pt idx="14" formatCode="0">
                  <c:v>61.666666666666664</c:v>
                </c:pt>
                <c:pt idx="15" formatCode="0">
                  <c:v>80</c:v>
                </c:pt>
                <c:pt idx="16" formatCode="0">
                  <c:v>65</c:v>
                </c:pt>
                <c:pt idx="17" formatCode="0">
                  <c:v>60</c:v>
                </c:pt>
                <c:pt idx="18" formatCode="0">
                  <c:v>60</c:v>
                </c:pt>
                <c:pt idx="19" formatCode="0">
                  <c:v>60</c:v>
                </c:pt>
                <c:pt idx="20" formatCode="0">
                  <c:v>65</c:v>
                </c:pt>
                <c:pt idx="21" formatCode="0">
                  <c:v>56.111111111111114</c:v>
                </c:pt>
                <c:pt idx="22">
                  <c:v>55</c:v>
                </c:pt>
                <c:pt idx="23">
                  <c:v>75</c:v>
                </c:pt>
                <c:pt idx="24">
                  <c:v>80</c:v>
                </c:pt>
                <c:pt idx="25">
                  <c:v>75</c:v>
                </c:pt>
                <c:pt idx="26">
                  <c:v>65</c:v>
                </c:pt>
                <c:pt idx="27">
                  <c:v>65</c:v>
                </c:pt>
                <c:pt idx="28">
                  <c:v>65</c:v>
                </c:pt>
              </c:numCache>
            </c:numRef>
          </c:yVal>
        </c:ser>
        <c:axId val="77279232"/>
        <c:axId val="77320960"/>
      </c:scatterChart>
      <c:valAx>
        <c:axId val="77279232"/>
        <c:scaling>
          <c:orientation val="maxMin"/>
          <c:max val="-40"/>
          <c:min val="-100"/>
        </c:scaling>
        <c:axPos val="b"/>
        <c:majorGridlines/>
        <c:numFmt formatCode="0" sourceLinked="0"/>
        <c:tickLblPos val="nextTo"/>
        <c:crossAx val="77320960"/>
        <c:crosses val="autoZero"/>
        <c:crossBetween val="midCat"/>
      </c:valAx>
      <c:valAx>
        <c:axId val="77320960"/>
        <c:scaling>
          <c:orientation val="minMax"/>
          <c:max val="100"/>
          <c:min val="0"/>
        </c:scaling>
        <c:axPos val="r"/>
        <c:majorGridlines/>
        <c:numFmt formatCode="0" sourceLinked="0"/>
        <c:tickLblPos val="high"/>
        <c:crossAx val="77279232"/>
        <c:crosses val="autoZero"/>
        <c:crossBetween val="midCat"/>
      </c:valAx>
    </c:plotArea>
    <c:legend>
      <c:legendPos val="r"/>
    </c:legend>
    <c:plotVisOnly val="1"/>
  </c:chart>
  <c:printSettings>
    <c:headerFooter/>
    <c:pageMargins b="0.75000000000000533" l="0.70000000000000062" r="0.70000000000000062" t="0.75000000000000533" header="0.30000000000000032" footer="0.30000000000000032"/>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 RSS over Time</a:t>
            </a:r>
          </a:p>
        </c:rich>
      </c:tx>
    </c:title>
    <c:plotArea>
      <c:layout>
        <c:manualLayout>
          <c:layoutTarget val="inner"/>
          <c:xMode val="edge"/>
          <c:yMode val="edge"/>
          <c:x val="4.7443609022556434E-2"/>
          <c:y val="0.19480351414406533"/>
          <c:w val="0.77649345989519691"/>
          <c:h val="0.68921660834062359"/>
        </c:manualLayout>
      </c:layout>
      <c:scatterChart>
        <c:scatterStyle val="lineMarker"/>
        <c:ser>
          <c:idx val="0"/>
          <c:order val="0"/>
          <c:tx>
            <c:v>RSU- RSS</c:v>
          </c:tx>
          <c:spPr>
            <a:ln w="28575">
              <a:noFill/>
            </a:ln>
          </c:spPr>
          <c:xVal>
            <c:numRef>
              <c:f>'100OBU'!$A$3:$A$32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'40OBU'!$Q$3:$Q$32</c:f>
              <c:numCache>
                <c:formatCode>0.000000</c:formatCode>
                <c:ptCount val="30"/>
                <c:pt idx="0" formatCode="General">
                  <c:v>0</c:v>
                </c:pt>
                <c:pt idx="1">
                  <c:v>-61.661929111111107</c:v>
                </c:pt>
                <c:pt idx="2">
                  <c:v>-64.508364300000011</c:v>
                </c:pt>
                <c:pt idx="3">
                  <c:v>-60.818959199999995</c:v>
                </c:pt>
                <c:pt idx="4">
                  <c:v>-61.375874400000001</c:v>
                </c:pt>
                <c:pt idx="5">
                  <c:v>-62.734774333333341</c:v>
                </c:pt>
                <c:pt idx="6">
                  <c:v>-63.790362499999993</c:v>
                </c:pt>
                <c:pt idx="7">
                  <c:v>-59.736436000000005</c:v>
                </c:pt>
                <c:pt idx="8">
                  <c:v>-63.812070000000006</c:v>
                </c:pt>
                <c:pt idx="9">
                  <c:v>-58.958167000000003</c:v>
                </c:pt>
                <c:pt idx="10">
                  <c:v>-58.010738500000002</c:v>
                </c:pt>
                <c:pt idx="11">
                  <c:v>-58.597060749999997</c:v>
                </c:pt>
                <c:pt idx="12">
                  <c:v>-56.630772285714286</c:v>
                </c:pt>
                <c:pt idx="13">
                  <c:v>-55.750371666666666</c:v>
                </c:pt>
                <c:pt idx="14">
                  <c:v>-56.499872499999995</c:v>
                </c:pt>
                <c:pt idx="15">
                  <c:v>-61.974414000000003</c:v>
                </c:pt>
                <c:pt idx="16">
                  <c:v>-61.075119833333332</c:v>
                </c:pt>
                <c:pt idx="17">
                  <c:v>-63.147130666666669</c:v>
                </c:pt>
                <c:pt idx="18">
                  <c:v>-65.006444500000001</c:v>
                </c:pt>
                <c:pt idx="19">
                  <c:v>-63.125777499999998</c:v>
                </c:pt>
                <c:pt idx="20">
                  <c:v>-62.373282000000003</c:v>
                </c:pt>
                <c:pt idx="21">
                  <c:v>-63.565970333333325</c:v>
                </c:pt>
                <c:pt idx="22">
                  <c:v>-66.612063000000006</c:v>
                </c:pt>
                <c:pt idx="23">
                  <c:v>-58.535207</c:v>
                </c:pt>
                <c:pt idx="24">
                  <c:v>-67.787517199999996</c:v>
                </c:pt>
                <c:pt idx="25">
                  <c:v>-67.299149833333331</c:v>
                </c:pt>
                <c:pt idx="26">
                  <c:v>-68.395160399999995</c:v>
                </c:pt>
                <c:pt idx="27">
                  <c:v>-66.083845499999995</c:v>
                </c:pt>
                <c:pt idx="28">
                  <c:v>-65.937417999999994</c:v>
                </c:pt>
                <c:pt idx="29">
                  <c:v>-72.515762666666674</c:v>
                </c:pt>
              </c:numCache>
            </c:numRef>
          </c:yVal>
        </c:ser>
        <c:axId val="77325440"/>
        <c:axId val="77350784"/>
      </c:scatterChart>
      <c:valAx>
        <c:axId val="77325440"/>
        <c:scaling>
          <c:orientation val="minMax"/>
        </c:scaling>
        <c:axPos val="b"/>
        <c:majorGridlines/>
        <c:numFmt formatCode="0" sourceLinked="0"/>
        <c:tickLblPos val="low"/>
        <c:crossAx val="77350784"/>
        <c:crosses val="autoZero"/>
        <c:crossBetween val="midCat"/>
      </c:valAx>
      <c:valAx>
        <c:axId val="77350784"/>
        <c:scaling>
          <c:orientation val="minMax"/>
        </c:scaling>
        <c:axPos val="l"/>
        <c:majorGridlines/>
        <c:numFmt formatCode="General" sourceLinked="1"/>
        <c:tickLblPos val="low"/>
        <c:crossAx val="77325440"/>
        <c:crosses val="autoZero"/>
        <c:crossBetween val="midCat"/>
      </c:valAx>
    </c:plotArea>
    <c:legend>
      <c:legendPos val="r"/>
    </c:legend>
    <c:plotVisOnly val="1"/>
  </c:chart>
  <c:printSettings>
    <c:headerFooter/>
    <c:pageMargins b="0.75000000000000711" l="0.70000000000000062" r="0.70000000000000062" t="0.75000000000000711" header="0.30000000000000032" footer="0.30000000000000032"/>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RSS</a:t>
            </a:r>
            <a:endParaRPr lang="en-US"/>
          </a:p>
        </c:rich>
      </c:tx>
      <c:layout/>
    </c:title>
    <c:plotArea>
      <c:layout/>
      <c:scatterChart>
        <c:scatterStyle val="lineMarker"/>
        <c:ser>
          <c:idx val="0"/>
          <c:order val="0"/>
          <c:tx>
            <c:strRef>
              <c:f>'10OBU'!$F$2</c:f>
              <c:strCache>
                <c:ptCount val="1"/>
                <c:pt idx="0">
                  <c:v>Car-PDR (%)</c:v>
                </c:pt>
              </c:strCache>
            </c:strRef>
          </c:tx>
          <c:spPr>
            <a:ln w="28575">
              <a:noFill/>
            </a:ln>
          </c:spPr>
          <c:xVal>
            <c:numRef>
              <c:f>'60OBU'!$O$4:$O$32</c:f>
              <c:numCache>
                <c:formatCode>General</c:formatCode>
                <c:ptCount val="29"/>
                <c:pt idx="0">
                  <c:v>-63.475570499999989</c:v>
                </c:pt>
                <c:pt idx="1">
                  <c:v>-62.996167999999997</c:v>
                </c:pt>
                <c:pt idx="2">
                  <c:v>-61.8351957</c:v>
                </c:pt>
                <c:pt idx="3">
                  <c:v>-59.779239300000008</c:v>
                </c:pt>
                <c:pt idx="4">
                  <c:v>-60.864844699999992</c:v>
                </c:pt>
                <c:pt idx="5">
                  <c:v>-60.246638199999992</c:v>
                </c:pt>
                <c:pt idx="6">
                  <c:v>-59.095344400000002</c:v>
                </c:pt>
                <c:pt idx="7">
                  <c:v>-61.169057999999993</c:v>
                </c:pt>
                <c:pt idx="8">
                  <c:v>-61.818451599999989</c:v>
                </c:pt>
                <c:pt idx="9">
                  <c:v>-62.881973599999995</c:v>
                </c:pt>
                <c:pt idx="10">
                  <c:v>-61.240874200000007</c:v>
                </c:pt>
                <c:pt idx="11">
                  <c:v>-59.072148800000001</c:v>
                </c:pt>
                <c:pt idx="12">
                  <c:v>-58.536637600000006</c:v>
                </c:pt>
                <c:pt idx="13">
                  <c:v>-61.667767900000001</c:v>
                </c:pt>
                <c:pt idx="14">
                  <c:v>-64.516830999999996</c:v>
                </c:pt>
                <c:pt idx="15">
                  <c:v>-63.381384699999998</c:v>
                </c:pt>
                <c:pt idx="16">
                  <c:v>-66.636585699999998</c:v>
                </c:pt>
                <c:pt idx="17">
                  <c:v>-61.831881499999994</c:v>
                </c:pt>
                <c:pt idx="18">
                  <c:v>-65.200237800000011</c:v>
                </c:pt>
                <c:pt idx="19">
                  <c:v>-66.821134900000004</c:v>
                </c:pt>
                <c:pt idx="20">
                  <c:v>-63.825019100000006</c:v>
                </c:pt>
                <c:pt idx="21">
                  <c:v>-63.165632499999994</c:v>
                </c:pt>
                <c:pt idx="22">
                  <c:v>-70.027382500000016</c:v>
                </c:pt>
                <c:pt idx="23">
                  <c:v>-66.098343599999993</c:v>
                </c:pt>
                <c:pt idx="24">
                  <c:v>-67.190942199999995</c:v>
                </c:pt>
                <c:pt idx="25">
                  <c:v>-69.909962400000012</c:v>
                </c:pt>
                <c:pt idx="26">
                  <c:v>-69.524512600000008</c:v>
                </c:pt>
                <c:pt idx="27">
                  <c:v>-63.696475000000007</c:v>
                </c:pt>
                <c:pt idx="28">
                  <c:v>-63.347886000000003</c:v>
                </c:pt>
              </c:numCache>
            </c:numRef>
          </c:xVal>
          <c:yVal>
            <c:numRef>
              <c:f>'60OBU'!$F$4:$F$32</c:f>
              <c:numCache>
                <c:formatCode>0</c:formatCode>
                <c:ptCount val="29"/>
                <c:pt idx="0">
                  <c:v>44.4444444444444</c:v>
                </c:pt>
                <c:pt idx="1">
                  <c:v>40</c:v>
                </c:pt>
                <c:pt idx="2">
                  <c:v>50</c:v>
                </c:pt>
                <c:pt idx="3">
                  <c:v>20</c:v>
                </c:pt>
                <c:pt idx="4">
                  <c:v>40</c:v>
                </c:pt>
                <c:pt idx="5">
                  <c:v>30</c:v>
                </c:pt>
                <c:pt idx="6">
                  <c:v>30</c:v>
                </c:pt>
                <c:pt idx="7">
                  <c:v>30</c:v>
                </c:pt>
                <c:pt idx="8">
                  <c:v>20</c:v>
                </c:pt>
                <c:pt idx="9">
                  <c:v>50</c:v>
                </c:pt>
                <c:pt idx="10">
                  <c:v>30</c:v>
                </c:pt>
                <c:pt idx="11">
                  <c:v>40</c:v>
                </c:pt>
                <c:pt idx="12">
                  <c:v>60</c:v>
                </c:pt>
                <c:pt idx="13">
                  <c:v>10</c:v>
                </c:pt>
                <c:pt idx="14">
                  <c:v>50</c:v>
                </c:pt>
                <c:pt idx="15">
                  <c:v>70</c:v>
                </c:pt>
                <c:pt idx="16">
                  <c:v>50</c:v>
                </c:pt>
                <c:pt idx="17">
                  <c:v>30</c:v>
                </c:pt>
                <c:pt idx="18">
                  <c:v>50</c:v>
                </c:pt>
                <c:pt idx="19">
                  <c:v>30</c:v>
                </c:pt>
                <c:pt idx="20">
                  <c:v>20</c:v>
                </c:pt>
                <c:pt idx="21">
                  <c:v>10</c:v>
                </c:pt>
                <c:pt idx="22">
                  <c:v>50</c:v>
                </c:pt>
                <c:pt idx="23">
                  <c:v>30</c:v>
                </c:pt>
                <c:pt idx="24">
                  <c:v>20</c:v>
                </c:pt>
                <c:pt idx="25">
                  <c:v>10</c:v>
                </c:pt>
                <c:pt idx="26">
                  <c:v>40</c:v>
                </c:pt>
                <c:pt idx="27">
                  <c:v>40</c:v>
                </c:pt>
                <c:pt idx="28">
                  <c:v>50</c:v>
                </c:pt>
              </c:numCache>
            </c:numRef>
          </c:yVal>
        </c:ser>
        <c:axId val="77387648"/>
        <c:axId val="77418496"/>
      </c:scatterChart>
      <c:valAx>
        <c:axId val="77387648"/>
        <c:scaling>
          <c:orientation val="maxMin"/>
          <c:max val="0"/>
          <c:min val="-100"/>
        </c:scaling>
        <c:axPos val="b"/>
        <c:majorGridlines/>
        <c:numFmt formatCode="0" sourceLinked="0"/>
        <c:tickLblPos val="nextTo"/>
        <c:crossAx val="77418496"/>
        <c:crosses val="autoZero"/>
        <c:crossBetween val="midCat"/>
      </c:valAx>
      <c:valAx>
        <c:axId val="77418496"/>
        <c:scaling>
          <c:orientation val="minMax"/>
          <c:max val="100"/>
          <c:min val="0"/>
        </c:scaling>
        <c:axPos val="r"/>
        <c:majorGridlines/>
        <c:numFmt formatCode="0" sourceLinked="1"/>
        <c:tickLblPos val="high"/>
        <c:crossAx val="77387648"/>
        <c:crosses val="autoZero"/>
        <c:crossBetween val="midCat"/>
      </c:valAx>
    </c:plotArea>
    <c:legend>
      <c:legendPos val="r"/>
      <c:layout/>
    </c:legend>
    <c:plotVisOnly val="1"/>
  </c:chart>
  <c:printSettings>
    <c:headerFooter/>
    <c:pageMargins b="0.75000000000000533" l="0.70000000000000062" r="0.70000000000000062" t="0.75000000000000533" header="0.30000000000000032" footer="0.30000000000000032"/>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 SNR</a:t>
            </a:r>
          </a:p>
        </c:rich>
      </c:tx>
      <c:layout/>
    </c:title>
    <c:plotArea>
      <c:layout/>
      <c:scatterChart>
        <c:scatterStyle val="lineMarker"/>
        <c:ser>
          <c:idx val="0"/>
          <c:order val="0"/>
          <c:tx>
            <c:strRef>
              <c:f>'10OBU'!$F$2</c:f>
              <c:strCache>
                <c:ptCount val="1"/>
                <c:pt idx="0">
                  <c:v>Car-PDR (%)</c:v>
                </c:pt>
              </c:strCache>
            </c:strRef>
          </c:tx>
          <c:spPr>
            <a:ln w="28575">
              <a:noFill/>
            </a:ln>
          </c:spPr>
          <c:xVal>
            <c:numRef>
              <c:f>'60OBU'!$P$4:$P$32</c:f>
              <c:numCache>
                <c:formatCode>General</c:formatCode>
                <c:ptCount val="29"/>
                <c:pt idx="0">
                  <c:v>40.524429499999997</c:v>
                </c:pt>
                <c:pt idx="1">
                  <c:v>41.003832000000003</c:v>
                </c:pt>
                <c:pt idx="2">
                  <c:v>42.164804299999993</c:v>
                </c:pt>
                <c:pt idx="3">
                  <c:v>44.2207607</c:v>
                </c:pt>
                <c:pt idx="4">
                  <c:v>43.135155300000001</c:v>
                </c:pt>
                <c:pt idx="5">
                  <c:v>43.753361800000008</c:v>
                </c:pt>
                <c:pt idx="6">
                  <c:v>44.904655599999998</c:v>
                </c:pt>
                <c:pt idx="7">
                  <c:v>42.830942</c:v>
                </c:pt>
                <c:pt idx="8">
                  <c:v>42.181548400000011</c:v>
                </c:pt>
                <c:pt idx="9">
                  <c:v>41.118026399999998</c:v>
                </c:pt>
                <c:pt idx="10">
                  <c:v>42.759125800000007</c:v>
                </c:pt>
                <c:pt idx="11">
                  <c:v>44.927851200000006</c:v>
                </c:pt>
                <c:pt idx="12">
                  <c:v>45.463362400000001</c:v>
                </c:pt>
                <c:pt idx="13">
                  <c:v>42.332232099999999</c:v>
                </c:pt>
                <c:pt idx="14">
                  <c:v>39.483169000000004</c:v>
                </c:pt>
                <c:pt idx="15">
                  <c:v>40.618615300000002</c:v>
                </c:pt>
                <c:pt idx="16">
                  <c:v>37.363414300000002</c:v>
                </c:pt>
                <c:pt idx="17">
                  <c:v>42.168118499999999</c:v>
                </c:pt>
                <c:pt idx="18">
                  <c:v>38.799762200000004</c:v>
                </c:pt>
                <c:pt idx="19">
                  <c:v>37.178865100000003</c:v>
                </c:pt>
                <c:pt idx="20">
                  <c:v>40.174980899999994</c:v>
                </c:pt>
                <c:pt idx="21">
                  <c:v>40.834367499999999</c:v>
                </c:pt>
                <c:pt idx="22">
                  <c:v>33.972617499999998</c:v>
                </c:pt>
                <c:pt idx="23">
                  <c:v>37.9016564</c:v>
                </c:pt>
                <c:pt idx="24">
                  <c:v>36.809057799999998</c:v>
                </c:pt>
                <c:pt idx="25">
                  <c:v>34.090037599999995</c:v>
                </c:pt>
                <c:pt idx="26">
                  <c:v>34.475487399999999</c:v>
                </c:pt>
                <c:pt idx="27">
                  <c:v>40.303524999999993</c:v>
                </c:pt>
                <c:pt idx="28">
                  <c:v>40.652113999999997</c:v>
                </c:pt>
              </c:numCache>
            </c:numRef>
          </c:xVal>
          <c:yVal>
            <c:numRef>
              <c:f>'60OBU'!$F$4:$F$32</c:f>
              <c:numCache>
                <c:formatCode>0</c:formatCode>
                <c:ptCount val="29"/>
                <c:pt idx="0">
                  <c:v>44.4444444444444</c:v>
                </c:pt>
                <c:pt idx="1">
                  <c:v>40</c:v>
                </c:pt>
                <c:pt idx="2">
                  <c:v>50</c:v>
                </c:pt>
                <c:pt idx="3">
                  <c:v>20</c:v>
                </c:pt>
                <c:pt idx="4">
                  <c:v>40</c:v>
                </c:pt>
                <c:pt idx="5">
                  <c:v>30</c:v>
                </c:pt>
                <c:pt idx="6">
                  <c:v>30</c:v>
                </c:pt>
                <c:pt idx="7">
                  <c:v>30</c:v>
                </c:pt>
                <c:pt idx="8">
                  <c:v>20</c:v>
                </c:pt>
                <c:pt idx="9">
                  <c:v>50</c:v>
                </c:pt>
                <c:pt idx="10">
                  <c:v>30</c:v>
                </c:pt>
                <c:pt idx="11">
                  <c:v>40</c:v>
                </c:pt>
                <c:pt idx="12">
                  <c:v>60</c:v>
                </c:pt>
                <c:pt idx="13">
                  <c:v>10</c:v>
                </c:pt>
                <c:pt idx="14">
                  <c:v>50</c:v>
                </c:pt>
                <c:pt idx="15">
                  <c:v>70</c:v>
                </c:pt>
                <c:pt idx="16">
                  <c:v>50</c:v>
                </c:pt>
                <c:pt idx="17">
                  <c:v>30</c:v>
                </c:pt>
                <c:pt idx="18">
                  <c:v>50</c:v>
                </c:pt>
                <c:pt idx="19">
                  <c:v>30</c:v>
                </c:pt>
                <c:pt idx="20">
                  <c:v>20</c:v>
                </c:pt>
                <c:pt idx="21">
                  <c:v>10</c:v>
                </c:pt>
                <c:pt idx="22">
                  <c:v>50</c:v>
                </c:pt>
                <c:pt idx="23">
                  <c:v>30</c:v>
                </c:pt>
                <c:pt idx="24">
                  <c:v>20</c:v>
                </c:pt>
                <c:pt idx="25">
                  <c:v>10</c:v>
                </c:pt>
                <c:pt idx="26">
                  <c:v>40</c:v>
                </c:pt>
                <c:pt idx="27">
                  <c:v>40</c:v>
                </c:pt>
                <c:pt idx="28">
                  <c:v>50</c:v>
                </c:pt>
              </c:numCache>
            </c:numRef>
          </c:yVal>
        </c:ser>
        <c:axId val="77427072"/>
        <c:axId val="77440128"/>
      </c:scatterChart>
      <c:valAx>
        <c:axId val="77427072"/>
        <c:scaling>
          <c:orientation val="minMax"/>
          <c:max val="50"/>
        </c:scaling>
        <c:axPos val="b"/>
        <c:majorGridlines/>
        <c:numFmt formatCode="0" sourceLinked="0"/>
        <c:tickLblPos val="nextTo"/>
        <c:crossAx val="77440128"/>
        <c:crosses val="autoZero"/>
        <c:crossBetween val="midCat"/>
      </c:valAx>
      <c:valAx>
        <c:axId val="77440128"/>
        <c:scaling>
          <c:orientation val="minMax"/>
          <c:max val="100"/>
          <c:min val="0"/>
        </c:scaling>
        <c:axPos val="l"/>
        <c:majorGridlines/>
        <c:numFmt formatCode="0" sourceLinked="1"/>
        <c:tickLblPos val="nextTo"/>
        <c:crossAx val="77427072"/>
        <c:crosses val="autoZero"/>
        <c:crossBetween val="midCat"/>
      </c:valAx>
    </c:plotArea>
    <c:legend>
      <c:legendPos val="r"/>
      <c:layout/>
    </c:legend>
    <c:plotVisOnly val="1"/>
  </c:chart>
  <c:printSettings>
    <c:headerFooter/>
    <c:pageMargins b="0.75000000000000555" l="0.70000000000000062" r="0.70000000000000062" t="0.75000000000000555" header="0.30000000000000032" footer="0.30000000000000032"/>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PSR</a:t>
            </a:r>
            <a:endParaRPr lang="en-US"/>
          </a:p>
        </c:rich>
      </c:tx>
      <c:layout/>
    </c:title>
    <c:plotArea>
      <c:layout/>
      <c:scatterChart>
        <c:scatterStyle val="lineMarker"/>
        <c:ser>
          <c:idx val="0"/>
          <c:order val="0"/>
          <c:tx>
            <c:strRef>
              <c:f>'10OBU'!$F$2</c:f>
              <c:strCache>
                <c:ptCount val="1"/>
                <c:pt idx="0">
                  <c:v>Car-PDR (%)</c:v>
                </c:pt>
              </c:strCache>
            </c:strRef>
          </c:tx>
          <c:spPr>
            <a:ln w="28575">
              <a:noFill/>
            </a:ln>
          </c:spPr>
          <c:xVal>
            <c:numRef>
              <c:f>'60OBU'!$J$3:$J$32</c:f>
              <c:numCache>
                <c:formatCode>0</c:formatCode>
                <c:ptCount val="30"/>
                <c:pt idx="0" formatCode="0.00">
                  <c:v>0</c:v>
                </c:pt>
                <c:pt idx="1">
                  <c:v>90</c:v>
                </c:pt>
                <c:pt idx="2">
                  <c:v>100</c:v>
                </c:pt>
                <c:pt idx="3">
                  <c:v>100</c:v>
                </c:pt>
                <c:pt idx="4">
                  <c:v>90</c:v>
                </c:pt>
                <c:pt idx="5">
                  <c:v>100</c:v>
                </c:pt>
                <c:pt idx="6">
                  <c:v>100</c:v>
                </c:pt>
                <c:pt idx="7">
                  <c:v>100</c:v>
                </c:pt>
                <c:pt idx="8">
                  <c:v>80</c:v>
                </c:pt>
                <c:pt idx="9">
                  <c:v>100</c:v>
                </c:pt>
                <c:pt idx="10">
                  <c:v>80</c:v>
                </c:pt>
                <c:pt idx="11">
                  <c:v>100</c:v>
                </c:pt>
                <c:pt idx="12">
                  <c:v>90</c:v>
                </c:pt>
                <c:pt idx="13">
                  <c:v>100</c:v>
                </c:pt>
                <c:pt idx="14">
                  <c:v>100</c:v>
                </c:pt>
                <c:pt idx="15">
                  <c:v>90</c:v>
                </c:pt>
                <c:pt idx="16">
                  <c:v>90</c:v>
                </c:pt>
                <c:pt idx="17">
                  <c:v>100</c:v>
                </c:pt>
                <c:pt idx="18">
                  <c:v>80</c:v>
                </c:pt>
                <c:pt idx="19">
                  <c:v>100</c:v>
                </c:pt>
                <c:pt idx="20">
                  <c:v>90</c:v>
                </c:pt>
                <c:pt idx="21">
                  <c:v>100</c:v>
                </c:pt>
                <c:pt idx="22">
                  <c:v>100</c:v>
                </c:pt>
                <c:pt idx="23">
                  <c:v>100</c:v>
                </c:pt>
                <c:pt idx="24">
                  <c:v>90</c:v>
                </c:pt>
                <c:pt idx="25">
                  <c:v>100</c:v>
                </c:pt>
                <c:pt idx="26">
                  <c:v>80</c:v>
                </c:pt>
                <c:pt idx="27">
                  <c:v>90</c:v>
                </c:pt>
                <c:pt idx="28">
                  <c:v>100</c:v>
                </c:pt>
                <c:pt idx="29">
                  <c:v>100</c:v>
                </c:pt>
              </c:numCache>
            </c:numRef>
          </c:xVal>
          <c:yVal>
            <c:numRef>
              <c:f>'60OBU'!$F$3:$F$32</c:f>
              <c:numCache>
                <c:formatCode>0</c:formatCode>
                <c:ptCount val="30"/>
                <c:pt idx="0">
                  <c:v>0</c:v>
                </c:pt>
                <c:pt idx="1">
                  <c:v>44.4444444444444</c:v>
                </c:pt>
                <c:pt idx="2">
                  <c:v>40</c:v>
                </c:pt>
                <c:pt idx="3">
                  <c:v>50</c:v>
                </c:pt>
                <c:pt idx="4">
                  <c:v>20</c:v>
                </c:pt>
                <c:pt idx="5">
                  <c:v>40</c:v>
                </c:pt>
                <c:pt idx="6">
                  <c:v>30</c:v>
                </c:pt>
                <c:pt idx="7">
                  <c:v>30</c:v>
                </c:pt>
                <c:pt idx="8">
                  <c:v>30</c:v>
                </c:pt>
                <c:pt idx="9">
                  <c:v>20</c:v>
                </c:pt>
                <c:pt idx="10">
                  <c:v>50</c:v>
                </c:pt>
                <c:pt idx="11">
                  <c:v>30</c:v>
                </c:pt>
                <c:pt idx="12">
                  <c:v>40</c:v>
                </c:pt>
                <c:pt idx="13">
                  <c:v>60</c:v>
                </c:pt>
                <c:pt idx="14">
                  <c:v>10</c:v>
                </c:pt>
                <c:pt idx="15">
                  <c:v>50</c:v>
                </c:pt>
                <c:pt idx="16">
                  <c:v>70</c:v>
                </c:pt>
                <c:pt idx="17">
                  <c:v>50</c:v>
                </c:pt>
                <c:pt idx="18">
                  <c:v>30</c:v>
                </c:pt>
                <c:pt idx="19">
                  <c:v>50</c:v>
                </c:pt>
                <c:pt idx="20">
                  <c:v>30</c:v>
                </c:pt>
                <c:pt idx="21">
                  <c:v>20</c:v>
                </c:pt>
                <c:pt idx="22">
                  <c:v>10</c:v>
                </c:pt>
                <c:pt idx="23">
                  <c:v>50</c:v>
                </c:pt>
                <c:pt idx="24">
                  <c:v>30</c:v>
                </c:pt>
                <c:pt idx="25">
                  <c:v>20</c:v>
                </c:pt>
                <c:pt idx="26">
                  <c:v>10</c:v>
                </c:pt>
                <c:pt idx="27">
                  <c:v>40</c:v>
                </c:pt>
                <c:pt idx="28">
                  <c:v>40</c:v>
                </c:pt>
                <c:pt idx="29">
                  <c:v>50</c:v>
                </c:pt>
              </c:numCache>
            </c:numRef>
          </c:yVal>
        </c:ser>
        <c:axId val="77613696"/>
        <c:axId val="77617408"/>
      </c:scatterChart>
      <c:valAx>
        <c:axId val="77613696"/>
        <c:scaling>
          <c:orientation val="minMax"/>
          <c:max val="100"/>
        </c:scaling>
        <c:axPos val="b"/>
        <c:majorGridlines/>
        <c:numFmt formatCode="0" sourceLinked="0"/>
        <c:tickLblPos val="nextTo"/>
        <c:crossAx val="77617408"/>
        <c:crosses val="autoZero"/>
        <c:crossBetween val="midCat"/>
      </c:valAx>
      <c:valAx>
        <c:axId val="77617408"/>
        <c:scaling>
          <c:orientation val="minMax"/>
          <c:max val="100"/>
          <c:min val="0"/>
        </c:scaling>
        <c:axPos val="l"/>
        <c:majorGridlines/>
        <c:numFmt formatCode="0" sourceLinked="1"/>
        <c:tickLblPos val="nextTo"/>
        <c:crossAx val="77613696"/>
        <c:crosses val="autoZero"/>
        <c:crossBetween val="midCat"/>
      </c:valAx>
    </c:plotArea>
    <c:legend>
      <c:legendPos val="r"/>
      <c:layout/>
    </c:legend>
    <c:plotVisOnly val="1"/>
  </c:chart>
  <c:printSettings>
    <c:headerFooter/>
    <c:pageMargins b="0.75000000000000555" l="0.70000000000000062" r="0.70000000000000062" t="0.75000000000000555"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Car-PDSR Vs.</a:t>
            </a:r>
            <a:r>
              <a:rPr lang="en-US" baseline="0"/>
              <a:t> RSS</a:t>
            </a:r>
            <a:endParaRPr lang="en-US"/>
          </a:p>
        </c:rich>
      </c:tx>
    </c:title>
    <c:plotArea>
      <c:layout>
        <c:manualLayout>
          <c:layoutTarget val="inner"/>
          <c:xMode val="edge"/>
          <c:yMode val="edge"/>
          <c:x val="5.9974937343358757E-2"/>
          <c:y val="0.19480351414406533"/>
          <c:w val="0.69751504445974666"/>
          <c:h val="0.68921660834062359"/>
        </c:manualLayout>
      </c:layout>
      <c:scatterChart>
        <c:scatterStyle val="lineMarker"/>
        <c:ser>
          <c:idx val="0"/>
          <c:order val="0"/>
          <c:tx>
            <c:v>Car-PDSR Vs. RSS</c:v>
          </c:tx>
          <c:spPr>
            <a:ln w="28575">
              <a:noFill/>
            </a:ln>
          </c:spPr>
          <c:xVal>
            <c:numRef>
              <c:f>'1OBU'!$O$4:$O$32</c:f>
              <c:numCache>
                <c:formatCode>0.00000</c:formatCode>
                <c:ptCount val="29"/>
                <c:pt idx="0">
                  <c:v>-69.894544033333304</c:v>
                </c:pt>
                <c:pt idx="1">
                  <c:v>-65.898511000000013</c:v>
                </c:pt>
                <c:pt idx="2">
                  <c:v>-67.274943499999992</c:v>
                </c:pt>
                <c:pt idx="3">
                  <c:v>-66.381292400000007</c:v>
                </c:pt>
                <c:pt idx="4">
                  <c:v>-67.541434766666669</c:v>
                </c:pt>
                <c:pt idx="5">
                  <c:v>-67.164053466666672</c:v>
                </c:pt>
                <c:pt idx="6">
                  <c:v>-66.741774700000008</c:v>
                </c:pt>
                <c:pt idx="7">
                  <c:v>-64.903782966666668</c:v>
                </c:pt>
                <c:pt idx="8">
                  <c:v>-64.62024453333332</c:v>
                </c:pt>
                <c:pt idx="9">
                  <c:v>-65.807828133333331</c:v>
                </c:pt>
                <c:pt idx="10">
                  <c:v>-63.520428433333336</c:v>
                </c:pt>
                <c:pt idx="11">
                  <c:v>-66.285606933333341</c:v>
                </c:pt>
                <c:pt idx="12">
                  <c:v>-67.715343533333325</c:v>
                </c:pt>
                <c:pt idx="13">
                  <c:v>-69.169959600000013</c:v>
                </c:pt>
                <c:pt idx="14">
                  <c:v>-68.235576999999992</c:v>
                </c:pt>
                <c:pt idx="15">
                  <c:v>-68.497975233333335</c:v>
                </c:pt>
                <c:pt idx="16">
                  <c:v>-69.102826866666661</c:v>
                </c:pt>
                <c:pt idx="17">
                  <c:v>-70.397711599999994</c:v>
                </c:pt>
                <c:pt idx="18">
                  <c:v>-72.841712966666663</c:v>
                </c:pt>
                <c:pt idx="19">
                  <c:v>-72.272559000000015</c:v>
                </c:pt>
                <c:pt idx="20">
                  <c:v>-72.082036599999995</c:v>
                </c:pt>
                <c:pt idx="21">
                  <c:v>-74.306089066666644</c:v>
                </c:pt>
                <c:pt idx="22">
                  <c:v>-76.352154999999996</c:v>
                </c:pt>
                <c:pt idx="23">
                  <c:v>-74.376218299999977</c:v>
                </c:pt>
                <c:pt idx="24">
                  <c:v>-77.625541999999996</c:v>
                </c:pt>
                <c:pt idx="25">
                  <c:v>-77.963149999999999</c:v>
                </c:pt>
                <c:pt idx="26">
                  <c:v>-80.05189</c:v>
                </c:pt>
                <c:pt idx="27">
                  <c:v>-79.326644999999999</c:v>
                </c:pt>
                <c:pt idx="28">
                  <c:v>-81.356549999999999</c:v>
                </c:pt>
              </c:numCache>
            </c:numRef>
          </c:xVal>
          <c:yVal>
            <c:numRef>
              <c:f>'1OBU'!$M$4:$M$32</c:f>
              <c:numCache>
                <c:formatCode>0.00</c:formatCode>
                <c:ptCount val="29"/>
                <c:pt idx="0">
                  <c:v>95</c:v>
                </c:pt>
                <c:pt idx="1">
                  <c:v>83.888888888888886</c:v>
                </c:pt>
                <c:pt idx="2">
                  <c:v>100</c:v>
                </c:pt>
                <c:pt idx="3">
                  <c:v>95</c:v>
                </c:pt>
                <c:pt idx="4">
                  <c:v>100</c:v>
                </c:pt>
                <c:pt idx="5">
                  <c:v>100</c:v>
                </c:pt>
                <c:pt idx="6">
                  <c:v>100</c:v>
                </c:pt>
                <c:pt idx="7">
                  <c:v>95</c:v>
                </c:pt>
                <c:pt idx="8">
                  <c:v>95</c:v>
                </c:pt>
                <c:pt idx="9">
                  <c:v>100</c:v>
                </c:pt>
                <c:pt idx="10">
                  <c:v>100</c:v>
                </c:pt>
                <c:pt idx="11">
                  <c:v>95</c:v>
                </c:pt>
                <c:pt idx="12">
                  <c:v>95</c:v>
                </c:pt>
                <c:pt idx="13">
                  <c:v>100</c:v>
                </c:pt>
                <c:pt idx="14">
                  <c:v>100</c:v>
                </c:pt>
                <c:pt idx="15">
                  <c:v>100</c:v>
                </c:pt>
                <c:pt idx="16">
                  <c:v>100</c:v>
                </c:pt>
                <c:pt idx="17">
                  <c:v>100</c:v>
                </c:pt>
                <c:pt idx="18">
                  <c:v>90</c:v>
                </c:pt>
                <c:pt idx="19">
                  <c:v>95</c:v>
                </c:pt>
                <c:pt idx="20">
                  <c:v>90</c:v>
                </c:pt>
                <c:pt idx="21">
                  <c:v>90</c:v>
                </c:pt>
                <c:pt idx="22">
                  <c:v>90</c:v>
                </c:pt>
                <c:pt idx="23">
                  <c:v>95</c:v>
                </c:pt>
                <c:pt idx="24">
                  <c:v>85</c:v>
                </c:pt>
                <c:pt idx="25">
                  <c:v>83.888888888888886</c:v>
                </c:pt>
                <c:pt idx="26">
                  <c:v>95</c:v>
                </c:pt>
                <c:pt idx="27">
                  <c:v>83.888888888888886</c:v>
                </c:pt>
                <c:pt idx="28">
                  <c:v>83.75</c:v>
                </c:pt>
              </c:numCache>
            </c:numRef>
          </c:yVal>
        </c:ser>
        <c:axId val="123729024"/>
        <c:axId val="123730560"/>
      </c:scatterChart>
      <c:valAx>
        <c:axId val="123729024"/>
        <c:scaling>
          <c:orientation val="maxMin"/>
          <c:max val="-40"/>
          <c:min val="-100"/>
        </c:scaling>
        <c:axPos val="b"/>
        <c:majorGridlines/>
        <c:numFmt formatCode="0" sourceLinked="0"/>
        <c:tickLblPos val="nextTo"/>
        <c:crossAx val="123730560"/>
        <c:crosses val="autoZero"/>
        <c:crossBetween val="midCat"/>
      </c:valAx>
      <c:valAx>
        <c:axId val="123730560"/>
        <c:scaling>
          <c:orientation val="minMax"/>
          <c:max val="100"/>
          <c:min val="0"/>
        </c:scaling>
        <c:axPos val="r"/>
        <c:majorGridlines/>
        <c:numFmt formatCode="0" sourceLinked="0"/>
        <c:tickLblPos val="high"/>
        <c:crossAx val="123729024"/>
        <c:crosses val="autoZero"/>
        <c:crossBetween val="midCat"/>
      </c:valAx>
    </c:plotArea>
    <c:legend>
      <c:legendPos val="r"/>
    </c:legend>
    <c:plotVisOnly val="1"/>
  </c:chart>
  <c:printSettings>
    <c:headerFooter/>
    <c:pageMargins b="0.75000000000000488" l="0.70000000000000062" r="0.70000000000000062" t="0.75000000000000488" header="0.30000000000000032" footer="0.30000000000000032"/>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Car-PDSR Vs.</a:t>
            </a:r>
            <a:r>
              <a:rPr lang="en-US" baseline="0"/>
              <a:t> RSS</a:t>
            </a:r>
            <a:endParaRPr lang="en-US"/>
          </a:p>
        </c:rich>
      </c:tx>
    </c:title>
    <c:plotArea>
      <c:layout>
        <c:manualLayout>
          <c:layoutTarget val="inner"/>
          <c:xMode val="edge"/>
          <c:yMode val="edge"/>
          <c:x val="4.7443609022556434E-2"/>
          <c:y val="0.19480351414406533"/>
          <c:w val="0.70267045566672626"/>
          <c:h val="0.68921660834062359"/>
        </c:manualLayout>
      </c:layout>
      <c:scatterChart>
        <c:scatterStyle val="lineMarker"/>
        <c:ser>
          <c:idx val="0"/>
          <c:order val="0"/>
          <c:tx>
            <c:v>Car-PDSR Vs. RSS</c:v>
          </c:tx>
          <c:spPr>
            <a:ln w="28575">
              <a:noFill/>
            </a:ln>
          </c:spPr>
          <c:xVal>
            <c:numRef>
              <c:f>'60OBU'!$O$4:$O$32</c:f>
              <c:numCache>
                <c:formatCode>General</c:formatCode>
                <c:ptCount val="29"/>
                <c:pt idx="0">
                  <c:v>-63.475570499999989</c:v>
                </c:pt>
                <c:pt idx="1">
                  <c:v>-62.996167999999997</c:v>
                </c:pt>
                <c:pt idx="2">
                  <c:v>-61.8351957</c:v>
                </c:pt>
                <c:pt idx="3">
                  <c:v>-59.779239300000008</c:v>
                </c:pt>
                <c:pt idx="4">
                  <c:v>-60.864844699999992</c:v>
                </c:pt>
                <c:pt idx="5">
                  <c:v>-60.246638199999992</c:v>
                </c:pt>
                <c:pt idx="6">
                  <c:v>-59.095344400000002</c:v>
                </c:pt>
                <c:pt idx="7">
                  <c:v>-61.169057999999993</c:v>
                </c:pt>
                <c:pt idx="8">
                  <c:v>-61.818451599999989</c:v>
                </c:pt>
                <c:pt idx="9">
                  <c:v>-62.881973599999995</c:v>
                </c:pt>
                <c:pt idx="10">
                  <c:v>-61.240874200000007</c:v>
                </c:pt>
                <c:pt idx="11">
                  <c:v>-59.072148800000001</c:v>
                </c:pt>
                <c:pt idx="12">
                  <c:v>-58.536637600000006</c:v>
                </c:pt>
                <c:pt idx="13">
                  <c:v>-61.667767900000001</c:v>
                </c:pt>
                <c:pt idx="14">
                  <c:v>-64.516830999999996</c:v>
                </c:pt>
                <c:pt idx="15">
                  <c:v>-63.381384699999998</c:v>
                </c:pt>
                <c:pt idx="16">
                  <c:v>-66.636585699999998</c:v>
                </c:pt>
                <c:pt idx="17">
                  <c:v>-61.831881499999994</c:v>
                </c:pt>
                <c:pt idx="18">
                  <c:v>-65.200237800000011</c:v>
                </c:pt>
                <c:pt idx="19">
                  <c:v>-66.821134900000004</c:v>
                </c:pt>
                <c:pt idx="20">
                  <c:v>-63.825019100000006</c:v>
                </c:pt>
                <c:pt idx="21">
                  <c:v>-63.165632499999994</c:v>
                </c:pt>
                <c:pt idx="22">
                  <c:v>-70.027382500000016</c:v>
                </c:pt>
                <c:pt idx="23">
                  <c:v>-66.098343599999993</c:v>
                </c:pt>
                <c:pt idx="24">
                  <c:v>-67.190942199999995</c:v>
                </c:pt>
                <c:pt idx="25">
                  <c:v>-69.909962400000012</c:v>
                </c:pt>
                <c:pt idx="26">
                  <c:v>-69.524512600000008</c:v>
                </c:pt>
                <c:pt idx="27">
                  <c:v>-63.696475000000007</c:v>
                </c:pt>
                <c:pt idx="28">
                  <c:v>-63.347886000000003</c:v>
                </c:pt>
              </c:numCache>
            </c:numRef>
          </c:xVal>
          <c:yVal>
            <c:numRef>
              <c:f>'60OBU'!$M$4:$M$32</c:f>
              <c:numCache>
                <c:formatCode>0</c:formatCode>
                <c:ptCount val="29"/>
                <c:pt idx="0">
                  <c:v>56.203703703703702</c:v>
                </c:pt>
                <c:pt idx="1">
                  <c:v>60.833333333333329</c:v>
                </c:pt>
                <c:pt idx="2">
                  <c:v>60.75</c:v>
                </c:pt>
                <c:pt idx="3">
                  <c:v>58.833333333333336</c:v>
                </c:pt>
                <c:pt idx="4">
                  <c:v>62.083333333333329</c:v>
                </c:pt>
                <c:pt idx="5">
                  <c:v>58</c:v>
                </c:pt>
                <c:pt idx="6">
                  <c:v>60.083333333333329</c:v>
                </c:pt>
                <c:pt idx="7">
                  <c:v>58.75</c:v>
                </c:pt>
                <c:pt idx="8">
                  <c:v>59.5</c:v>
                </c:pt>
                <c:pt idx="9">
                  <c:v>59.25</c:v>
                </c:pt>
                <c:pt idx="10">
                  <c:v>55.583333333333336</c:v>
                </c:pt>
                <c:pt idx="11">
                  <c:v>60.333333333333336</c:v>
                </c:pt>
                <c:pt idx="12">
                  <c:v>59</c:v>
                </c:pt>
                <c:pt idx="13">
                  <c:v>60.416666666666671</c:v>
                </c:pt>
                <c:pt idx="14">
                  <c:v>62.5</c:v>
                </c:pt>
                <c:pt idx="15">
                  <c:v>62.833333333333336</c:v>
                </c:pt>
                <c:pt idx="16">
                  <c:v>60.833333333333329</c:v>
                </c:pt>
                <c:pt idx="17">
                  <c:v>63.5</c:v>
                </c:pt>
                <c:pt idx="18">
                  <c:v>59.083333333333336</c:v>
                </c:pt>
                <c:pt idx="19">
                  <c:v>59.81481481481481</c:v>
                </c:pt>
                <c:pt idx="20">
                  <c:v>63.083333333333329</c:v>
                </c:pt>
                <c:pt idx="21">
                  <c:v>61.833333333333336</c:v>
                </c:pt>
                <c:pt idx="22">
                  <c:v>60.416666666666671</c:v>
                </c:pt>
                <c:pt idx="23">
                  <c:v>60.370370370370367</c:v>
                </c:pt>
                <c:pt idx="24">
                  <c:v>61.083333333333336</c:v>
                </c:pt>
                <c:pt idx="25">
                  <c:v>65.166666666666671</c:v>
                </c:pt>
                <c:pt idx="26">
                  <c:v>61</c:v>
                </c:pt>
                <c:pt idx="27">
                  <c:v>61.5</c:v>
                </c:pt>
                <c:pt idx="28">
                  <c:v>0</c:v>
                </c:pt>
              </c:numCache>
            </c:numRef>
          </c:yVal>
        </c:ser>
        <c:axId val="77634560"/>
        <c:axId val="77651328"/>
      </c:scatterChart>
      <c:valAx>
        <c:axId val="77634560"/>
        <c:scaling>
          <c:orientation val="maxMin"/>
          <c:max val="-40"/>
          <c:min val="-100"/>
        </c:scaling>
        <c:axPos val="b"/>
        <c:majorGridlines/>
        <c:numFmt formatCode="0" sourceLinked="0"/>
        <c:tickLblPos val="nextTo"/>
        <c:crossAx val="77651328"/>
        <c:crosses val="autoZero"/>
        <c:crossBetween val="midCat"/>
      </c:valAx>
      <c:valAx>
        <c:axId val="77651328"/>
        <c:scaling>
          <c:orientation val="minMax"/>
          <c:max val="100"/>
          <c:min val="0"/>
        </c:scaling>
        <c:axPos val="r"/>
        <c:majorGridlines/>
        <c:numFmt formatCode="0" sourceLinked="1"/>
        <c:tickLblPos val="high"/>
        <c:crossAx val="77634560"/>
        <c:crosses val="autoZero"/>
        <c:crossBetween val="midCat"/>
      </c:valAx>
    </c:plotArea>
    <c:legend>
      <c:legendPos val="r"/>
    </c:legend>
    <c:plotVisOnly val="1"/>
  </c:chart>
  <c:printSettings>
    <c:headerFooter/>
    <c:pageMargins b="0.75000000000000577" l="0.70000000000000062" r="0.70000000000000062" t="0.75000000000000577" header="0.30000000000000032" footer="0.30000000000000032"/>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RSS</a:t>
            </a:r>
            <a:endParaRPr lang="en-US"/>
          </a:p>
        </c:rich>
      </c:tx>
    </c:title>
    <c:plotArea>
      <c:layout>
        <c:manualLayout>
          <c:layoutTarget val="inner"/>
          <c:xMode val="edge"/>
          <c:yMode val="edge"/>
          <c:x val="3.6829824843323242E-2"/>
          <c:y val="0.19943314377369611"/>
          <c:w val="0.67306936632920922"/>
          <c:h val="0.68458697871098873"/>
        </c:manualLayout>
      </c:layout>
      <c:scatterChart>
        <c:scatterStyle val="lineMarker"/>
        <c:ser>
          <c:idx val="1"/>
          <c:order val="0"/>
          <c:tx>
            <c:v>RSU-PDR Vs. RSS</c:v>
          </c:tx>
          <c:spPr>
            <a:ln w="28575">
              <a:noFill/>
            </a:ln>
          </c:spPr>
          <c:xVal>
            <c:numRef>
              <c:f>'60OBU'!$Q$4:$Q$32</c:f>
              <c:numCache>
                <c:formatCode>General</c:formatCode>
                <c:ptCount val="29"/>
                <c:pt idx="0">
                  <c:v>-68.084603000000001</c:v>
                </c:pt>
                <c:pt idx="1">
                  <c:v>-65.258086700000007</c:v>
                </c:pt>
                <c:pt idx="2">
                  <c:v>-63.101575099999991</c:v>
                </c:pt>
                <c:pt idx="3">
                  <c:v>-61.495183300000008</c:v>
                </c:pt>
                <c:pt idx="4">
                  <c:v>-57.487922399999988</c:v>
                </c:pt>
                <c:pt idx="5">
                  <c:v>-59.165121499999998</c:v>
                </c:pt>
                <c:pt idx="6">
                  <c:v>-58.513718499999996</c:v>
                </c:pt>
                <c:pt idx="7">
                  <c:v>-58.401759300000002</c:v>
                </c:pt>
                <c:pt idx="8">
                  <c:v>-60.362033599999997</c:v>
                </c:pt>
                <c:pt idx="9">
                  <c:v>-60.404905000000007</c:v>
                </c:pt>
                <c:pt idx="10">
                  <c:v>-58.734627099999997</c:v>
                </c:pt>
                <c:pt idx="11">
                  <c:v>-57.493560700000003</c:v>
                </c:pt>
                <c:pt idx="12">
                  <c:v>-60.250928500000001</c:v>
                </c:pt>
                <c:pt idx="13">
                  <c:v>-58.900574399999996</c:v>
                </c:pt>
                <c:pt idx="14">
                  <c:v>-60.364317838888887</c:v>
                </c:pt>
                <c:pt idx="15">
                  <c:v>-64.399865000000005</c:v>
                </c:pt>
                <c:pt idx="16">
                  <c:v>-63.581488699999987</c:v>
                </c:pt>
                <c:pt idx="17">
                  <c:v>-66.595103399999999</c:v>
                </c:pt>
                <c:pt idx="18">
                  <c:v>-67.593091000000001</c:v>
                </c:pt>
                <c:pt idx="19">
                  <c:v>-63.034380666666671</c:v>
                </c:pt>
                <c:pt idx="20">
                  <c:v>-64.344458099999997</c:v>
                </c:pt>
                <c:pt idx="21">
                  <c:v>-66.236628199999998</c:v>
                </c:pt>
                <c:pt idx="22">
                  <c:v>-66.491123799999997</c:v>
                </c:pt>
                <c:pt idx="23">
                  <c:v>-66.490407400000009</c:v>
                </c:pt>
                <c:pt idx="24">
                  <c:v>-69.189811700000007</c:v>
                </c:pt>
                <c:pt idx="25">
                  <c:v>-70.483304333333336</c:v>
                </c:pt>
                <c:pt idx="26">
                  <c:v>-67.859963199999996</c:v>
                </c:pt>
                <c:pt idx="27">
                  <c:v>-65.234536800000001</c:v>
                </c:pt>
                <c:pt idx="28">
                  <c:v>0</c:v>
                </c:pt>
              </c:numCache>
            </c:numRef>
          </c:xVal>
          <c:yVal>
            <c:numRef>
              <c:f>'60OBU'!$L$4:$L$32</c:f>
              <c:numCache>
                <c:formatCode>0</c:formatCode>
                <c:ptCount val="29"/>
                <c:pt idx="0">
                  <c:v>22.407407407407405</c:v>
                </c:pt>
                <c:pt idx="1">
                  <c:v>21.666666666666664</c:v>
                </c:pt>
                <c:pt idx="2">
                  <c:v>21.5</c:v>
                </c:pt>
                <c:pt idx="3">
                  <c:v>17.666666666666668</c:v>
                </c:pt>
                <c:pt idx="4">
                  <c:v>24.166666666666664</c:v>
                </c:pt>
                <c:pt idx="5">
                  <c:v>16</c:v>
                </c:pt>
                <c:pt idx="6">
                  <c:v>20.166666666666664</c:v>
                </c:pt>
                <c:pt idx="7">
                  <c:v>17.5</c:v>
                </c:pt>
                <c:pt idx="8">
                  <c:v>19</c:v>
                </c:pt>
                <c:pt idx="9">
                  <c:v>18.5</c:v>
                </c:pt>
                <c:pt idx="10">
                  <c:v>11.166666666666666</c:v>
                </c:pt>
                <c:pt idx="11">
                  <c:v>20.666666666666668</c:v>
                </c:pt>
                <c:pt idx="12">
                  <c:v>18</c:v>
                </c:pt>
                <c:pt idx="13">
                  <c:v>20.833333333333336</c:v>
                </c:pt>
                <c:pt idx="14">
                  <c:v>25</c:v>
                </c:pt>
                <c:pt idx="15">
                  <c:v>25.666666666666671</c:v>
                </c:pt>
                <c:pt idx="16">
                  <c:v>21.666666666666664</c:v>
                </c:pt>
                <c:pt idx="17">
                  <c:v>27</c:v>
                </c:pt>
                <c:pt idx="18">
                  <c:v>18.166666666666668</c:v>
                </c:pt>
                <c:pt idx="19">
                  <c:v>29.629629629629626</c:v>
                </c:pt>
                <c:pt idx="20">
                  <c:v>26.166666666666664</c:v>
                </c:pt>
                <c:pt idx="21">
                  <c:v>23.666666666666668</c:v>
                </c:pt>
                <c:pt idx="22">
                  <c:v>20.833333333333336</c:v>
                </c:pt>
                <c:pt idx="23">
                  <c:v>30.74074074074074</c:v>
                </c:pt>
                <c:pt idx="24">
                  <c:v>22.166666666666668</c:v>
                </c:pt>
                <c:pt idx="25">
                  <c:v>30.333333333333336</c:v>
                </c:pt>
                <c:pt idx="26">
                  <c:v>22.000000000000004</c:v>
                </c:pt>
                <c:pt idx="27">
                  <c:v>23</c:v>
                </c:pt>
                <c:pt idx="28">
                  <c:v>0</c:v>
                </c:pt>
              </c:numCache>
            </c:numRef>
          </c:yVal>
        </c:ser>
        <c:axId val="77680000"/>
        <c:axId val="77689984"/>
      </c:scatterChart>
      <c:valAx>
        <c:axId val="77680000"/>
        <c:scaling>
          <c:orientation val="maxMin"/>
          <c:min val="-100"/>
        </c:scaling>
        <c:axPos val="b"/>
        <c:majorGridlines/>
        <c:numFmt formatCode="0" sourceLinked="0"/>
        <c:tickLblPos val="nextTo"/>
        <c:crossAx val="77689984"/>
        <c:crosses val="autoZero"/>
        <c:crossBetween val="midCat"/>
      </c:valAx>
      <c:valAx>
        <c:axId val="77689984"/>
        <c:scaling>
          <c:orientation val="minMax"/>
          <c:max val="100"/>
          <c:min val="0"/>
        </c:scaling>
        <c:axPos val="r"/>
        <c:majorGridlines/>
        <c:numFmt formatCode="0" sourceLinked="1"/>
        <c:tickLblPos val="high"/>
        <c:crossAx val="77680000"/>
        <c:crosses val="autoZero"/>
        <c:crossBetween val="midCat"/>
      </c:valAx>
    </c:plotArea>
    <c:legend>
      <c:legendPos val="r"/>
    </c:legend>
    <c:plotVisOnly val="1"/>
  </c:chart>
  <c:printSettings>
    <c:headerFooter/>
    <c:pageMargins b="0.75000000000000555" l="0.70000000000000062" r="0.70000000000000062" t="0.75000000000000555"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SNR</a:t>
            </a:r>
            <a:endParaRPr lang="en-US"/>
          </a:p>
        </c:rich>
      </c:tx>
    </c:title>
    <c:plotArea>
      <c:layout>
        <c:manualLayout>
          <c:layoutTarget val="inner"/>
          <c:xMode val="edge"/>
          <c:yMode val="edge"/>
          <c:x val="9.2509056202685444E-2"/>
          <c:y val="0.19480351414406533"/>
          <c:w val="0.66119064662372695"/>
          <c:h val="0.68921660834062359"/>
        </c:manualLayout>
      </c:layout>
      <c:scatterChart>
        <c:scatterStyle val="lineMarker"/>
        <c:ser>
          <c:idx val="0"/>
          <c:order val="0"/>
          <c:tx>
            <c:v>RSU-PDR Vs. SNR</c:v>
          </c:tx>
          <c:spPr>
            <a:ln w="28575">
              <a:noFill/>
            </a:ln>
          </c:spPr>
          <c:marker>
            <c:spPr>
              <a:solidFill>
                <a:srgbClr val="C00000"/>
              </a:solidFill>
            </c:spPr>
          </c:marker>
          <c:xVal>
            <c:numRef>
              <c:f>'60OBU'!$R$4:$R$32</c:f>
              <c:numCache>
                <c:formatCode>General</c:formatCode>
                <c:ptCount val="29"/>
                <c:pt idx="0">
                  <c:v>35.915396999999999</c:v>
                </c:pt>
                <c:pt idx="1">
                  <c:v>38.7419133</c:v>
                </c:pt>
                <c:pt idx="2">
                  <c:v>40.898424899999995</c:v>
                </c:pt>
                <c:pt idx="3">
                  <c:v>42.504816699999999</c:v>
                </c:pt>
                <c:pt idx="4">
                  <c:v>46.512077600000005</c:v>
                </c:pt>
                <c:pt idx="5">
                  <c:v>44.834878499999995</c:v>
                </c:pt>
                <c:pt idx="6">
                  <c:v>45.486281499999997</c:v>
                </c:pt>
                <c:pt idx="7">
                  <c:v>45.598240699999998</c:v>
                </c:pt>
                <c:pt idx="8">
                  <c:v>43.637966399999996</c:v>
                </c:pt>
                <c:pt idx="9">
                  <c:v>43.595095000000001</c:v>
                </c:pt>
                <c:pt idx="10">
                  <c:v>45.265372899999996</c:v>
                </c:pt>
                <c:pt idx="11">
                  <c:v>46.506439299999997</c:v>
                </c:pt>
                <c:pt idx="12">
                  <c:v>43.749071499999999</c:v>
                </c:pt>
                <c:pt idx="13">
                  <c:v>45.099425600000004</c:v>
                </c:pt>
                <c:pt idx="14">
                  <c:v>43.635682161111113</c:v>
                </c:pt>
                <c:pt idx="15">
                  <c:v>39.600135000000002</c:v>
                </c:pt>
                <c:pt idx="16">
                  <c:v>40.418511299999999</c:v>
                </c:pt>
                <c:pt idx="17">
                  <c:v>37.404896600000008</c:v>
                </c:pt>
                <c:pt idx="18">
                  <c:v>36.406908999999999</c:v>
                </c:pt>
                <c:pt idx="19">
                  <c:v>40.965619333333336</c:v>
                </c:pt>
                <c:pt idx="20">
                  <c:v>39.655541900000003</c:v>
                </c:pt>
                <c:pt idx="21">
                  <c:v>37.763371800000002</c:v>
                </c:pt>
                <c:pt idx="22">
                  <c:v>37.508876199999996</c:v>
                </c:pt>
                <c:pt idx="23">
                  <c:v>37.509592599999998</c:v>
                </c:pt>
                <c:pt idx="24">
                  <c:v>34.810188300000007</c:v>
                </c:pt>
                <c:pt idx="25">
                  <c:v>33.516695666666664</c:v>
                </c:pt>
                <c:pt idx="26">
                  <c:v>36.140036799999997</c:v>
                </c:pt>
                <c:pt idx="27">
                  <c:v>38.765463200000013</c:v>
                </c:pt>
                <c:pt idx="28">
                  <c:v>0</c:v>
                </c:pt>
              </c:numCache>
            </c:numRef>
          </c:xVal>
          <c:yVal>
            <c:numRef>
              <c:f>'60OBU'!$L$4:$L$32</c:f>
              <c:numCache>
                <c:formatCode>0</c:formatCode>
                <c:ptCount val="29"/>
                <c:pt idx="0">
                  <c:v>22.407407407407405</c:v>
                </c:pt>
                <c:pt idx="1">
                  <c:v>21.666666666666664</c:v>
                </c:pt>
                <c:pt idx="2">
                  <c:v>21.5</c:v>
                </c:pt>
                <c:pt idx="3">
                  <c:v>17.666666666666668</c:v>
                </c:pt>
                <c:pt idx="4">
                  <c:v>24.166666666666664</c:v>
                </c:pt>
                <c:pt idx="5">
                  <c:v>16</c:v>
                </c:pt>
                <c:pt idx="6">
                  <c:v>20.166666666666664</c:v>
                </c:pt>
                <c:pt idx="7">
                  <c:v>17.5</c:v>
                </c:pt>
                <c:pt idx="8">
                  <c:v>19</c:v>
                </c:pt>
                <c:pt idx="9">
                  <c:v>18.5</c:v>
                </c:pt>
                <c:pt idx="10">
                  <c:v>11.166666666666666</c:v>
                </c:pt>
                <c:pt idx="11">
                  <c:v>20.666666666666668</c:v>
                </c:pt>
                <c:pt idx="12">
                  <c:v>18</c:v>
                </c:pt>
                <c:pt idx="13">
                  <c:v>20.833333333333336</c:v>
                </c:pt>
                <c:pt idx="14">
                  <c:v>25</c:v>
                </c:pt>
                <c:pt idx="15">
                  <c:v>25.666666666666671</c:v>
                </c:pt>
                <c:pt idx="16">
                  <c:v>21.666666666666664</c:v>
                </c:pt>
                <c:pt idx="17">
                  <c:v>27</c:v>
                </c:pt>
                <c:pt idx="18">
                  <c:v>18.166666666666668</c:v>
                </c:pt>
                <c:pt idx="19">
                  <c:v>29.629629629629626</c:v>
                </c:pt>
                <c:pt idx="20">
                  <c:v>26.166666666666664</c:v>
                </c:pt>
                <c:pt idx="21">
                  <c:v>23.666666666666668</c:v>
                </c:pt>
                <c:pt idx="22">
                  <c:v>20.833333333333336</c:v>
                </c:pt>
                <c:pt idx="23">
                  <c:v>30.74074074074074</c:v>
                </c:pt>
                <c:pt idx="24">
                  <c:v>22.166666666666668</c:v>
                </c:pt>
                <c:pt idx="25">
                  <c:v>30.333333333333336</c:v>
                </c:pt>
                <c:pt idx="26">
                  <c:v>22.000000000000004</c:v>
                </c:pt>
                <c:pt idx="27">
                  <c:v>23</c:v>
                </c:pt>
                <c:pt idx="28">
                  <c:v>0</c:v>
                </c:pt>
              </c:numCache>
            </c:numRef>
          </c:yVal>
        </c:ser>
        <c:axId val="77742080"/>
        <c:axId val="77744000"/>
      </c:scatterChart>
      <c:valAx>
        <c:axId val="77742080"/>
        <c:scaling>
          <c:orientation val="minMax"/>
          <c:max val="50"/>
          <c:min val="0"/>
        </c:scaling>
        <c:axPos val="b"/>
        <c:majorGridlines/>
        <c:numFmt formatCode="0" sourceLinked="0"/>
        <c:tickLblPos val="nextTo"/>
        <c:crossAx val="77744000"/>
        <c:crosses val="autoZero"/>
        <c:crossBetween val="midCat"/>
      </c:valAx>
      <c:valAx>
        <c:axId val="77744000"/>
        <c:scaling>
          <c:orientation val="minMax"/>
          <c:max val="100"/>
          <c:min val="0"/>
        </c:scaling>
        <c:axPos val="l"/>
        <c:majorGridlines/>
        <c:numFmt formatCode="0" sourceLinked="1"/>
        <c:tickLblPos val="nextTo"/>
        <c:crossAx val="77742080"/>
        <c:crosses val="autoZero"/>
        <c:crossBetween val="midCat"/>
      </c:valAx>
    </c:plotArea>
    <c:legend>
      <c:legendPos val="r"/>
    </c:legend>
    <c:plotVisOnly val="1"/>
  </c:chart>
  <c:printSettings>
    <c:headerFooter/>
    <c:pageMargins b="0.75000000000000555" l="0.70000000000000062" r="0.70000000000000062" t="0.75000000000000555" header="0.30000000000000032" footer="0.30000000000000032"/>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PSR</a:t>
            </a:r>
            <a:endParaRPr lang="en-US"/>
          </a:p>
        </c:rich>
      </c:tx>
    </c:title>
    <c:plotArea>
      <c:layout>
        <c:manualLayout>
          <c:layoutTarget val="inner"/>
          <c:xMode val="edge"/>
          <c:yMode val="edge"/>
          <c:x val="9.8925095901475274E-2"/>
          <c:y val="0.19480351414406533"/>
          <c:w val="0.6831722188572541"/>
          <c:h val="0.68921660834062359"/>
        </c:manualLayout>
      </c:layout>
      <c:scatterChart>
        <c:scatterStyle val="lineMarker"/>
        <c:ser>
          <c:idx val="0"/>
          <c:order val="0"/>
          <c:tx>
            <c:v>RSU-PDR Vs. PSR</c:v>
          </c:tx>
          <c:spPr>
            <a:ln w="28575">
              <a:noFill/>
            </a:ln>
          </c:spPr>
          <c:marker>
            <c:spPr>
              <a:solidFill>
                <a:srgbClr val="C00000"/>
              </a:solidFill>
            </c:spPr>
          </c:marker>
          <c:xVal>
            <c:numRef>
              <c:f>'60OBU'!$D$4:$D$32</c:f>
              <c:numCache>
                <c:formatCode>0</c:formatCode>
                <c:ptCount val="29"/>
                <c:pt idx="0">
                  <c:v>90</c:v>
                </c:pt>
                <c:pt idx="1">
                  <c:v>100</c:v>
                </c:pt>
                <c:pt idx="2">
                  <c:v>100</c:v>
                </c:pt>
                <c:pt idx="3">
                  <c:v>100</c:v>
                </c:pt>
                <c:pt idx="4">
                  <c:v>100</c:v>
                </c:pt>
                <c:pt idx="5">
                  <c:v>100</c:v>
                </c:pt>
                <c:pt idx="6">
                  <c:v>80</c:v>
                </c:pt>
                <c:pt idx="7">
                  <c:v>100</c:v>
                </c:pt>
                <c:pt idx="8">
                  <c:v>100</c:v>
                </c:pt>
                <c:pt idx="9">
                  <c:v>100</c:v>
                </c:pt>
                <c:pt idx="10">
                  <c:v>90</c:v>
                </c:pt>
                <c:pt idx="11">
                  <c:v>100</c:v>
                </c:pt>
                <c:pt idx="12">
                  <c:v>100</c:v>
                </c:pt>
                <c:pt idx="13">
                  <c:v>100</c:v>
                </c:pt>
                <c:pt idx="14">
                  <c:v>100</c:v>
                </c:pt>
                <c:pt idx="15">
                  <c:v>100</c:v>
                </c:pt>
                <c:pt idx="16">
                  <c:v>80</c:v>
                </c:pt>
                <c:pt idx="17">
                  <c:v>100</c:v>
                </c:pt>
                <c:pt idx="18">
                  <c:v>100</c:v>
                </c:pt>
                <c:pt idx="19">
                  <c:v>100</c:v>
                </c:pt>
                <c:pt idx="20">
                  <c:v>70</c:v>
                </c:pt>
                <c:pt idx="21">
                  <c:v>100</c:v>
                </c:pt>
                <c:pt idx="22">
                  <c:v>100</c:v>
                </c:pt>
                <c:pt idx="23">
                  <c:v>100</c:v>
                </c:pt>
                <c:pt idx="24">
                  <c:v>80</c:v>
                </c:pt>
                <c:pt idx="25">
                  <c:v>100</c:v>
                </c:pt>
                <c:pt idx="26">
                  <c:v>100</c:v>
                </c:pt>
                <c:pt idx="27">
                  <c:v>100</c:v>
                </c:pt>
                <c:pt idx="28">
                  <c:v>100</c:v>
                </c:pt>
              </c:numCache>
            </c:numRef>
          </c:xVal>
          <c:yVal>
            <c:numRef>
              <c:f>'60OBU'!$L$4:$L$32</c:f>
              <c:numCache>
                <c:formatCode>0</c:formatCode>
                <c:ptCount val="29"/>
                <c:pt idx="0">
                  <c:v>22.407407407407405</c:v>
                </c:pt>
                <c:pt idx="1">
                  <c:v>21.666666666666664</c:v>
                </c:pt>
                <c:pt idx="2">
                  <c:v>21.5</c:v>
                </c:pt>
                <c:pt idx="3">
                  <c:v>17.666666666666668</c:v>
                </c:pt>
                <c:pt idx="4">
                  <c:v>24.166666666666664</c:v>
                </c:pt>
                <c:pt idx="5">
                  <c:v>16</c:v>
                </c:pt>
                <c:pt idx="6">
                  <c:v>20.166666666666664</c:v>
                </c:pt>
                <c:pt idx="7">
                  <c:v>17.5</c:v>
                </c:pt>
                <c:pt idx="8">
                  <c:v>19</c:v>
                </c:pt>
                <c:pt idx="9">
                  <c:v>18.5</c:v>
                </c:pt>
                <c:pt idx="10">
                  <c:v>11.166666666666666</c:v>
                </c:pt>
                <c:pt idx="11">
                  <c:v>20.666666666666668</c:v>
                </c:pt>
                <c:pt idx="12">
                  <c:v>18</c:v>
                </c:pt>
                <c:pt idx="13">
                  <c:v>20.833333333333336</c:v>
                </c:pt>
                <c:pt idx="14">
                  <c:v>25</c:v>
                </c:pt>
                <c:pt idx="15">
                  <c:v>25.666666666666671</c:v>
                </c:pt>
                <c:pt idx="16">
                  <c:v>21.666666666666664</c:v>
                </c:pt>
                <c:pt idx="17">
                  <c:v>27</c:v>
                </c:pt>
                <c:pt idx="18">
                  <c:v>18.166666666666668</c:v>
                </c:pt>
                <c:pt idx="19">
                  <c:v>29.629629629629626</c:v>
                </c:pt>
                <c:pt idx="20">
                  <c:v>26.166666666666664</c:v>
                </c:pt>
                <c:pt idx="21">
                  <c:v>23.666666666666668</c:v>
                </c:pt>
                <c:pt idx="22">
                  <c:v>20.833333333333336</c:v>
                </c:pt>
                <c:pt idx="23">
                  <c:v>30.74074074074074</c:v>
                </c:pt>
                <c:pt idx="24">
                  <c:v>22.166666666666668</c:v>
                </c:pt>
                <c:pt idx="25">
                  <c:v>30.333333333333336</c:v>
                </c:pt>
                <c:pt idx="26">
                  <c:v>22.000000000000004</c:v>
                </c:pt>
                <c:pt idx="27">
                  <c:v>23</c:v>
                </c:pt>
                <c:pt idx="28">
                  <c:v>0</c:v>
                </c:pt>
              </c:numCache>
            </c:numRef>
          </c:yVal>
        </c:ser>
        <c:axId val="77767808"/>
        <c:axId val="77769728"/>
      </c:scatterChart>
      <c:valAx>
        <c:axId val="77767808"/>
        <c:scaling>
          <c:orientation val="minMax"/>
          <c:max val="100"/>
          <c:min val="0"/>
        </c:scaling>
        <c:axPos val="b"/>
        <c:majorGridlines/>
        <c:numFmt formatCode="0" sourceLinked="1"/>
        <c:tickLblPos val="nextTo"/>
        <c:crossAx val="77769728"/>
        <c:crosses val="autoZero"/>
        <c:crossBetween val="midCat"/>
      </c:valAx>
      <c:valAx>
        <c:axId val="77769728"/>
        <c:scaling>
          <c:orientation val="minMax"/>
          <c:max val="100"/>
          <c:min val="0"/>
        </c:scaling>
        <c:axPos val="l"/>
        <c:majorGridlines/>
        <c:numFmt formatCode="0" sourceLinked="1"/>
        <c:tickLblPos val="nextTo"/>
        <c:crossAx val="77767808"/>
        <c:crosses val="autoZero"/>
        <c:crossBetween val="midCat"/>
      </c:valAx>
    </c:plotArea>
    <c:legend>
      <c:legendPos val="r"/>
      <c:layout>
        <c:manualLayout>
          <c:xMode val="edge"/>
          <c:yMode val="edge"/>
          <c:x val="0.77936018574600796"/>
          <c:y val="0.61780584718577547"/>
          <c:w val="0.21807571168988488"/>
          <c:h val="8.3717191601050026E-2"/>
        </c:manualLayout>
      </c:layout>
    </c:legend>
    <c:plotVisOnly val="1"/>
  </c:chart>
  <c:printSettings>
    <c:headerFooter/>
    <c:pageMargins b="0.75000000000000555" l="0.70000000000000062" r="0.70000000000000062" t="0.75000000000000555" header="0.30000000000000032" footer="0.30000000000000032"/>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RSU-PDSR Vs.</a:t>
            </a:r>
            <a:r>
              <a:rPr lang="en-US" baseline="0"/>
              <a:t> RSS</a:t>
            </a:r>
            <a:endParaRPr lang="en-US"/>
          </a:p>
        </c:rich>
      </c:tx>
    </c:title>
    <c:plotArea>
      <c:layout/>
      <c:scatterChart>
        <c:scatterStyle val="lineMarker"/>
        <c:ser>
          <c:idx val="1"/>
          <c:order val="0"/>
          <c:tx>
            <c:v>PDSR Vs RSS</c:v>
          </c:tx>
          <c:spPr>
            <a:ln w="28575">
              <a:noFill/>
            </a:ln>
          </c:spPr>
          <c:xVal>
            <c:numRef>
              <c:f>'60OBU'!$Q$4:$Q$32</c:f>
              <c:numCache>
                <c:formatCode>General</c:formatCode>
                <c:ptCount val="29"/>
                <c:pt idx="0">
                  <c:v>-68.084603000000001</c:v>
                </c:pt>
                <c:pt idx="1">
                  <c:v>-65.258086700000007</c:v>
                </c:pt>
                <c:pt idx="2">
                  <c:v>-63.101575099999991</c:v>
                </c:pt>
                <c:pt idx="3">
                  <c:v>-61.495183300000008</c:v>
                </c:pt>
                <c:pt idx="4">
                  <c:v>-57.487922399999988</c:v>
                </c:pt>
                <c:pt idx="5">
                  <c:v>-59.165121499999998</c:v>
                </c:pt>
                <c:pt idx="6">
                  <c:v>-58.513718499999996</c:v>
                </c:pt>
                <c:pt idx="7">
                  <c:v>-58.401759300000002</c:v>
                </c:pt>
                <c:pt idx="8">
                  <c:v>-60.362033599999997</c:v>
                </c:pt>
                <c:pt idx="9">
                  <c:v>-60.404905000000007</c:v>
                </c:pt>
                <c:pt idx="10">
                  <c:v>-58.734627099999997</c:v>
                </c:pt>
                <c:pt idx="11">
                  <c:v>-57.493560700000003</c:v>
                </c:pt>
                <c:pt idx="12">
                  <c:v>-60.250928500000001</c:v>
                </c:pt>
                <c:pt idx="13">
                  <c:v>-58.900574399999996</c:v>
                </c:pt>
                <c:pt idx="14">
                  <c:v>-60.364317838888887</c:v>
                </c:pt>
                <c:pt idx="15">
                  <c:v>-64.399865000000005</c:v>
                </c:pt>
                <c:pt idx="16">
                  <c:v>-63.581488699999987</c:v>
                </c:pt>
                <c:pt idx="17">
                  <c:v>-66.595103399999999</c:v>
                </c:pt>
                <c:pt idx="18">
                  <c:v>-67.593091000000001</c:v>
                </c:pt>
                <c:pt idx="19">
                  <c:v>-63.034380666666671</c:v>
                </c:pt>
                <c:pt idx="20">
                  <c:v>-64.344458099999997</c:v>
                </c:pt>
                <c:pt idx="21">
                  <c:v>-66.236628199999998</c:v>
                </c:pt>
                <c:pt idx="22">
                  <c:v>-66.491123799999997</c:v>
                </c:pt>
                <c:pt idx="23">
                  <c:v>-66.490407400000009</c:v>
                </c:pt>
                <c:pt idx="24">
                  <c:v>-69.189811700000007</c:v>
                </c:pt>
                <c:pt idx="25">
                  <c:v>-70.483304333333336</c:v>
                </c:pt>
                <c:pt idx="26">
                  <c:v>-67.859963199999996</c:v>
                </c:pt>
                <c:pt idx="27">
                  <c:v>-65.234536800000001</c:v>
                </c:pt>
                <c:pt idx="28">
                  <c:v>0</c:v>
                </c:pt>
              </c:numCache>
            </c:numRef>
          </c:xVal>
          <c:yVal>
            <c:numRef>
              <c:f>'60OBU'!$G$4:$G$32</c:f>
              <c:numCache>
                <c:formatCode>0</c:formatCode>
                <c:ptCount val="29"/>
                <c:pt idx="0">
                  <c:v>67.2222222222222</c:v>
                </c:pt>
                <c:pt idx="1">
                  <c:v>70</c:v>
                </c:pt>
                <c:pt idx="2">
                  <c:v>75</c:v>
                </c:pt>
                <c:pt idx="3">
                  <c:v>60</c:v>
                </c:pt>
                <c:pt idx="4">
                  <c:v>70</c:v>
                </c:pt>
                <c:pt idx="5">
                  <c:v>65</c:v>
                </c:pt>
                <c:pt idx="6">
                  <c:v>65</c:v>
                </c:pt>
                <c:pt idx="7">
                  <c:v>65</c:v>
                </c:pt>
                <c:pt idx="8">
                  <c:v>60</c:v>
                </c:pt>
                <c:pt idx="9">
                  <c:v>75</c:v>
                </c:pt>
                <c:pt idx="10">
                  <c:v>65</c:v>
                </c:pt>
                <c:pt idx="11">
                  <c:v>70</c:v>
                </c:pt>
                <c:pt idx="12">
                  <c:v>80</c:v>
                </c:pt>
                <c:pt idx="13">
                  <c:v>55</c:v>
                </c:pt>
                <c:pt idx="14">
                  <c:v>75</c:v>
                </c:pt>
                <c:pt idx="15">
                  <c:v>85</c:v>
                </c:pt>
                <c:pt idx="16">
                  <c:v>75</c:v>
                </c:pt>
                <c:pt idx="17">
                  <c:v>65</c:v>
                </c:pt>
                <c:pt idx="18">
                  <c:v>75</c:v>
                </c:pt>
                <c:pt idx="19">
                  <c:v>65</c:v>
                </c:pt>
                <c:pt idx="20">
                  <c:v>60</c:v>
                </c:pt>
                <c:pt idx="21">
                  <c:v>55</c:v>
                </c:pt>
                <c:pt idx="22">
                  <c:v>75</c:v>
                </c:pt>
                <c:pt idx="23">
                  <c:v>65</c:v>
                </c:pt>
                <c:pt idx="24">
                  <c:v>60</c:v>
                </c:pt>
                <c:pt idx="25">
                  <c:v>55</c:v>
                </c:pt>
                <c:pt idx="26">
                  <c:v>70</c:v>
                </c:pt>
                <c:pt idx="27">
                  <c:v>70</c:v>
                </c:pt>
                <c:pt idx="28">
                  <c:v>75</c:v>
                </c:pt>
              </c:numCache>
            </c:numRef>
          </c:yVal>
        </c:ser>
        <c:axId val="77806208"/>
        <c:axId val="77828480"/>
      </c:scatterChart>
      <c:valAx>
        <c:axId val="77806208"/>
        <c:scaling>
          <c:orientation val="maxMin"/>
          <c:max val="-40"/>
          <c:min val="-100"/>
        </c:scaling>
        <c:axPos val="b"/>
        <c:majorGridlines/>
        <c:numFmt formatCode="0" sourceLinked="0"/>
        <c:tickLblPos val="nextTo"/>
        <c:crossAx val="77828480"/>
        <c:crosses val="autoZero"/>
        <c:crossBetween val="midCat"/>
      </c:valAx>
      <c:valAx>
        <c:axId val="77828480"/>
        <c:scaling>
          <c:orientation val="minMax"/>
          <c:max val="100"/>
          <c:min val="0"/>
        </c:scaling>
        <c:axPos val="r"/>
        <c:majorGridlines/>
        <c:numFmt formatCode="0" sourceLinked="1"/>
        <c:tickLblPos val="high"/>
        <c:crossAx val="77806208"/>
        <c:crosses val="autoZero"/>
        <c:crossBetween val="midCat"/>
      </c:valAx>
    </c:plotArea>
    <c:legend>
      <c:legendPos val="r"/>
    </c:legend>
    <c:plotVisOnly val="1"/>
  </c:chart>
  <c:printSettings>
    <c:headerFooter/>
    <c:pageMargins b="0.75000000000000555" l="0.70000000000000062" r="0.70000000000000062" t="0.75000000000000555" header="0.30000000000000032" footer="0.30000000000000032"/>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 RSS over Time</a:t>
            </a:r>
          </a:p>
        </c:rich>
      </c:tx>
    </c:title>
    <c:plotArea>
      <c:layout>
        <c:manualLayout>
          <c:layoutTarget val="inner"/>
          <c:xMode val="edge"/>
          <c:yMode val="edge"/>
          <c:x val="4.7443609022556434E-2"/>
          <c:y val="0.19480351414406533"/>
          <c:w val="0.77649345989519658"/>
          <c:h val="0.68921660834062359"/>
        </c:manualLayout>
      </c:layout>
      <c:scatterChart>
        <c:scatterStyle val="lineMarker"/>
        <c:ser>
          <c:idx val="0"/>
          <c:order val="0"/>
          <c:tx>
            <c:v>RSU- RSS</c:v>
          </c:tx>
          <c:spPr>
            <a:ln w="28575">
              <a:noFill/>
            </a:ln>
          </c:spPr>
          <c:xVal>
            <c:numRef>
              <c:f>'100OBU'!$A$3:$A$32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'60OBU'!$Q$3:$Q$32</c:f>
              <c:numCache>
                <c:formatCode>General</c:formatCode>
                <c:ptCount val="30"/>
                <c:pt idx="0">
                  <c:v>0</c:v>
                </c:pt>
                <c:pt idx="1">
                  <c:v>-68.084603000000001</c:v>
                </c:pt>
                <c:pt idx="2">
                  <c:v>-65.258086700000007</c:v>
                </c:pt>
                <c:pt idx="3">
                  <c:v>-63.101575099999991</c:v>
                </c:pt>
                <c:pt idx="4">
                  <c:v>-61.495183300000008</c:v>
                </c:pt>
                <c:pt idx="5">
                  <c:v>-57.487922399999988</c:v>
                </c:pt>
                <c:pt idx="6">
                  <c:v>-59.165121499999998</c:v>
                </c:pt>
                <c:pt idx="7">
                  <c:v>-58.513718499999996</c:v>
                </c:pt>
                <c:pt idx="8">
                  <c:v>-58.401759300000002</c:v>
                </c:pt>
                <c:pt idx="9">
                  <c:v>-60.362033599999997</c:v>
                </c:pt>
                <c:pt idx="10">
                  <c:v>-60.404905000000007</c:v>
                </c:pt>
                <c:pt idx="11">
                  <c:v>-58.734627099999997</c:v>
                </c:pt>
                <c:pt idx="12">
                  <c:v>-57.493560700000003</c:v>
                </c:pt>
                <c:pt idx="13">
                  <c:v>-60.250928500000001</c:v>
                </c:pt>
                <c:pt idx="14">
                  <c:v>-58.900574399999996</c:v>
                </c:pt>
                <c:pt idx="15">
                  <c:v>-60.364317838888887</c:v>
                </c:pt>
                <c:pt idx="16">
                  <c:v>-64.399865000000005</c:v>
                </c:pt>
                <c:pt idx="17">
                  <c:v>-63.581488699999987</c:v>
                </c:pt>
                <c:pt idx="18">
                  <c:v>-66.595103399999999</c:v>
                </c:pt>
                <c:pt idx="19">
                  <c:v>-67.593091000000001</c:v>
                </c:pt>
                <c:pt idx="20">
                  <c:v>-63.034380666666671</c:v>
                </c:pt>
                <c:pt idx="21">
                  <c:v>-64.344458099999997</c:v>
                </c:pt>
                <c:pt idx="22">
                  <c:v>-66.236628199999998</c:v>
                </c:pt>
                <c:pt idx="23">
                  <c:v>-66.491123799999997</c:v>
                </c:pt>
                <c:pt idx="24">
                  <c:v>-66.490407400000009</c:v>
                </c:pt>
                <c:pt idx="25">
                  <c:v>-69.189811700000007</c:v>
                </c:pt>
                <c:pt idx="26">
                  <c:v>-70.483304333333336</c:v>
                </c:pt>
                <c:pt idx="27">
                  <c:v>-67.859963199999996</c:v>
                </c:pt>
                <c:pt idx="28">
                  <c:v>-65.234536800000001</c:v>
                </c:pt>
                <c:pt idx="29">
                  <c:v>0</c:v>
                </c:pt>
              </c:numCache>
            </c:numRef>
          </c:yVal>
        </c:ser>
        <c:axId val="77832960"/>
        <c:axId val="77841920"/>
      </c:scatterChart>
      <c:valAx>
        <c:axId val="77832960"/>
        <c:scaling>
          <c:orientation val="minMax"/>
        </c:scaling>
        <c:axPos val="b"/>
        <c:majorGridlines/>
        <c:numFmt formatCode="0" sourceLinked="0"/>
        <c:tickLblPos val="low"/>
        <c:crossAx val="77841920"/>
        <c:crosses val="autoZero"/>
        <c:crossBetween val="midCat"/>
      </c:valAx>
      <c:valAx>
        <c:axId val="77841920"/>
        <c:scaling>
          <c:orientation val="minMax"/>
        </c:scaling>
        <c:axPos val="l"/>
        <c:majorGridlines/>
        <c:numFmt formatCode="General" sourceLinked="1"/>
        <c:tickLblPos val="low"/>
        <c:crossAx val="77832960"/>
        <c:crosses val="autoZero"/>
        <c:crossBetween val="midCat"/>
      </c:valAx>
    </c:plotArea>
    <c:legend>
      <c:legendPos val="r"/>
    </c:legend>
    <c:plotVisOnly val="1"/>
  </c:chart>
  <c:printSettings>
    <c:headerFooter/>
    <c:pageMargins b="0.75000000000000688" l="0.70000000000000062" r="0.70000000000000062" t="0.75000000000000688" header="0.30000000000000032" footer="0.30000000000000032"/>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RSS</a:t>
            </a:r>
            <a:endParaRPr lang="en-US"/>
          </a:p>
        </c:rich>
      </c:tx>
    </c:title>
    <c:plotArea>
      <c:layout/>
      <c:scatterChart>
        <c:scatterStyle val="lineMarker"/>
        <c:ser>
          <c:idx val="0"/>
          <c:order val="0"/>
          <c:tx>
            <c:strRef>
              <c:f>'10OBU'!$F$2</c:f>
              <c:strCache>
                <c:ptCount val="1"/>
                <c:pt idx="0">
                  <c:v>Car-PDR (%)</c:v>
                </c:pt>
              </c:strCache>
            </c:strRef>
          </c:tx>
          <c:spPr>
            <a:ln w="28575">
              <a:noFill/>
            </a:ln>
          </c:spPr>
          <c:xVal>
            <c:numRef>
              <c:f>'80OBU'!$O$4:$O$32</c:f>
              <c:numCache>
                <c:formatCode>General</c:formatCode>
                <c:ptCount val="29"/>
                <c:pt idx="0">
                  <c:v>-61.052491499999995</c:v>
                </c:pt>
                <c:pt idx="1">
                  <c:v>-64.972458799999998</c:v>
                </c:pt>
                <c:pt idx="2">
                  <c:v>-65.905080749999996</c:v>
                </c:pt>
                <c:pt idx="3">
                  <c:v>-66.332244900000006</c:v>
                </c:pt>
                <c:pt idx="4">
                  <c:v>-60.968298300000001</c:v>
                </c:pt>
                <c:pt idx="5">
                  <c:v>-61.188431899999991</c:v>
                </c:pt>
                <c:pt idx="6">
                  <c:v>-63.337494099999994</c:v>
                </c:pt>
                <c:pt idx="7">
                  <c:v>-59.312904550000006</c:v>
                </c:pt>
                <c:pt idx="8">
                  <c:v>-58.1617563</c:v>
                </c:pt>
                <c:pt idx="9">
                  <c:v>-59.252825549999997</c:v>
                </c:pt>
                <c:pt idx="10">
                  <c:v>-57.956540449999999</c:v>
                </c:pt>
                <c:pt idx="11">
                  <c:v>-58.364445050000008</c:v>
                </c:pt>
                <c:pt idx="12">
                  <c:v>-58.506715849999999</c:v>
                </c:pt>
                <c:pt idx="13">
                  <c:v>-60.527975350000006</c:v>
                </c:pt>
                <c:pt idx="14">
                  <c:v>-60.757881399999995</c:v>
                </c:pt>
                <c:pt idx="15">
                  <c:v>-60.3697169</c:v>
                </c:pt>
                <c:pt idx="16">
                  <c:v>-61.352652200000001</c:v>
                </c:pt>
                <c:pt idx="17">
                  <c:v>-62.73093755</c:v>
                </c:pt>
                <c:pt idx="18">
                  <c:v>-64.605195749999993</c:v>
                </c:pt>
                <c:pt idx="19">
                  <c:v>-65.720587299999991</c:v>
                </c:pt>
                <c:pt idx="20">
                  <c:v>-67.442750899999993</c:v>
                </c:pt>
                <c:pt idx="21">
                  <c:v>-66.910707900000006</c:v>
                </c:pt>
                <c:pt idx="22">
                  <c:v>-67.862798749999996</c:v>
                </c:pt>
                <c:pt idx="23">
                  <c:v>-69.354622299999988</c:v>
                </c:pt>
                <c:pt idx="24">
                  <c:v>-68.086680949999987</c:v>
                </c:pt>
                <c:pt idx="25">
                  <c:v>-68.438502150000005</c:v>
                </c:pt>
                <c:pt idx="26">
                  <c:v>-68.686874400000008</c:v>
                </c:pt>
                <c:pt idx="27">
                  <c:v>-68.661438899999979</c:v>
                </c:pt>
                <c:pt idx="28">
                  <c:v>-71.950491650000004</c:v>
                </c:pt>
              </c:numCache>
            </c:numRef>
          </c:xVal>
          <c:yVal>
            <c:numRef>
              <c:f>'80OBU'!$F$4:$F$32</c:f>
              <c:numCache>
                <c:formatCode>General</c:formatCode>
                <c:ptCount val="29"/>
                <c:pt idx="0" formatCode="0">
                  <c:v>33.333333333333329</c:v>
                </c:pt>
                <c:pt idx="1">
                  <c:v>30</c:v>
                </c:pt>
                <c:pt idx="2" formatCode="0">
                  <c:v>22.222222222222221</c:v>
                </c:pt>
                <c:pt idx="3">
                  <c:v>20</c:v>
                </c:pt>
                <c:pt idx="4">
                  <c:v>60</c:v>
                </c:pt>
                <c:pt idx="5">
                  <c:v>50</c:v>
                </c:pt>
                <c:pt idx="6">
                  <c:v>30</c:v>
                </c:pt>
                <c:pt idx="7">
                  <c:v>30</c:v>
                </c:pt>
                <c:pt idx="8" formatCode="0">
                  <c:v>62.5</c:v>
                </c:pt>
                <c:pt idx="9" formatCode="0">
                  <c:v>30</c:v>
                </c:pt>
                <c:pt idx="10" formatCode="0">
                  <c:v>37.5</c:v>
                </c:pt>
                <c:pt idx="11">
                  <c:v>70</c:v>
                </c:pt>
                <c:pt idx="12">
                  <c:v>10</c:v>
                </c:pt>
                <c:pt idx="13" formatCode="0">
                  <c:v>14.285714285714285</c:v>
                </c:pt>
                <c:pt idx="14" formatCode="0">
                  <c:v>50</c:v>
                </c:pt>
                <c:pt idx="15" formatCode="0">
                  <c:v>33.333333333333329</c:v>
                </c:pt>
                <c:pt idx="16" formatCode="0">
                  <c:v>20</c:v>
                </c:pt>
                <c:pt idx="17" formatCode="0">
                  <c:v>40</c:v>
                </c:pt>
                <c:pt idx="18" formatCode="0">
                  <c:v>20</c:v>
                </c:pt>
                <c:pt idx="19" formatCode="0">
                  <c:v>12.5</c:v>
                </c:pt>
                <c:pt idx="20" formatCode="0">
                  <c:v>50</c:v>
                </c:pt>
                <c:pt idx="21" formatCode="0">
                  <c:v>10</c:v>
                </c:pt>
                <c:pt idx="22" formatCode="0">
                  <c:v>42.857142857142854</c:v>
                </c:pt>
                <c:pt idx="23">
                  <c:v>10</c:v>
                </c:pt>
                <c:pt idx="24">
                  <c:v>10</c:v>
                </c:pt>
                <c:pt idx="25">
                  <c:v>20</c:v>
                </c:pt>
                <c:pt idx="26">
                  <c:v>40</c:v>
                </c:pt>
                <c:pt idx="27" formatCode="0">
                  <c:v>37.5</c:v>
                </c:pt>
                <c:pt idx="28">
                  <c:v>10</c:v>
                </c:pt>
              </c:numCache>
            </c:numRef>
          </c:yVal>
        </c:ser>
        <c:axId val="77878784"/>
        <c:axId val="77892608"/>
      </c:scatterChart>
      <c:valAx>
        <c:axId val="77878784"/>
        <c:scaling>
          <c:orientation val="maxMin"/>
          <c:max val="0"/>
          <c:min val="-100"/>
        </c:scaling>
        <c:axPos val="b"/>
        <c:majorGridlines/>
        <c:numFmt formatCode="0" sourceLinked="0"/>
        <c:tickLblPos val="nextTo"/>
        <c:crossAx val="77892608"/>
        <c:crosses val="autoZero"/>
        <c:crossBetween val="midCat"/>
      </c:valAx>
      <c:valAx>
        <c:axId val="77892608"/>
        <c:scaling>
          <c:orientation val="minMax"/>
          <c:max val="100"/>
          <c:min val="0"/>
        </c:scaling>
        <c:axPos val="r"/>
        <c:majorGridlines/>
        <c:numFmt formatCode="0" sourceLinked="1"/>
        <c:tickLblPos val="high"/>
        <c:crossAx val="77878784"/>
        <c:crosses val="autoZero"/>
        <c:crossBetween val="midCat"/>
      </c:valAx>
    </c:plotArea>
    <c:legend>
      <c:legendPos val="r"/>
    </c:legend>
    <c:plotVisOnly val="1"/>
  </c:chart>
  <c:printSettings>
    <c:headerFooter/>
    <c:pageMargins b="0.75000000000000555" l="0.70000000000000062" r="0.70000000000000062" t="0.75000000000000555" header="0.30000000000000032" footer="0.30000000000000032"/>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 SNR</a:t>
            </a:r>
          </a:p>
        </c:rich>
      </c:tx>
    </c:title>
    <c:plotArea>
      <c:layout/>
      <c:scatterChart>
        <c:scatterStyle val="lineMarker"/>
        <c:ser>
          <c:idx val="0"/>
          <c:order val="0"/>
          <c:tx>
            <c:strRef>
              <c:f>'10OBU'!$F$2</c:f>
              <c:strCache>
                <c:ptCount val="1"/>
                <c:pt idx="0">
                  <c:v>Car-PDR (%)</c:v>
                </c:pt>
              </c:strCache>
            </c:strRef>
          </c:tx>
          <c:spPr>
            <a:ln w="28575">
              <a:noFill/>
            </a:ln>
          </c:spPr>
          <c:xVal>
            <c:numRef>
              <c:f>'80OBU'!$P$4:$P$32</c:f>
              <c:numCache>
                <c:formatCode>General</c:formatCode>
                <c:ptCount val="29"/>
                <c:pt idx="0">
                  <c:v>42.947508500000005</c:v>
                </c:pt>
                <c:pt idx="1">
                  <c:v>39.027541200000002</c:v>
                </c:pt>
                <c:pt idx="2">
                  <c:v>38.094919250000004</c:v>
                </c:pt>
                <c:pt idx="3">
                  <c:v>37.667755100000001</c:v>
                </c:pt>
                <c:pt idx="4">
                  <c:v>43.031701700000006</c:v>
                </c:pt>
                <c:pt idx="5">
                  <c:v>42.811568100000002</c:v>
                </c:pt>
                <c:pt idx="6">
                  <c:v>40.662505900000006</c:v>
                </c:pt>
                <c:pt idx="7">
                  <c:v>44.687095450000001</c:v>
                </c:pt>
                <c:pt idx="8">
                  <c:v>45.838243700000007</c:v>
                </c:pt>
                <c:pt idx="9">
                  <c:v>44.747174450000003</c:v>
                </c:pt>
                <c:pt idx="10">
                  <c:v>46.043459549999994</c:v>
                </c:pt>
                <c:pt idx="11">
                  <c:v>45.63555495</c:v>
                </c:pt>
                <c:pt idx="12">
                  <c:v>45.493284150000001</c:v>
                </c:pt>
                <c:pt idx="13">
                  <c:v>43.472024649999994</c:v>
                </c:pt>
                <c:pt idx="14">
                  <c:v>43.242118600000005</c:v>
                </c:pt>
                <c:pt idx="15">
                  <c:v>43.6302831</c:v>
                </c:pt>
                <c:pt idx="16">
                  <c:v>42.647347799999999</c:v>
                </c:pt>
                <c:pt idx="17">
                  <c:v>41.269062449999993</c:v>
                </c:pt>
                <c:pt idx="18">
                  <c:v>39.394804250000007</c:v>
                </c:pt>
                <c:pt idx="19">
                  <c:v>38.279412700000002</c:v>
                </c:pt>
                <c:pt idx="20">
                  <c:v>36.557249099999993</c:v>
                </c:pt>
                <c:pt idx="21">
                  <c:v>37.089292100000002</c:v>
                </c:pt>
                <c:pt idx="22">
                  <c:v>36.137201250000004</c:v>
                </c:pt>
                <c:pt idx="23">
                  <c:v>34.645377699999997</c:v>
                </c:pt>
                <c:pt idx="24">
                  <c:v>35.913319049999998</c:v>
                </c:pt>
                <c:pt idx="25">
                  <c:v>35.561497850000002</c:v>
                </c:pt>
                <c:pt idx="26">
                  <c:v>35.313125599999999</c:v>
                </c:pt>
                <c:pt idx="27">
                  <c:v>35.3385611</c:v>
                </c:pt>
                <c:pt idx="28">
                  <c:v>32.049508349999996</c:v>
                </c:pt>
              </c:numCache>
            </c:numRef>
          </c:xVal>
          <c:yVal>
            <c:numRef>
              <c:f>'80OBU'!$F$4:$F$32</c:f>
              <c:numCache>
                <c:formatCode>General</c:formatCode>
                <c:ptCount val="29"/>
                <c:pt idx="0" formatCode="0">
                  <c:v>33.333333333333329</c:v>
                </c:pt>
                <c:pt idx="1">
                  <c:v>30</c:v>
                </c:pt>
                <c:pt idx="2" formatCode="0">
                  <c:v>22.222222222222221</c:v>
                </c:pt>
                <c:pt idx="3">
                  <c:v>20</c:v>
                </c:pt>
                <c:pt idx="4">
                  <c:v>60</c:v>
                </c:pt>
                <c:pt idx="5">
                  <c:v>50</c:v>
                </c:pt>
                <c:pt idx="6">
                  <c:v>30</c:v>
                </c:pt>
                <c:pt idx="7">
                  <c:v>30</c:v>
                </c:pt>
                <c:pt idx="8" formatCode="0">
                  <c:v>62.5</c:v>
                </c:pt>
                <c:pt idx="9" formatCode="0">
                  <c:v>30</c:v>
                </c:pt>
                <c:pt idx="10" formatCode="0">
                  <c:v>37.5</c:v>
                </c:pt>
                <c:pt idx="11">
                  <c:v>70</c:v>
                </c:pt>
                <c:pt idx="12">
                  <c:v>10</c:v>
                </c:pt>
                <c:pt idx="13" formatCode="0">
                  <c:v>14.285714285714285</c:v>
                </c:pt>
                <c:pt idx="14" formatCode="0">
                  <c:v>50</c:v>
                </c:pt>
                <c:pt idx="15" formatCode="0">
                  <c:v>33.333333333333329</c:v>
                </c:pt>
                <c:pt idx="16" formatCode="0">
                  <c:v>20</c:v>
                </c:pt>
                <c:pt idx="17" formatCode="0">
                  <c:v>40</c:v>
                </c:pt>
                <c:pt idx="18" formatCode="0">
                  <c:v>20</c:v>
                </c:pt>
                <c:pt idx="19" formatCode="0">
                  <c:v>12.5</c:v>
                </c:pt>
                <c:pt idx="20" formatCode="0">
                  <c:v>50</c:v>
                </c:pt>
                <c:pt idx="21" formatCode="0">
                  <c:v>10</c:v>
                </c:pt>
                <c:pt idx="22" formatCode="0">
                  <c:v>42.857142857142854</c:v>
                </c:pt>
                <c:pt idx="23">
                  <c:v>10</c:v>
                </c:pt>
                <c:pt idx="24">
                  <c:v>10</c:v>
                </c:pt>
                <c:pt idx="25">
                  <c:v>20</c:v>
                </c:pt>
                <c:pt idx="26">
                  <c:v>40</c:v>
                </c:pt>
                <c:pt idx="27" formatCode="0">
                  <c:v>37.5</c:v>
                </c:pt>
                <c:pt idx="28">
                  <c:v>10</c:v>
                </c:pt>
              </c:numCache>
            </c:numRef>
          </c:yVal>
        </c:ser>
        <c:axId val="78046720"/>
        <c:axId val="77947648"/>
      </c:scatterChart>
      <c:valAx>
        <c:axId val="78046720"/>
        <c:scaling>
          <c:orientation val="minMax"/>
          <c:max val="50"/>
        </c:scaling>
        <c:axPos val="b"/>
        <c:majorGridlines/>
        <c:numFmt formatCode="0" sourceLinked="0"/>
        <c:tickLblPos val="nextTo"/>
        <c:crossAx val="77947648"/>
        <c:crosses val="autoZero"/>
        <c:crossBetween val="midCat"/>
      </c:valAx>
      <c:valAx>
        <c:axId val="77947648"/>
        <c:scaling>
          <c:orientation val="minMax"/>
          <c:max val="100"/>
          <c:min val="0"/>
        </c:scaling>
        <c:axPos val="l"/>
        <c:majorGridlines/>
        <c:numFmt formatCode="0" sourceLinked="1"/>
        <c:tickLblPos val="nextTo"/>
        <c:crossAx val="78046720"/>
        <c:crosses val="autoZero"/>
        <c:crossBetween val="midCat"/>
      </c:valAx>
    </c:plotArea>
    <c:legend>
      <c:legendPos val="r"/>
    </c:legend>
    <c:plotVisOnly val="1"/>
  </c:chart>
  <c:printSettings>
    <c:headerFooter/>
    <c:pageMargins b="0.75000000000000577" l="0.70000000000000062" r="0.70000000000000062" t="0.75000000000000577" header="0.30000000000000032" footer="0.30000000000000032"/>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PSR</a:t>
            </a:r>
            <a:endParaRPr lang="en-US"/>
          </a:p>
        </c:rich>
      </c:tx>
    </c:title>
    <c:plotArea>
      <c:layout/>
      <c:scatterChart>
        <c:scatterStyle val="lineMarker"/>
        <c:ser>
          <c:idx val="0"/>
          <c:order val="0"/>
          <c:tx>
            <c:strRef>
              <c:f>'10OBU'!$F$2</c:f>
              <c:strCache>
                <c:ptCount val="1"/>
                <c:pt idx="0">
                  <c:v>Car-PDR (%)</c:v>
                </c:pt>
              </c:strCache>
            </c:strRef>
          </c:tx>
          <c:spPr>
            <a:ln w="28575">
              <a:noFill/>
            </a:ln>
          </c:spPr>
          <c:xVal>
            <c:numRef>
              <c:f>'80OBU'!$J$3:$J$32</c:f>
              <c:numCache>
                <c:formatCode>General</c:formatCode>
                <c:ptCount val="30"/>
                <c:pt idx="0">
                  <c:v>0</c:v>
                </c:pt>
                <c:pt idx="1">
                  <c:v>90</c:v>
                </c:pt>
                <c:pt idx="2">
                  <c:v>100</c:v>
                </c:pt>
                <c:pt idx="3">
                  <c:v>90</c:v>
                </c:pt>
                <c:pt idx="4">
                  <c:v>80</c:v>
                </c:pt>
                <c:pt idx="5">
                  <c:v>100</c:v>
                </c:pt>
                <c:pt idx="6">
                  <c:v>90</c:v>
                </c:pt>
                <c:pt idx="7">
                  <c:v>100</c:v>
                </c:pt>
                <c:pt idx="8">
                  <c:v>70</c:v>
                </c:pt>
                <c:pt idx="9">
                  <c:v>70</c:v>
                </c:pt>
                <c:pt idx="10">
                  <c:v>100</c:v>
                </c:pt>
                <c:pt idx="11">
                  <c:v>90</c:v>
                </c:pt>
                <c:pt idx="12">
                  <c:v>100</c:v>
                </c:pt>
                <c:pt idx="13">
                  <c:v>80</c:v>
                </c:pt>
                <c:pt idx="14">
                  <c:v>100</c:v>
                </c:pt>
                <c:pt idx="15">
                  <c:v>80</c:v>
                </c:pt>
                <c:pt idx="16">
                  <c:v>90</c:v>
                </c:pt>
                <c:pt idx="17">
                  <c:v>100</c:v>
                </c:pt>
                <c:pt idx="18">
                  <c:v>60</c:v>
                </c:pt>
                <c:pt idx="19">
                  <c:v>100</c:v>
                </c:pt>
                <c:pt idx="20">
                  <c:v>70</c:v>
                </c:pt>
                <c:pt idx="21">
                  <c:v>100</c:v>
                </c:pt>
                <c:pt idx="22">
                  <c:v>80</c:v>
                </c:pt>
                <c:pt idx="23">
                  <c:v>70</c:v>
                </c:pt>
                <c:pt idx="24">
                  <c:v>100</c:v>
                </c:pt>
                <c:pt idx="25">
                  <c:v>80</c:v>
                </c:pt>
                <c:pt idx="26">
                  <c:v>100</c:v>
                </c:pt>
                <c:pt idx="27">
                  <c:v>90</c:v>
                </c:pt>
                <c:pt idx="28">
                  <c:v>70</c:v>
                </c:pt>
                <c:pt idx="29">
                  <c:v>90</c:v>
                </c:pt>
              </c:numCache>
            </c:numRef>
          </c:xVal>
          <c:yVal>
            <c:numRef>
              <c:f>'80OBU'!$F$3:$F$32</c:f>
              <c:numCache>
                <c:formatCode>0</c:formatCode>
                <c:ptCount val="30"/>
                <c:pt idx="0" formatCode="General">
                  <c:v>0</c:v>
                </c:pt>
                <c:pt idx="1">
                  <c:v>33.333333333333329</c:v>
                </c:pt>
                <c:pt idx="2" formatCode="General">
                  <c:v>30</c:v>
                </c:pt>
                <c:pt idx="3">
                  <c:v>22.222222222222221</c:v>
                </c:pt>
                <c:pt idx="4" formatCode="General">
                  <c:v>20</c:v>
                </c:pt>
                <c:pt idx="5" formatCode="General">
                  <c:v>60</c:v>
                </c:pt>
                <c:pt idx="6" formatCode="General">
                  <c:v>50</c:v>
                </c:pt>
                <c:pt idx="7" formatCode="General">
                  <c:v>30</c:v>
                </c:pt>
                <c:pt idx="8" formatCode="General">
                  <c:v>30</c:v>
                </c:pt>
                <c:pt idx="9">
                  <c:v>62.5</c:v>
                </c:pt>
                <c:pt idx="10">
                  <c:v>30</c:v>
                </c:pt>
                <c:pt idx="11">
                  <c:v>37.5</c:v>
                </c:pt>
                <c:pt idx="12" formatCode="General">
                  <c:v>70</c:v>
                </c:pt>
                <c:pt idx="13" formatCode="General">
                  <c:v>10</c:v>
                </c:pt>
                <c:pt idx="14">
                  <c:v>14.285714285714285</c:v>
                </c:pt>
                <c:pt idx="15">
                  <c:v>50</c:v>
                </c:pt>
                <c:pt idx="16">
                  <c:v>33.333333333333329</c:v>
                </c:pt>
                <c:pt idx="17">
                  <c:v>20</c:v>
                </c:pt>
                <c:pt idx="18">
                  <c:v>40</c:v>
                </c:pt>
                <c:pt idx="19">
                  <c:v>20</c:v>
                </c:pt>
                <c:pt idx="20">
                  <c:v>12.5</c:v>
                </c:pt>
                <c:pt idx="21">
                  <c:v>50</c:v>
                </c:pt>
                <c:pt idx="22">
                  <c:v>10</c:v>
                </c:pt>
                <c:pt idx="23">
                  <c:v>42.857142857142854</c:v>
                </c:pt>
                <c:pt idx="24" formatCode="General">
                  <c:v>10</c:v>
                </c:pt>
                <c:pt idx="25" formatCode="General">
                  <c:v>10</c:v>
                </c:pt>
                <c:pt idx="26" formatCode="General">
                  <c:v>20</c:v>
                </c:pt>
                <c:pt idx="27" formatCode="General">
                  <c:v>40</c:v>
                </c:pt>
                <c:pt idx="28">
                  <c:v>37.5</c:v>
                </c:pt>
                <c:pt idx="29" formatCode="General">
                  <c:v>10</c:v>
                </c:pt>
              </c:numCache>
            </c:numRef>
          </c:yVal>
        </c:ser>
        <c:axId val="77959936"/>
        <c:axId val="77969664"/>
      </c:scatterChart>
      <c:valAx>
        <c:axId val="77959936"/>
        <c:scaling>
          <c:orientation val="minMax"/>
          <c:max val="100"/>
        </c:scaling>
        <c:axPos val="b"/>
        <c:majorGridlines/>
        <c:numFmt formatCode="General" sourceLinked="1"/>
        <c:tickLblPos val="nextTo"/>
        <c:crossAx val="77969664"/>
        <c:crosses val="autoZero"/>
        <c:crossBetween val="midCat"/>
      </c:valAx>
      <c:valAx>
        <c:axId val="77969664"/>
        <c:scaling>
          <c:orientation val="minMax"/>
          <c:max val="100"/>
          <c:min val="0"/>
        </c:scaling>
        <c:axPos val="l"/>
        <c:majorGridlines/>
        <c:numFmt formatCode="General" sourceLinked="1"/>
        <c:tickLblPos val="nextTo"/>
        <c:crossAx val="77959936"/>
        <c:crosses val="autoZero"/>
        <c:crossBetween val="midCat"/>
      </c:valAx>
    </c:plotArea>
    <c:legend>
      <c:legendPos val="r"/>
    </c:legend>
    <c:plotVisOnly val="1"/>
  </c:chart>
  <c:printSettings>
    <c:headerFooter/>
    <c:pageMargins b="0.75000000000000577" l="0.70000000000000062" r="0.70000000000000062" t="0.75000000000000577" header="0.30000000000000032" footer="0.30000000000000032"/>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Car-PDSR Vs.</a:t>
            </a:r>
            <a:r>
              <a:rPr lang="en-US" baseline="0"/>
              <a:t> RSS</a:t>
            </a:r>
            <a:endParaRPr lang="en-US"/>
          </a:p>
        </c:rich>
      </c:tx>
    </c:title>
    <c:plotArea>
      <c:layout>
        <c:manualLayout>
          <c:layoutTarget val="inner"/>
          <c:xMode val="edge"/>
          <c:yMode val="edge"/>
          <c:x val="4.7443609022556434E-2"/>
          <c:y val="0.19480351414406533"/>
          <c:w val="0.66507647070432019"/>
          <c:h val="0.68921660834062359"/>
        </c:manualLayout>
      </c:layout>
      <c:scatterChart>
        <c:scatterStyle val="lineMarker"/>
        <c:ser>
          <c:idx val="0"/>
          <c:order val="0"/>
          <c:tx>
            <c:v>Car-PDSR Vs. RSS</c:v>
          </c:tx>
          <c:spPr>
            <a:ln w="28575">
              <a:noFill/>
            </a:ln>
          </c:spPr>
          <c:xVal>
            <c:numRef>
              <c:f>'80OBU'!$O$4:$O$32</c:f>
              <c:numCache>
                <c:formatCode>General</c:formatCode>
                <c:ptCount val="29"/>
                <c:pt idx="0">
                  <c:v>-61.052491499999995</c:v>
                </c:pt>
                <c:pt idx="1">
                  <c:v>-64.972458799999998</c:v>
                </c:pt>
                <c:pt idx="2">
                  <c:v>-65.905080749999996</c:v>
                </c:pt>
                <c:pt idx="3">
                  <c:v>-66.332244900000006</c:v>
                </c:pt>
                <c:pt idx="4">
                  <c:v>-60.968298300000001</c:v>
                </c:pt>
                <c:pt idx="5">
                  <c:v>-61.188431899999991</c:v>
                </c:pt>
                <c:pt idx="6">
                  <c:v>-63.337494099999994</c:v>
                </c:pt>
                <c:pt idx="7">
                  <c:v>-59.312904550000006</c:v>
                </c:pt>
                <c:pt idx="8">
                  <c:v>-58.1617563</c:v>
                </c:pt>
                <c:pt idx="9">
                  <c:v>-59.252825549999997</c:v>
                </c:pt>
                <c:pt idx="10">
                  <c:v>-57.956540449999999</c:v>
                </c:pt>
                <c:pt idx="11">
                  <c:v>-58.364445050000008</c:v>
                </c:pt>
                <c:pt idx="12">
                  <c:v>-58.506715849999999</c:v>
                </c:pt>
                <c:pt idx="13">
                  <c:v>-60.527975350000006</c:v>
                </c:pt>
                <c:pt idx="14">
                  <c:v>-60.757881399999995</c:v>
                </c:pt>
                <c:pt idx="15">
                  <c:v>-60.3697169</c:v>
                </c:pt>
                <c:pt idx="16">
                  <c:v>-61.352652200000001</c:v>
                </c:pt>
                <c:pt idx="17">
                  <c:v>-62.73093755</c:v>
                </c:pt>
                <c:pt idx="18">
                  <c:v>-64.605195749999993</c:v>
                </c:pt>
                <c:pt idx="19">
                  <c:v>-65.720587299999991</c:v>
                </c:pt>
                <c:pt idx="20">
                  <c:v>-67.442750899999993</c:v>
                </c:pt>
                <c:pt idx="21">
                  <c:v>-66.910707900000006</c:v>
                </c:pt>
                <c:pt idx="22">
                  <c:v>-67.862798749999996</c:v>
                </c:pt>
                <c:pt idx="23">
                  <c:v>-69.354622299999988</c:v>
                </c:pt>
                <c:pt idx="24">
                  <c:v>-68.086680949999987</c:v>
                </c:pt>
                <c:pt idx="25">
                  <c:v>-68.438502150000005</c:v>
                </c:pt>
                <c:pt idx="26">
                  <c:v>-68.686874400000008</c:v>
                </c:pt>
                <c:pt idx="27">
                  <c:v>-68.661438899999979</c:v>
                </c:pt>
                <c:pt idx="28">
                  <c:v>-71.950491650000004</c:v>
                </c:pt>
              </c:numCache>
            </c:numRef>
          </c:xVal>
          <c:yVal>
            <c:numRef>
              <c:f>'80OBU'!$M$4:$M$32</c:f>
              <c:numCache>
                <c:formatCode>0.00</c:formatCode>
                <c:ptCount val="29"/>
                <c:pt idx="0">
                  <c:v>49.861111111111114</c:v>
                </c:pt>
                <c:pt idx="1">
                  <c:v>55.5625</c:v>
                </c:pt>
                <c:pt idx="2">
                  <c:v>50.416666666666664</c:v>
                </c:pt>
                <c:pt idx="3">
                  <c:v>45.25</c:v>
                </c:pt>
                <c:pt idx="4">
                  <c:v>60.1875</c:v>
                </c:pt>
                <c:pt idx="5">
                  <c:v>53.25</c:v>
                </c:pt>
                <c:pt idx="6">
                  <c:v>55.5</c:v>
                </c:pt>
                <c:pt idx="7">
                  <c:v>40.1875</c:v>
                </c:pt>
                <c:pt idx="8">
                  <c:v>41.6875</c:v>
                </c:pt>
                <c:pt idx="9">
                  <c:v>57.625</c:v>
                </c:pt>
                <c:pt idx="10">
                  <c:v>51.875</c:v>
                </c:pt>
                <c:pt idx="11">
                  <c:v>57.5</c:v>
                </c:pt>
                <c:pt idx="12">
                  <c:v>48.75</c:v>
                </c:pt>
                <c:pt idx="13">
                  <c:v>55.5625</c:v>
                </c:pt>
                <c:pt idx="14">
                  <c:v>47.375</c:v>
                </c:pt>
                <c:pt idx="15">
                  <c:v>49.625</c:v>
                </c:pt>
                <c:pt idx="16">
                  <c:v>55.875</c:v>
                </c:pt>
                <c:pt idx="17">
                  <c:v>36.5625</c:v>
                </c:pt>
                <c:pt idx="18">
                  <c:v>53.4375</c:v>
                </c:pt>
                <c:pt idx="19">
                  <c:v>41.5</c:v>
                </c:pt>
                <c:pt idx="20">
                  <c:v>57.125</c:v>
                </c:pt>
                <c:pt idx="21">
                  <c:v>44.625</c:v>
                </c:pt>
                <c:pt idx="22">
                  <c:v>42.5625</c:v>
                </c:pt>
                <c:pt idx="23">
                  <c:v>54.75</c:v>
                </c:pt>
                <c:pt idx="24">
                  <c:v>42.875</c:v>
                </c:pt>
                <c:pt idx="25">
                  <c:v>55.5625</c:v>
                </c:pt>
                <c:pt idx="26">
                  <c:v>51.5</c:v>
                </c:pt>
                <c:pt idx="27">
                  <c:v>42.25</c:v>
                </c:pt>
                <c:pt idx="28">
                  <c:v>50.138888888888886</c:v>
                </c:pt>
              </c:numCache>
            </c:numRef>
          </c:yVal>
        </c:ser>
        <c:axId val="78121600"/>
        <c:axId val="78138752"/>
      </c:scatterChart>
      <c:valAx>
        <c:axId val="78121600"/>
        <c:scaling>
          <c:orientation val="maxMin"/>
          <c:max val="-40"/>
          <c:min val="-100"/>
        </c:scaling>
        <c:axPos val="b"/>
        <c:majorGridlines/>
        <c:numFmt formatCode="0" sourceLinked="0"/>
        <c:tickLblPos val="nextTo"/>
        <c:crossAx val="78138752"/>
        <c:crosses val="autoZero"/>
        <c:crossBetween val="midCat"/>
      </c:valAx>
      <c:valAx>
        <c:axId val="78138752"/>
        <c:scaling>
          <c:orientation val="minMax"/>
          <c:max val="100"/>
          <c:min val="0"/>
        </c:scaling>
        <c:axPos val="r"/>
        <c:majorGridlines/>
        <c:numFmt formatCode="0" sourceLinked="0"/>
        <c:tickLblPos val="high"/>
        <c:crossAx val="78121600"/>
        <c:crosses val="autoZero"/>
        <c:crossBetween val="midCat"/>
      </c:valAx>
    </c:plotArea>
    <c:legend>
      <c:legendPos val="r"/>
    </c:legend>
    <c:plotVisOnly val="1"/>
  </c:chart>
  <c:printSettings>
    <c:headerFooter/>
    <c:pageMargins b="0.750000000000006" l="0.70000000000000062" r="0.70000000000000062" t="0.750000000000006"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RSS</a:t>
            </a:r>
            <a:endParaRPr lang="en-US"/>
          </a:p>
        </c:rich>
      </c:tx>
      <c:layout/>
    </c:title>
    <c:plotArea>
      <c:layout>
        <c:manualLayout>
          <c:layoutTarget val="inner"/>
          <c:xMode val="edge"/>
          <c:yMode val="edge"/>
          <c:x val="3.6829824843323242E-2"/>
          <c:y val="0.19480351414406533"/>
          <c:w val="0.71116460442444762"/>
          <c:h val="0.68921660834062359"/>
        </c:manualLayout>
      </c:layout>
      <c:scatterChart>
        <c:scatterStyle val="lineMarker"/>
        <c:ser>
          <c:idx val="1"/>
          <c:order val="0"/>
          <c:tx>
            <c:v>RSU-PDR Vs. RSS</c:v>
          </c:tx>
          <c:spPr>
            <a:ln w="28575">
              <a:noFill/>
            </a:ln>
          </c:spPr>
          <c:xVal>
            <c:numRef>
              <c:f>'1OBU'!$Q$4:$Q$32</c:f>
              <c:numCache>
                <c:formatCode>General</c:formatCode>
                <c:ptCount val="29"/>
                <c:pt idx="0">
                  <c:v>-70.698144888888891</c:v>
                </c:pt>
                <c:pt idx="1">
                  <c:v>-66.322657444444459</c:v>
                </c:pt>
                <c:pt idx="2">
                  <c:v>-67.584027888888897</c:v>
                </c:pt>
                <c:pt idx="3">
                  <c:v>-68.94821455555558</c:v>
                </c:pt>
                <c:pt idx="4">
                  <c:v>-65.717193666666674</c:v>
                </c:pt>
                <c:pt idx="5">
                  <c:v>-69.12537288888889</c:v>
                </c:pt>
                <c:pt idx="6">
                  <c:v>-62.519155333333337</c:v>
                </c:pt>
                <c:pt idx="7">
                  <c:v>-64.157163666666676</c:v>
                </c:pt>
                <c:pt idx="8">
                  <c:v>-68.123937666666677</c:v>
                </c:pt>
                <c:pt idx="9">
                  <c:v>-64.352737888888882</c:v>
                </c:pt>
                <c:pt idx="10">
                  <c:v>-67.760732000000004</c:v>
                </c:pt>
                <c:pt idx="11">
                  <c:v>-62.648141111111109</c:v>
                </c:pt>
                <c:pt idx="12">
                  <c:v>-66.085543888888878</c:v>
                </c:pt>
                <c:pt idx="13">
                  <c:v>-67.503685666666655</c:v>
                </c:pt>
                <c:pt idx="14">
                  <c:v>-66.732119666666648</c:v>
                </c:pt>
                <c:pt idx="15">
                  <c:v>-70.06494466666669</c:v>
                </c:pt>
                <c:pt idx="16">
                  <c:v>-69.00393055555557</c:v>
                </c:pt>
                <c:pt idx="17">
                  <c:v>-71.837233888888889</c:v>
                </c:pt>
                <c:pt idx="18">
                  <c:v>-71.955864777777776</c:v>
                </c:pt>
                <c:pt idx="19">
                  <c:v>-70.595416000000014</c:v>
                </c:pt>
                <c:pt idx="20">
                  <c:v>-73.593758666666673</c:v>
                </c:pt>
                <c:pt idx="21">
                  <c:v>-73.045472666666669</c:v>
                </c:pt>
                <c:pt idx="22">
                  <c:v>-71.088061888888888</c:v>
                </c:pt>
                <c:pt idx="23">
                  <c:v>-71.429020888888886</c:v>
                </c:pt>
                <c:pt idx="24">
                  <c:v>-69.02309133333334</c:v>
                </c:pt>
                <c:pt idx="25">
                  <c:v>-73.130532888888908</c:v>
                </c:pt>
                <c:pt idx="26">
                  <c:v>-75.677282333333338</c:v>
                </c:pt>
                <c:pt idx="27">
                  <c:v>-69.646982444444447</c:v>
                </c:pt>
                <c:pt idx="28">
                  <c:v>-70.193410777777771</c:v>
                </c:pt>
              </c:numCache>
            </c:numRef>
          </c:xVal>
          <c:yVal>
            <c:numRef>
              <c:f>'1OBU'!$L$4:$L$32</c:f>
              <c:numCache>
                <c:formatCode>0</c:formatCode>
                <c:ptCount val="29"/>
                <c:pt idx="0">
                  <c:v>100</c:v>
                </c:pt>
                <c:pt idx="1">
                  <c:v>77.777777777777786</c:v>
                </c:pt>
                <c:pt idx="2">
                  <c:v>100</c:v>
                </c:pt>
                <c:pt idx="3">
                  <c:v>90</c:v>
                </c:pt>
                <c:pt idx="4">
                  <c:v>100</c:v>
                </c:pt>
                <c:pt idx="5">
                  <c:v>100</c:v>
                </c:pt>
                <c:pt idx="6">
                  <c:v>100</c:v>
                </c:pt>
                <c:pt idx="7">
                  <c:v>90</c:v>
                </c:pt>
                <c:pt idx="8">
                  <c:v>90</c:v>
                </c:pt>
                <c:pt idx="9">
                  <c:v>100</c:v>
                </c:pt>
                <c:pt idx="10">
                  <c:v>100</c:v>
                </c:pt>
                <c:pt idx="11">
                  <c:v>90</c:v>
                </c:pt>
                <c:pt idx="12">
                  <c:v>90</c:v>
                </c:pt>
                <c:pt idx="13">
                  <c:v>100</c:v>
                </c:pt>
                <c:pt idx="14">
                  <c:v>100</c:v>
                </c:pt>
                <c:pt idx="15">
                  <c:v>100</c:v>
                </c:pt>
                <c:pt idx="16">
                  <c:v>100</c:v>
                </c:pt>
                <c:pt idx="17">
                  <c:v>100</c:v>
                </c:pt>
                <c:pt idx="18">
                  <c:v>80</c:v>
                </c:pt>
                <c:pt idx="19">
                  <c:v>90</c:v>
                </c:pt>
                <c:pt idx="20">
                  <c:v>80</c:v>
                </c:pt>
                <c:pt idx="21">
                  <c:v>80</c:v>
                </c:pt>
                <c:pt idx="22">
                  <c:v>100</c:v>
                </c:pt>
                <c:pt idx="23">
                  <c:v>90</c:v>
                </c:pt>
                <c:pt idx="24">
                  <c:v>70</c:v>
                </c:pt>
                <c:pt idx="25">
                  <c:v>77.777777777777786</c:v>
                </c:pt>
                <c:pt idx="26">
                  <c:v>90</c:v>
                </c:pt>
                <c:pt idx="27">
                  <c:v>77.777777777777786</c:v>
                </c:pt>
                <c:pt idx="28">
                  <c:v>87.5</c:v>
                </c:pt>
              </c:numCache>
            </c:numRef>
          </c:yVal>
        </c:ser>
        <c:axId val="125306752"/>
        <c:axId val="125308288"/>
      </c:scatterChart>
      <c:valAx>
        <c:axId val="125306752"/>
        <c:scaling>
          <c:orientation val="maxMin"/>
          <c:min val="-100"/>
        </c:scaling>
        <c:axPos val="b"/>
        <c:majorGridlines/>
        <c:numFmt formatCode="General" sourceLinked="1"/>
        <c:tickLblPos val="nextTo"/>
        <c:crossAx val="125308288"/>
        <c:crosses val="autoZero"/>
        <c:crossBetween val="midCat"/>
      </c:valAx>
      <c:valAx>
        <c:axId val="125308288"/>
        <c:scaling>
          <c:orientation val="minMax"/>
          <c:max val="100"/>
          <c:min val="0"/>
        </c:scaling>
        <c:axPos val="r"/>
        <c:majorGridlines/>
        <c:numFmt formatCode="0" sourceLinked="1"/>
        <c:tickLblPos val="high"/>
        <c:crossAx val="125306752"/>
        <c:crosses val="autoZero"/>
        <c:crossBetween val="midCat"/>
      </c:valAx>
    </c:plotArea>
    <c:legend>
      <c:legendPos val="r"/>
      <c:layout/>
    </c:legend>
    <c:plotVisOnly val="1"/>
  </c:chart>
  <c:printSettings>
    <c:headerFooter/>
    <c:pageMargins b="0.75000000000000466" l="0.70000000000000062" r="0.70000000000000062" t="0.75000000000000466" header="0.30000000000000032" footer="0.30000000000000032"/>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RSS</a:t>
            </a:r>
            <a:endParaRPr lang="en-US"/>
          </a:p>
        </c:rich>
      </c:tx>
    </c:title>
    <c:plotArea>
      <c:layout>
        <c:manualLayout>
          <c:layoutTarget val="inner"/>
          <c:xMode val="edge"/>
          <c:yMode val="edge"/>
          <c:x val="3.6829824843323242E-2"/>
          <c:y val="0.19943314377369617"/>
          <c:w val="0.72477004660132271"/>
          <c:h val="0.68458697871098839"/>
        </c:manualLayout>
      </c:layout>
      <c:scatterChart>
        <c:scatterStyle val="lineMarker"/>
        <c:ser>
          <c:idx val="1"/>
          <c:order val="0"/>
          <c:tx>
            <c:v>RSU-PDR Vs. RSS</c:v>
          </c:tx>
          <c:spPr>
            <a:ln w="28575">
              <a:noFill/>
            </a:ln>
          </c:spPr>
          <c:xVal>
            <c:numRef>
              <c:f>'80OBU'!$Q$4:$Q$32</c:f>
              <c:numCache>
                <c:formatCode>General</c:formatCode>
                <c:ptCount val="29"/>
                <c:pt idx="0">
                  <c:v>-63.141617555555548</c:v>
                </c:pt>
                <c:pt idx="1">
                  <c:v>-64.354333099999991</c:v>
                </c:pt>
                <c:pt idx="2">
                  <c:v>-64.456242888888895</c:v>
                </c:pt>
                <c:pt idx="3">
                  <c:v>-63.570308099999998</c:v>
                </c:pt>
                <c:pt idx="4">
                  <c:v>-59.555510699999992</c:v>
                </c:pt>
                <c:pt idx="5">
                  <c:v>-62.074870099999998</c:v>
                </c:pt>
                <c:pt idx="6">
                  <c:v>-60.968155100000004</c:v>
                </c:pt>
                <c:pt idx="7">
                  <c:v>-60.138236800000001</c:v>
                </c:pt>
                <c:pt idx="8">
                  <c:v>-59.872708000000003</c:v>
                </c:pt>
                <c:pt idx="9">
                  <c:v>-62.966615699999991</c:v>
                </c:pt>
                <c:pt idx="10">
                  <c:v>-58.581950400000004</c:v>
                </c:pt>
                <c:pt idx="11">
                  <c:v>-57.078747300000011</c:v>
                </c:pt>
                <c:pt idx="12">
                  <c:v>-59.110606399999995</c:v>
                </c:pt>
                <c:pt idx="13">
                  <c:v>-58.556849999999997</c:v>
                </c:pt>
                <c:pt idx="14">
                  <c:v>-61.149335600000008</c:v>
                </c:pt>
                <c:pt idx="15">
                  <c:v>-59.003938500000004</c:v>
                </c:pt>
                <c:pt idx="16">
                  <c:v>-62.623610699999993</c:v>
                </c:pt>
                <c:pt idx="17">
                  <c:v>-68.88133590000001</c:v>
                </c:pt>
                <c:pt idx="18">
                  <c:v>-62.955214700000013</c:v>
                </c:pt>
                <c:pt idx="19">
                  <c:v>-64.36315110000001</c:v>
                </c:pt>
                <c:pt idx="20">
                  <c:v>-68.330438599999994</c:v>
                </c:pt>
                <c:pt idx="21">
                  <c:v>-66.60060949999999</c:v>
                </c:pt>
                <c:pt idx="22">
                  <c:v>-67.045552499999999</c:v>
                </c:pt>
                <c:pt idx="23">
                  <c:v>-67.910034800000005</c:v>
                </c:pt>
                <c:pt idx="24">
                  <c:v>-68.404186100000018</c:v>
                </c:pt>
                <c:pt idx="25">
                  <c:v>-65.384076199999996</c:v>
                </c:pt>
                <c:pt idx="26">
                  <c:v>-69.037790999999999</c:v>
                </c:pt>
                <c:pt idx="27">
                  <c:v>-70.744762400000013</c:v>
                </c:pt>
                <c:pt idx="28">
                  <c:v>-71.070947333333336</c:v>
                </c:pt>
              </c:numCache>
            </c:numRef>
          </c:xVal>
          <c:yVal>
            <c:numRef>
              <c:f>'80OBU'!$L$4:$L$32</c:f>
              <c:numCache>
                <c:formatCode>0.00</c:formatCode>
                <c:ptCount val="29"/>
                <c:pt idx="0">
                  <c:v>9.7222222222222232</c:v>
                </c:pt>
                <c:pt idx="1">
                  <c:v>11.125</c:v>
                </c:pt>
                <c:pt idx="2">
                  <c:v>10.833333333333334</c:v>
                </c:pt>
                <c:pt idx="3">
                  <c:v>10.500000000000002</c:v>
                </c:pt>
                <c:pt idx="4">
                  <c:v>20.375</c:v>
                </c:pt>
                <c:pt idx="5">
                  <c:v>16.499999999999996</c:v>
                </c:pt>
                <c:pt idx="6">
                  <c:v>11.000000000000002</c:v>
                </c:pt>
                <c:pt idx="7">
                  <c:v>10.375</c:v>
                </c:pt>
                <c:pt idx="8">
                  <c:v>13.374999999999998</c:v>
                </c:pt>
                <c:pt idx="9">
                  <c:v>15.25</c:v>
                </c:pt>
                <c:pt idx="10">
                  <c:v>13.750000000000002</c:v>
                </c:pt>
                <c:pt idx="11">
                  <c:v>15</c:v>
                </c:pt>
                <c:pt idx="12">
                  <c:v>17.5</c:v>
                </c:pt>
                <c:pt idx="13">
                  <c:v>11.125</c:v>
                </c:pt>
                <c:pt idx="14">
                  <c:v>14.750000000000002</c:v>
                </c:pt>
                <c:pt idx="15">
                  <c:v>9.25</c:v>
                </c:pt>
                <c:pt idx="16">
                  <c:v>11.75</c:v>
                </c:pt>
                <c:pt idx="17">
                  <c:v>13.125</c:v>
                </c:pt>
                <c:pt idx="18">
                  <c:v>6.8750000000000009</c:v>
                </c:pt>
                <c:pt idx="19">
                  <c:v>13</c:v>
                </c:pt>
                <c:pt idx="20">
                  <c:v>14.250000000000002</c:v>
                </c:pt>
                <c:pt idx="21">
                  <c:v>9.25</c:v>
                </c:pt>
                <c:pt idx="22">
                  <c:v>15.125</c:v>
                </c:pt>
                <c:pt idx="23">
                  <c:v>9.5</c:v>
                </c:pt>
                <c:pt idx="24">
                  <c:v>5.75</c:v>
                </c:pt>
                <c:pt idx="25">
                  <c:v>11.125</c:v>
                </c:pt>
                <c:pt idx="26">
                  <c:v>13</c:v>
                </c:pt>
                <c:pt idx="27">
                  <c:v>14.499999999999998</c:v>
                </c:pt>
                <c:pt idx="28">
                  <c:v>10.277777777777779</c:v>
                </c:pt>
              </c:numCache>
            </c:numRef>
          </c:yVal>
        </c:ser>
        <c:axId val="78169216"/>
        <c:axId val="78177024"/>
      </c:scatterChart>
      <c:valAx>
        <c:axId val="78169216"/>
        <c:scaling>
          <c:orientation val="maxMin"/>
          <c:min val="-100"/>
        </c:scaling>
        <c:axPos val="b"/>
        <c:majorGridlines/>
        <c:numFmt formatCode="0" sourceLinked="0"/>
        <c:tickLblPos val="nextTo"/>
        <c:crossAx val="78177024"/>
        <c:crosses val="autoZero"/>
        <c:crossBetween val="midCat"/>
      </c:valAx>
      <c:valAx>
        <c:axId val="78177024"/>
        <c:scaling>
          <c:orientation val="minMax"/>
          <c:max val="100"/>
          <c:min val="0"/>
        </c:scaling>
        <c:axPos val="r"/>
        <c:majorGridlines/>
        <c:numFmt formatCode="0" sourceLinked="0"/>
        <c:tickLblPos val="high"/>
        <c:crossAx val="78169216"/>
        <c:crosses val="autoZero"/>
        <c:crossBetween val="midCat"/>
      </c:valAx>
    </c:plotArea>
    <c:legend>
      <c:legendPos val="r"/>
    </c:legend>
    <c:plotVisOnly val="1"/>
  </c:chart>
  <c:printSettings>
    <c:headerFooter/>
    <c:pageMargins b="0.75000000000000577" l="0.70000000000000062" r="0.70000000000000062" t="0.75000000000000577"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SNR</a:t>
            </a:r>
            <a:endParaRPr lang="en-US"/>
          </a:p>
        </c:rich>
      </c:tx>
    </c:title>
    <c:plotArea>
      <c:layout>
        <c:manualLayout>
          <c:layoutTarget val="inner"/>
          <c:xMode val="edge"/>
          <c:yMode val="edge"/>
          <c:x val="9.2509056202685444E-2"/>
          <c:y val="0.19480351414406533"/>
          <c:w val="0.66119064662372751"/>
          <c:h val="0.68921660834062359"/>
        </c:manualLayout>
      </c:layout>
      <c:scatterChart>
        <c:scatterStyle val="lineMarker"/>
        <c:ser>
          <c:idx val="0"/>
          <c:order val="0"/>
          <c:tx>
            <c:v>RSU-PDR Vs. SNR</c:v>
          </c:tx>
          <c:spPr>
            <a:ln w="28575">
              <a:noFill/>
            </a:ln>
          </c:spPr>
          <c:marker>
            <c:spPr>
              <a:solidFill>
                <a:srgbClr val="C00000"/>
              </a:solidFill>
            </c:spPr>
          </c:marker>
          <c:xVal>
            <c:numRef>
              <c:f>'80OBU'!$R$4:$R$32</c:f>
              <c:numCache>
                <c:formatCode>General</c:formatCode>
                <c:ptCount val="29"/>
                <c:pt idx="0">
                  <c:v>40.858382444444452</c:v>
                </c:pt>
                <c:pt idx="1">
                  <c:v>39.645666899999995</c:v>
                </c:pt>
                <c:pt idx="2">
                  <c:v>39.543757111111113</c:v>
                </c:pt>
                <c:pt idx="3">
                  <c:v>40.429691900000002</c:v>
                </c:pt>
                <c:pt idx="4">
                  <c:v>44.444489300000001</c:v>
                </c:pt>
                <c:pt idx="5">
                  <c:v>41.925129899999988</c:v>
                </c:pt>
                <c:pt idx="6">
                  <c:v>43.031844900000003</c:v>
                </c:pt>
                <c:pt idx="7">
                  <c:v>43.861763199999999</c:v>
                </c:pt>
                <c:pt idx="8">
                  <c:v>44.127291999999997</c:v>
                </c:pt>
                <c:pt idx="9">
                  <c:v>41.033384300000002</c:v>
                </c:pt>
                <c:pt idx="10">
                  <c:v>45.418049600000003</c:v>
                </c:pt>
                <c:pt idx="11">
                  <c:v>46.921252699999989</c:v>
                </c:pt>
                <c:pt idx="12">
                  <c:v>44.889393600000005</c:v>
                </c:pt>
                <c:pt idx="13">
                  <c:v>45.443150000000003</c:v>
                </c:pt>
                <c:pt idx="14">
                  <c:v>42.850664399999999</c:v>
                </c:pt>
                <c:pt idx="15">
                  <c:v>44.996061499999996</c:v>
                </c:pt>
                <c:pt idx="16">
                  <c:v>41.3763893</c:v>
                </c:pt>
                <c:pt idx="17">
                  <c:v>35.118664100000004</c:v>
                </c:pt>
                <c:pt idx="18">
                  <c:v>41.044785299999994</c:v>
                </c:pt>
                <c:pt idx="19">
                  <c:v>39.636848900000004</c:v>
                </c:pt>
                <c:pt idx="20">
                  <c:v>35.669561399999999</c:v>
                </c:pt>
                <c:pt idx="21">
                  <c:v>37.399390499999996</c:v>
                </c:pt>
                <c:pt idx="22">
                  <c:v>36.954447500000001</c:v>
                </c:pt>
                <c:pt idx="23">
                  <c:v>36.089965200000002</c:v>
                </c:pt>
                <c:pt idx="24">
                  <c:v>35.595813900000003</c:v>
                </c:pt>
                <c:pt idx="25">
                  <c:v>38.615923800000004</c:v>
                </c:pt>
                <c:pt idx="26">
                  <c:v>34.962208999999994</c:v>
                </c:pt>
                <c:pt idx="27">
                  <c:v>33.255237600000001</c:v>
                </c:pt>
                <c:pt idx="28">
                  <c:v>32.929052666666664</c:v>
                </c:pt>
              </c:numCache>
            </c:numRef>
          </c:xVal>
          <c:yVal>
            <c:numRef>
              <c:f>'80OBU'!$L$4:$L$32</c:f>
              <c:numCache>
                <c:formatCode>0.00</c:formatCode>
                <c:ptCount val="29"/>
                <c:pt idx="0">
                  <c:v>9.7222222222222232</c:v>
                </c:pt>
                <c:pt idx="1">
                  <c:v>11.125</c:v>
                </c:pt>
                <c:pt idx="2">
                  <c:v>10.833333333333334</c:v>
                </c:pt>
                <c:pt idx="3">
                  <c:v>10.500000000000002</c:v>
                </c:pt>
                <c:pt idx="4">
                  <c:v>20.375</c:v>
                </c:pt>
                <c:pt idx="5">
                  <c:v>16.499999999999996</c:v>
                </c:pt>
                <c:pt idx="6">
                  <c:v>11.000000000000002</c:v>
                </c:pt>
                <c:pt idx="7">
                  <c:v>10.375</c:v>
                </c:pt>
                <c:pt idx="8">
                  <c:v>13.374999999999998</c:v>
                </c:pt>
                <c:pt idx="9">
                  <c:v>15.25</c:v>
                </c:pt>
                <c:pt idx="10">
                  <c:v>13.750000000000002</c:v>
                </c:pt>
                <c:pt idx="11">
                  <c:v>15</c:v>
                </c:pt>
                <c:pt idx="12">
                  <c:v>17.5</c:v>
                </c:pt>
                <c:pt idx="13">
                  <c:v>11.125</c:v>
                </c:pt>
                <c:pt idx="14">
                  <c:v>14.750000000000002</c:v>
                </c:pt>
                <c:pt idx="15">
                  <c:v>9.25</c:v>
                </c:pt>
                <c:pt idx="16">
                  <c:v>11.75</c:v>
                </c:pt>
                <c:pt idx="17">
                  <c:v>13.125</c:v>
                </c:pt>
                <c:pt idx="18">
                  <c:v>6.8750000000000009</c:v>
                </c:pt>
                <c:pt idx="19">
                  <c:v>13</c:v>
                </c:pt>
                <c:pt idx="20">
                  <c:v>14.250000000000002</c:v>
                </c:pt>
                <c:pt idx="21">
                  <c:v>9.25</c:v>
                </c:pt>
                <c:pt idx="22">
                  <c:v>15.125</c:v>
                </c:pt>
                <c:pt idx="23">
                  <c:v>9.5</c:v>
                </c:pt>
                <c:pt idx="24">
                  <c:v>5.75</c:v>
                </c:pt>
                <c:pt idx="25">
                  <c:v>11.125</c:v>
                </c:pt>
                <c:pt idx="26">
                  <c:v>13</c:v>
                </c:pt>
                <c:pt idx="27">
                  <c:v>14.499999999999998</c:v>
                </c:pt>
                <c:pt idx="28">
                  <c:v>10.277777777777779</c:v>
                </c:pt>
              </c:numCache>
            </c:numRef>
          </c:yVal>
        </c:ser>
        <c:axId val="78213120"/>
        <c:axId val="78215040"/>
      </c:scatterChart>
      <c:valAx>
        <c:axId val="78213120"/>
        <c:scaling>
          <c:orientation val="minMax"/>
          <c:max val="50"/>
          <c:min val="0"/>
        </c:scaling>
        <c:axPos val="b"/>
        <c:majorGridlines/>
        <c:numFmt formatCode="0" sourceLinked="0"/>
        <c:tickLblPos val="nextTo"/>
        <c:crossAx val="78215040"/>
        <c:crosses val="autoZero"/>
        <c:crossBetween val="midCat"/>
      </c:valAx>
      <c:valAx>
        <c:axId val="78215040"/>
        <c:scaling>
          <c:orientation val="minMax"/>
          <c:max val="100"/>
          <c:min val="0"/>
        </c:scaling>
        <c:axPos val="l"/>
        <c:majorGridlines/>
        <c:numFmt formatCode="0" sourceLinked="0"/>
        <c:tickLblPos val="nextTo"/>
        <c:crossAx val="78213120"/>
        <c:crosses val="autoZero"/>
        <c:crossBetween val="midCat"/>
      </c:valAx>
    </c:plotArea>
    <c:legend>
      <c:legendPos val="r"/>
    </c:legend>
    <c:plotVisOnly val="1"/>
  </c:chart>
  <c:printSettings>
    <c:headerFooter/>
    <c:pageMargins b="0.75000000000000577" l="0.70000000000000062" r="0.70000000000000062" t="0.75000000000000577" header="0.30000000000000032" footer="0.30000000000000032"/>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PSR</a:t>
            </a:r>
            <a:endParaRPr lang="en-US"/>
          </a:p>
        </c:rich>
      </c:tx>
    </c:title>
    <c:plotArea>
      <c:layout>
        <c:manualLayout>
          <c:layoutTarget val="inner"/>
          <c:xMode val="edge"/>
          <c:yMode val="edge"/>
          <c:x val="9.8925095901475343E-2"/>
          <c:y val="0.19480351414406533"/>
          <c:w val="0.68317221885725388"/>
          <c:h val="0.68921660834062359"/>
        </c:manualLayout>
      </c:layout>
      <c:scatterChart>
        <c:scatterStyle val="lineMarker"/>
        <c:ser>
          <c:idx val="0"/>
          <c:order val="0"/>
          <c:tx>
            <c:v>RSU-PDR Vs. PSR</c:v>
          </c:tx>
          <c:spPr>
            <a:ln w="28575">
              <a:noFill/>
            </a:ln>
          </c:spPr>
          <c:marker>
            <c:spPr>
              <a:solidFill>
                <a:srgbClr val="C00000"/>
              </a:solidFill>
            </c:spPr>
          </c:marker>
          <c:xVal>
            <c:numRef>
              <c:f>'80OBU'!$D$4:$D$32</c:f>
              <c:numCache>
                <c:formatCode>General</c:formatCode>
                <c:ptCount val="29"/>
                <c:pt idx="0">
                  <c:v>90</c:v>
                </c:pt>
                <c:pt idx="1">
                  <c:v>100</c:v>
                </c:pt>
                <c:pt idx="2">
                  <c:v>90</c:v>
                </c:pt>
                <c:pt idx="3">
                  <c:v>100</c:v>
                </c:pt>
                <c:pt idx="4">
                  <c:v>100</c:v>
                </c:pt>
                <c:pt idx="5">
                  <c:v>80</c:v>
                </c:pt>
                <c:pt idx="6">
                  <c:v>100</c:v>
                </c:pt>
                <c:pt idx="7">
                  <c:v>100</c:v>
                </c:pt>
                <c:pt idx="8">
                  <c:v>80</c:v>
                </c:pt>
                <c:pt idx="9">
                  <c:v>100</c:v>
                </c:pt>
                <c:pt idx="10">
                  <c:v>80</c:v>
                </c:pt>
                <c:pt idx="11">
                  <c:v>100</c:v>
                </c:pt>
                <c:pt idx="12">
                  <c:v>100</c:v>
                </c:pt>
                <c:pt idx="13">
                  <c:v>70</c:v>
                </c:pt>
                <c:pt idx="14">
                  <c:v>100</c:v>
                </c:pt>
                <c:pt idx="15">
                  <c:v>90</c:v>
                </c:pt>
                <c:pt idx="16">
                  <c:v>100</c:v>
                </c:pt>
                <c:pt idx="17">
                  <c:v>100</c:v>
                </c:pt>
                <c:pt idx="18">
                  <c:v>100</c:v>
                </c:pt>
                <c:pt idx="19">
                  <c:v>80</c:v>
                </c:pt>
                <c:pt idx="20">
                  <c:v>100</c:v>
                </c:pt>
                <c:pt idx="21">
                  <c:v>100</c:v>
                </c:pt>
                <c:pt idx="22">
                  <c:v>70</c:v>
                </c:pt>
                <c:pt idx="23">
                  <c:v>100</c:v>
                </c:pt>
                <c:pt idx="24">
                  <c:v>100</c:v>
                </c:pt>
                <c:pt idx="25">
                  <c:v>100</c:v>
                </c:pt>
                <c:pt idx="26">
                  <c:v>100</c:v>
                </c:pt>
                <c:pt idx="27">
                  <c:v>80</c:v>
                </c:pt>
                <c:pt idx="28">
                  <c:v>100</c:v>
                </c:pt>
              </c:numCache>
            </c:numRef>
          </c:xVal>
          <c:yVal>
            <c:numRef>
              <c:f>'80OBU'!$L$4:$L$32</c:f>
              <c:numCache>
                <c:formatCode>0.00</c:formatCode>
                <c:ptCount val="29"/>
                <c:pt idx="0">
                  <c:v>9.7222222222222232</c:v>
                </c:pt>
                <c:pt idx="1">
                  <c:v>11.125</c:v>
                </c:pt>
                <c:pt idx="2">
                  <c:v>10.833333333333334</c:v>
                </c:pt>
                <c:pt idx="3">
                  <c:v>10.500000000000002</c:v>
                </c:pt>
                <c:pt idx="4">
                  <c:v>20.375</c:v>
                </c:pt>
                <c:pt idx="5">
                  <c:v>16.499999999999996</c:v>
                </c:pt>
                <c:pt idx="6">
                  <c:v>11.000000000000002</c:v>
                </c:pt>
                <c:pt idx="7">
                  <c:v>10.375</c:v>
                </c:pt>
                <c:pt idx="8">
                  <c:v>13.374999999999998</c:v>
                </c:pt>
                <c:pt idx="9">
                  <c:v>15.25</c:v>
                </c:pt>
                <c:pt idx="10">
                  <c:v>13.750000000000002</c:v>
                </c:pt>
                <c:pt idx="11">
                  <c:v>15</c:v>
                </c:pt>
                <c:pt idx="12">
                  <c:v>17.5</c:v>
                </c:pt>
                <c:pt idx="13">
                  <c:v>11.125</c:v>
                </c:pt>
                <c:pt idx="14">
                  <c:v>14.750000000000002</c:v>
                </c:pt>
                <c:pt idx="15">
                  <c:v>9.25</c:v>
                </c:pt>
                <c:pt idx="16">
                  <c:v>11.75</c:v>
                </c:pt>
                <c:pt idx="17">
                  <c:v>13.125</c:v>
                </c:pt>
                <c:pt idx="18">
                  <c:v>6.8750000000000009</c:v>
                </c:pt>
                <c:pt idx="19">
                  <c:v>13</c:v>
                </c:pt>
                <c:pt idx="20">
                  <c:v>14.250000000000002</c:v>
                </c:pt>
                <c:pt idx="21">
                  <c:v>9.25</c:v>
                </c:pt>
                <c:pt idx="22">
                  <c:v>15.125</c:v>
                </c:pt>
                <c:pt idx="23">
                  <c:v>9.5</c:v>
                </c:pt>
                <c:pt idx="24">
                  <c:v>5.75</c:v>
                </c:pt>
                <c:pt idx="25">
                  <c:v>11.125</c:v>
                </c:pt>
                <c:pt idx="26">
                  <c:v>13</c:v>
                </c:pt>
                <c:pt idx="27">
                  <c:v>14.499999999999998</c:v>
                </c:pt>
                <c:pt idx="28">
                  <c:v>10.277777777777779</c:v>
                </c:pt>
              </c:numCache>
            </c:numRef>
          </c:yVal>
        </c:ser>
        <c:axId val="78218752"/>
        <c:axId val="78220672"/>
      </c:scatterChart>
      <c:valAx>
        <c:axId val="78218752"/>
        <c:scaling>
          <c:orientation val="minMax"/>
          <c:max val="100"/>
          <c:min val="0"/>
        </c:scaling>
        <c:axPos val="b"/>
        <c:majorGridlines/>
        <c:numFmt formatCode="General" sourceLinked="1"/>
        <c:tickLblPos val="nextTo"/>
        <c:crossAx val="78220672"/>
        <c:crosses val="autoZero"/>
        <c:crossBetween val="midCat"/>
      </c:valAx>
      <c:valAx>
        <c:axId val="78220672"/>
        <c:scaling>
          <c:orientation val="minMax"/>
          <c:max val="100"/>
          <c:min val="0"/>
        </c:scaling>
        <c:axPos val="l"/>
        <c:majorGridlines/>
        <c:numFmt formatCode="0" sourceLinked="0"/>
        <c:tickLblPos val="nextTo"/>
        <c:crossAx val="78218752"/>
        <c:crosses val="autoZero"/>
        <c:crossBetween val="midCat"/>
      </c:valAx>
    </c:plotArea>
    <c:legend>
      <c:legendPos val="r"/>
      <c:layout>
        <c:manualLayout>
          <c:xMode val="edge"/>
          <c:yMode val="edge"/>
          <c:x val="0.77936018574600763"/>
          <c:y val="0.61780584718577602"/>
          <c:w val="0.21807571168988488"/>
          <c:h val="8.3717191601050026E-2"/>
        </c:manualLayout>
      </c:layout>
    </c:legend>
    <c:plotVisOnly val="1"/>
  </c:chart>
  <c:printSettings>
    <c:headerFooter/>
    <c:pageMargins b="0.75000000000000577" l="0.70000000000000062" r="0.70000000000000062" t="0.75000000000000577" header="0.30000000000000032" footer="0.30000000000000032"/>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RSU-PDSR Vs.</a:t>
            </a:r>
            <a:r>
              <a:rPr lang="en-US" baseline="0"/>
              <a:t> RSS</a:t>
            </a:r>
            <a:endParaRPr lang="en-US"/>
          </a:p>
        </c:rich>
      </c:tx>
    </c:title>
    <c:plotArea>
      <c:layout/>
      <c:scatterChart>
        <c:scatterStyle val="lineMarker"/>
        <c:ser>
          <c:idx val="1"/>
          <c:order val="0"/>
          <c:tx>
            <c:v>PDSR Vs RSS</c:v>
          </c:tx>
          <c:spPr>
            <a:ln w="28575">
              <a:noFill/>
            </a:ln>
          </c:spPr>
          <c:xVal>
            <c:numRef>
              <c:f>'80OBU'!$Q$4:$Q$32</c:f>
              <c:numCache>
                <c:formatCode>General</c:formatCode>
                <c:ptCount val="29"/>
                <c:pt idx="0">
                  <c:v>-63.141617555555548</c:v>
                </c:pt>
                <c:pt idx="1">
                  <c:v>-64.354333099999991</c:v>
                </c:pt>
                <c:pt idx="2">
                  <c:v>-64.456242888888895</c:v>
                </c:pt>
                <c:pt idx="3">
                  <c:v>-63.570308099999998</c:v>
                </c:pt>
                <c:pt idx="4">
                  <c:v>-59.555510699999992</c:v>
                </c:pt>
                <c:pt idx="5">
                  <c:v>-62.074870099999998</c:v>
                </c:pt>
                <c:pt idx="6">
                  <c:v>-60.968155100000004</c:v>
                </c:pt>
                <c:pt idx="7">
                  <c:v>-60.138236800000001</c:v>
                </c:pt>
                <c:pt idx="8">
                  <c:v>-59.872708000000003</c:v>
                </c:pt>
                <c:pt idx="9">
                  <c:v>-62.966615699999991</c:v>
                </c:pt>
                <c:pt idx="10">
                  <c:v>-58.581950400000004</c:v>
                </c:pt>
                <c:pt idx="11">
                  <c:v>-57.078747300000011</c:v>
                </c:pt>
                <c:pt idx="12">
                  <c:v>-59.110606399999995</c:v>
                </c:pt>
                <c:pt idx="13">
                  <c:v>-58.556849999999997</c:v>
                </c:pt>
                <c:pt idx="14">
                  <c:v>-61.149335600000008</c:v>
                </c:pt>
                <c:pt idx="15">
                  <c:v>-59.003938500000004</c:v>
                </c:pt>
                <c:pt idx="16">
                  <c:v>-62.623610699999993</c:v>
                </c:pt>
                <c:pt idx="17">
                  <c:v>-68.88133590000001</c:v>
                </c:pt>
                <c:pt idx="18">
                  <c:v>-62.955214700000013</c:v>
                </c:pt>
                <c:pt idx="19">
                  <c:v>-64.36315110000001</c:v>
                </c:pt>
                <c:pt idx="20">
                  <c:v>-68.330438599999994</c:v>
                </c:pt>
                <c:pt idx="21">
                  <c:v>-66.60060949999999</c:v>
                </c:pt>
                <c:pt idx="22">
                  <c:v>-67.045552499999999</c:v>
                </c:pt>
                <c:pt idx="23">
                  <c:v>-67.910034800000005</c:v>
                </c:pt>
                <c:pt idx="24">
                  <c:v>-68.404186100000018</c:v>
                </c:pt>
                <c:pt idx="25">
                  <c:v>-65.384076199999996</c:v>
                </c:pt>
                <c:pt idx="26">
                  <c:v>-69.037790999999999</c:v>
                </c:pt>
                <c:pt idx="27">
                  <c:v>-70.744762400000013</c:v>
                </c:pt>
                <c:pt idx="28">
                  <c:v>-71.070947333333336</c:v>
                </c:pt>
              </c:numCache>
            </c:numRef>
          </c:xVal>
          <c:yVal>
            <c:numRef>
              <c:f>'80OBU'!$G$4:$G$32</c:f>
              <c:numCache>
                <c:formatCode>General</c:formatCode>
                <c:ptCount val="29"/>
                <c:pt idx="0" formatCode="0">
                  <c:v>61.666666666666664</c:v>
                </c:pt>
                <c:pt idx="1">
                  <c:v>65</c:v>
                </c:pt>
                <c:pt idx="2" formatCode="0">
                  <c:v>56.111111111111114</c:v>
                </c:pt>
                <c:pt idx="3">
                  <c:v>60</c:v>
                </c:pt>
                <c:pt idx="4">
                  <c:v>80</c:v>
                </c:pt>
                <c:pt idx="5">
                  <c:v>65</c:v>
                </c:pt>
                <c:pt idx="6">
                  <c:v>65</c:v>
                </c:pt>
                <c:pt idx="7">
                  <c:v>65</c:v>
                </c:pt>
                <c:pt idx="8" formatCode="0">
                  <c:v>71.25</c:v>
                </c:pt>
                <c:pt idx="9" formatCode="0">
                  <c:v>65</c:v>
                </c:pt>
                <c:pt idx="10" formatCode="0">
                  <c:v>58.75</c:v>
                </c:pt>
                <c:pt idx="11">
                  <c:v>85</c:v>
                </c:pt>
                <c:pt idx="12">
                  <c:v>55</c:v>
                </c:pt>
                <c:pt idx="13" formatCode="0">
                  <c:v>42.142857142857139</c:v>
                </c:pt>
                <c:pt idx="14" formatCode="0">
                  <c:v>75</c:v>
                </c:pt>
                <c:pt idx="15" formatCode="0">
                  <c:v>61.666666666666664</c:v>
                </c:pt>
                <c:pt idx="16" formatCode="0">
                  <c:v>60</c:v>
                </c:pt>
                <c:pt idx="17" formatCode="0">
                  <c:v>70</c:v>
                </c:pt>
                <c:pt idx="18" formatCode="0">
                  <c:v>60</c:v>
                </c:pt>
                <c:pt idx="19" formatCode="0">
                  <c:v>46.25</c:v>
                </c:pt>
                <c:pt idx="20" formatCode="0">
                  <c:v>75</c:v>
                </c:pt>
                <c:pt idx="21" formatCode="0">
                  <c:v>55</c:v>
                </c:pt>
                <c:pt idx="22" formatCode="0">
                  <c:v>56.428571428571431</c:v>
                </c:pt>
                <c:pt idx="23">
                  <c:v>55</c:v>
                </c:pt>
                <c:pt idx="24">
                  <c:v>55</c:v>
                </c:pt>
                <c:pt idx="25">
                  <c:v>60</c:v>
                </c:pt>
                <c:pt idx="26">
                  <c:v>70</c:v>
                </c:pt>
                <c:pt idx="27" formatCode="0">
                  <c:v>58.75</c:v>
                </c:pt>
                <c:pt idx="28">
                  <c:v>55</c:v>
                </c:pt>
              </c:numCache>
            </c:numRef>
          </c:yVal>
        </c:ser>
        <c:axId val="78289536"/>
        <c:axId val="78311808"/>
      </c:scatterChart>
      <c:valAx>
        <c:axId val="78289536"/>
        <c:scaling>
          <c:orientation val="maxMin"/>
          <c:max val="-40"/>
          <c:min val="-100"/>
        </c:scaling>
        <c:axPos val="b"/>
        <c:majorGridlines/>
        <c:numFmt formatCode="0" sourceLinked="0"/>
        <c:tickLblPos val="nextTo"/>
        <c:crossAx val="78311808"/>
        <c:crosses val="autoZero"/>
        <c:crossBetween val="midCat"/>
      </c:valAx>
      <c:valAx>
        <c:axId val="78311808"/>
        <c:scaling>
          <c:orientation val="minMax"/>
          <c:max val="100"/>
          <c:min val="0"/>
        </c:scaling>
        <c:axPos val="r"/>
        <c:majorGridlines/>
        <c:numFmt formatCode="0" sourceLinked="1"/>
        <c:tickLblPos val="high"/>
        <c:crossAx val="78289536"/>
        <c:crosses val="autoZero"/>
        <c:crossBetween val="midCat"/>
      </c:valAx>
    </c:plotArea>
    <c:legend>
      <c:legendPos val="r"/>
    </c:legend>
    <c:plotVisOnly val="1"/>
  </c:chart>
  <c:printSettings>
    <c:headerFooter/>
    <c:pageMargins b="0.75000000000000577" l="0.70000000000000062" r="0.70000000000000062" t="0.75000000000000577" header="0.30000000000000032" footer="0.30000000000000032"/>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 RSS over Time</a:t>
            </a:r>
          </a:p>
        </c:rich>
      </c:tx>
    </c:title>
    <c:plotArea>
      <c:layout>
        <c:manualLayout>
          <c:layoutTarget val="inner"/>
          <c:xMode val="edge"/>
          <c:yMode val="edge"/>
          <c:x val="4.7443609022556434E-2"/>
          <c:y val="0.19480351414406533"/>
          <c:w val="0.77649345989519625"/>
          <c:h val="0.68921660834062359"/>
        </c:manualLayout>
      </c:layout>
      <c:scatterChart>
        <c:scatterStyle val="lineMarker"/>
        <c:ser>
          <c:idx val="0"/>
          <c:order val="0"/>
          <c:tx>
            <c:v>RSU- RSS</c:v>
          </c:tx>
          <c:spPr>
            <a:ln w="28575">
              <a:noFill/>
            </a:ln>
          </c:spPr>
          <c:xVal>
            <c:numRef>
              <c:f>'100OBU'!$A$3:$A$32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'80OBU'!$Q$3:$Q$32</c:f>
              <c:numCache>
                <c:formatCode>General</c:formatCode>
                <c:ptCount val="30"/>
                <c:pt idx="0">
                  <c:v>0</c:v>
                </c:pt>
                <c:pt idx="1">
                  <c:v>-63.141617555555548</c:v>
                </c:pt>
                <c:pt idx="2">
                  <c:v>-64.354333099999991</c:v>
                </c:pt>
                <c:pt idx="3">
                  <c:v>-64.456242888888895</c:v>
                </c:pt>
                <c:pt idx="4">
                  <c:v>-63.570308099999998</c:v>
                </c:pt>
                <c:pt idx="5">
                  <c:v>-59.555510699999992</c:v>
                </c:pt>
                <c:pt idx="6">
                  <c:v>-62.074870099999998</c:v>
                </c:pt>
                <c:pt idx="7">
                  <c:v>-60.968155100000004</c:v>
                </c:pt>
                <c:pt idx="8">
                  <c:v>-60.138236800000001</c:v>
                </c:pt>
                <c:pt idx="9">
                  <c:v>-59.872708000000003</c:v>
                </c:pt>
                <c:pt idx="10">
                  <c:v>-62.966615699999991</c:v>
                </c:pt>
                <c:pt idx="11">
                  <c:v>-58.581950400000004</c:v>
                </c:pt>
                <c:pt idx="12">
                  <c:v>-57.078747300000011</c:v>
                </c:pt>
                <c:pt idx="13">
                  <c:v>-59.110606399999995</c:v>
                </c:pt>
                <c:pt idx="14">
                  <c:v>-58.556849999999997</c:v>
                </c:pt>
                <c:pt idx="15">
                  <c:v>-61.149335600000008</c:v>
                </c:pt>
                <c:pt idx="16">
                  <c:v>-59.003938500000004</c:v>
                </c:pt>
                <c:pt idx="17">
                  <c:v>-62.623610699999993</c:v>
                </c:pt>
                <c:pt idx="18">
                  <c:v>-68.88133590000001</c:v>
                </c:pt>
                <c:pt idx="19">
                  <c:v>-62.955214700000013</c:v>
                </c:pt>
                <c:pt idx="20">
                  <c:v>-64.36315110000001</c:v>
                </c:pt>
                <c:pt idx="21">
                  <c:v>-68.330438599999994</c:v>
                </c:pt>
                <c:pt idx="22">
                  <c:v>-66.60060949999999</c:v>
                </c:pt>
                <c:pt idx="23">
                  <c:v>-67.045552499999999</c:v>
                </c:pt>
                <c:pt idx="24">
                  <c:v>-67.910034800000005</c:v>
                </c:pt>
                <c:pt idx="25">
                  <c:v>-68.404186100000018</c:v>
                </c:pt>
                <c:pt idx="26">
                  <c:v>-65.384076199999996</c:v>
                </c:pt>
                <c:pt idx="27">
                  <c:v>-69.037790999999999</c:v>
                </c:pt>
                <c:pt idx="28">
                  <c:v>-70.744762400000013</c:v>
                </c:pt>
                <c:pt idx="29">
                  <c:v>-71.070947333333336</c:v>
                </c:pt>
              </c:numCache>
            </c:numRef>
          </c:yVal>
        </c:ser>
        <c:axId val="78413824"/>
        <c:axId val="78415360"/>
      </c:scatterChart>
      <c:valAx>
        <c:axId val="78413824"/>
        <c:scaling>
          <c:orientation val="minMax"/>
        </c:scaling>
        <c:axPos val="b"/>
        <c:majorGridlines/>
        <c:numFmt formatCode="0" sourceLinked="0"/>
        <c:tickLblPos val="low"/>
        <c:crossAx val="78415360"/>
        <c:crosses val="autoZero"/>
        <c:crossBetween val="midCat"/>
      </c:valAx>
      <c:valAx>
        <c:axId val="78415360"/>
        <c:scaling>
          <c:orientation val="minMax"/>
        </c:scaling>
        <c:axPos val="l"/>
        <c:majorGridlines/>
        <c:numFmt formatCode="General" sourceLinked="1"/>
        <c:tickLblPos val="low"/>
        <c:crossAx val="78413824"/>
        <c:crosses val="autoZero"/>
        <c:crossBetween val="midCat"/>
      </c:valAx>
    </c:plotArea>
    <c:legend>
      <c:legendPos val="r"/>
    </c:legend>
    <c:plotVisOnly val="1"/>
  </c:chart>
  <c:printSettings>
    <c:headerFooter/>
    <c:pageMargins b="0.75000000000000666" l="0.70000000000000062" r="0.70000000000000062" t="0.75000000000000666" header="0.30000000000000032" footer="0.30000000000000032"/>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RSS</a:t>
            </a:r>
            <a:endParaRPr lang="en-US"/>
          </a:p>
        </c:rich>
      </c:tx>
      <c:layout/>
    </c:title>
    <c:plotArea>
      <c:layout/>
      <c:scatterChart>
        <c:scatterStyle val="lineMarker"/>
        <c:ser>
          <c:idx val="0"/>
          <c:order val="0"/>
          <c:tx>
            <c:strRef>
              <c:f>'10OBU'!$F$2</c:f>
              <c:strCache>
                <c:ptCount val="1"/>
                <c:pt idx="0">
                  <c:v>Car-PDR (%)</c:v>
                </c:pt>
              </c:strCache>
            </c:strRef>
          </c:tx>
          <c:spPr>
            <a:ln w="28575">
              <a:noFill/>
            </a:ln>
          </c:spPr>
          <c:xVal>
            <c:numRef>
              <c:f>'100OBU'!$O$4:$O$32</c:f>
              <c:numCache>
                <c:formatCode>General</c:formatCode>
                <c:ptCount val="29"/>
                <c:pt idx="0">
                  <c:v>-62.91043444999999</c:v>
                </c:pt>
                <c:pt idx="1">
                  <c:v>-64.673560350000002</c:v>
                </c:pt>
                <c:pt idx="2">
                  <c:v>-62.70516984999999</c:v>
                </c:pt>
                <c:pt idx="3">
                  <c:v>-63.705857849999994</c:v>
                </c:pt>
                <c:pt idx="4">
                  <c:v>-60.224346149999995</c:v>
                </c:pt>
                <c:pt idx="5">
                  <c:v>-62.238772949999998</c:v>
                </c:pt>
                <c:pt idx="6">
                  <c:v>-60.942685700000006</c:v>
                </c:pt>
                <c:pt idx="7">
                  <c:v>-61.952695449999986</c:v>
                </c:pt>
                <c:pt idx="8">
                  <c:v>-60.05093875</c:v>
                </c:pt>
                <c:pt idx="9">
                  <c:v>-60.559634450000011</c:v>
                </c:pt>
                <c:pt idx="10">
                  <c:v>-57.369828800000008</c:v>
                </c:pt>
                <c:pt idx="11">
                  <c:v>-60.784232249999988</c:v>
                </c:pt>
                <c:pt idx="12">
                  <c:v>-59.448027900000014</c:v>
                </c:pt>
                <c:pt idx="13">
                  <c:v>-60.904061949999992</c:v>
                </c:pt>
                <c:pt idx="14">
                  <c:v>-60.768833150000013</c:v>
                </c:pt>
                <c:pt idx="15">
                  <c:v>-61.288293099999997</c:v>
                </c:pt>
                <c:pt idx="16">
                  <c:v>-60.221583799999998</c:v>
                </c:pt>
                <c:pt idx="17">
                  <c:v>-62.112886799999998</c:v>
                </c:pt>
                <c:pt idx="18">
                  <c:v>-63.968927750000013</c:v>
                </c:pt>
                <c:pt idx="19">
                  <c:v>-63.270370300000003</c:v>
                </c:pt>
                <c:pt idx="20">
                  <c:v>-66.327624250000014</c:v>
                </c:pt>
                <c:pt idx="21">
                  <c:v>-64.555147099999999</c:v>
                </c:pt>
                <c:pt idx="22">
                  <c:v>-64.432931150000016</c:v>
                </c:pt>
                <c:pt idx="23">
                  <c:v>-67.89620484999999</c:v>
                </c:pt>
                <c:pt idx="24">
                  <c:v>-68.516942850000007</c:v>
                </c:pt>
                <c:pt idx="25">
                  <c:v>-66.476090549999995</c:v>
                </c:pt>
                <c:pt idx="26">
                  <c:v>-67.55151794999999</c:v>
                </c:pt>
                <c:pt idx="27">
                  <c:v>-68.048958549999995</c:v>
                </c:pt>
                <c:pt idx="28">
                  <c:v>-67.813724850000014</c:v>
                </c:pt>
              </c:numCache>
            </c:numRef>
          </c:xVal>
          <c:yVal>
            <c:numRef>
              <c:f>'100OBU'!$F$4:$F$32</c:f>
              <c:numCache>
                <c:formatCode>0</c:formatCode>
                <c:ptCount val="29"/>
                <c:pt idx="0">
                  <c:v>11.111111111111111</c:v>
                </c:pt>
                <c:pt idx="1">
                  <c:v>20</c:v>
                </c:pt>
                <c:pt idx="2">
                  <c:v>42.857142857142854</c:v>
                </c:pt>
                <c:pt idx="3">
                  <c:v>0</c:v>
                </c:pt>
                <c:pt idx="4">
                  <c:v>10</c:v>
                </c:pt>
                <c:pt idx="5">
                  <c:v>12.5</c:v>
                </c:pt>
                <c:pt idx="6">
                  <c:v>10</c:v>
                </c:pt>
                <c:pt idx="7">
                  <c:v>50</c:v>
                </c:pt>
                <c:pt idx="8">
                  <c:v>40</c:v>
                </c:pt>
                <c:pt idx="9">
                  <c:v>30</c:v>
                </c:pt>
                <c:pt idx="10">
                  <c:v>57.142857142857139</c:v>
                </c:pt>
                <c:pt idx="11">
                  <c:v>10</c:v>
                </c:pt>
                <c:pt idx="12">
                  <c:v>20</c:v>
                </c:pt>
                <c:pt idx="13">
                  <c:v>37.5</c:v>
                </c:pt>
                <c:pt idx="14">
                  <c:v>70</c:v>
                </c:pt>
                <c:pt idx="15">
                  <c:v>0</c:v>
                </c:pt>
                <c:pt idx="16">
                  <c:v>14.285714285714285</c:v>
                </c:pt>
                <c:pt idx="17">
                  <c:v>10</c:v>
                </c:pt>
                <c:pt idx="18">
                  <c:v>14.285714285714285</c:v>
                </c:pt>
                <c:pt idx="19">
                  <c:v>30</c:v>
                </c:pt>
                <c:pt idx="20">
                  <c:v>0</c:v>
                </c:pt>
                <c:pt idx="21">
                  <c:v>0</c:v>
                </c:pt>
                <c:pt idx="22">
                  <c:v>40</c:v>
                </c:pt>
                <c:pt idx="23">
                  <c:v>28.571428571428569</c:v>
                </c:pt>
                <c:pt idx="24">
                  <c:v>10</c:v>
                </c:pt>
                <c:pt idx="25">
                  <c:v>0</c:v>
                </c:pt>
                <c:pt idx="26">
                  <c:v>16.666666666666664</c:v>
                </c:pt>
                <c:pt idx="27">
                  <c:v>10</c:v>
                </c:pt>
                <c:pt idx="28">
                  <c:v>12.5</c:v>
                </c:pt>
              </c:numCache>
            </c:numRef>
          </c:yVal>
        </c:ser>
        <c:axId val="78432512"/>
        <c:axId val="78454784"/>
      </c:scatterChart>
      <c:valAx>
        <c:axId val="78432512"/>
        <c:scaling>
          <c:orientation val="maxMin"/>
          <c:max val="0"/>
          <c:min val="-100"/>
        </c:scaling>
        <c:axPos val="b"/>
        <c:majorGridlines/>
        <c:numFmt formatCode="0" sourceLinked="0"/>
        <c:tickLblPos val="nextTo"/>
        <c:crossAx val="78454784"/>
        <c:crosses val="autoZero"/>
        <c:crossBetween val="midCat"/>
      </c:valAx>
      <c:valAx>
        <c:axId val="78454784"/>
        <c:scaling>
          <c:orientation val="minMax"/>
          <c:max val="100"/>
          <c:min val="0"/>
        </c:scaling>
        <c:axPos val="r"/>
        <c:majorGridlines/>
        <c:numFmt formatCode="0" sourceLinked="1"/>
        <c:tickLblPos val="high"/>
        <c:crossAx val="78432512"/>
        <c:crosses val="autoZero"/>
        <c:crossBetween val="midCat"/>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 SNR</a:t>
            </a:r>
          </a:p>
        </c:rich>
      </c:tx>
      <c:layout/>
    </c:title>
    <c:plotArea>
      <c:layout/>
      <c:scatterChart>
        <c:scatterStyle val="lineMarker"/>
        <c:ser>
          <c:idx val="0"/>
          <c:order val="0"/>
          <c:tx>
            <c:strRef>
              <c:f>'10OBU'!$F$2</c:f>
              <c:strCache>
                <c:ptCount val="1"/>
                <c:pt idx="0">
                  <c:v>Car-PDR (%)</c:v>
                </c:pt>
              </c:strCache>
            </c:strRef>
          </c:tx>
          <c:spPr>
            <a:ln w="28575">
              <a:noFill/>
            </a:ln>
          </c:spPr>
          <c:xVal>
            <c:numRef>
              <c:f>'100OBU'!$P$4:$P$32</c:f>
              <c:numCache>
                <c:formatCode>General</c:formatCode>
                <c:ptCount val="29"/>
                <c:pt idx="0">
                  <c:v>41.089565549999996</c:v>
                </c:pt>
                <c:pt idx="1">
                  <c:v>39.326439650000005</c:v>
                </c:pt>
                <c:pt idx="2">
                  <c:v>41.294830149999996</c:v>
                </c:pt>
                <c:pt idx="3">
                  <c:v>40.294142149999992</c:v>
                </c:pt>
                <c:pt idx="4">
                  <c:v>43.775653849999998</c:v>
                </c:pt>
                <c:pt idx="5">
                  <c:v>41.761227050000002</c:v>
                </c:pt>
                <c:pt idx="6">
                  <c:v>43.057314299999994</c:v>
                </c:pt>
                <c:pt idx="7">
                  <c:v>42.04730455</c:v>
                </c:pt>
                <c:pt idx="8">
                  <c:v>43.94906125</c:v>
                </c:pt>
                <c:pt idx="9">
                  <c:v>43.440365549999989</c:v>
                </c:pt>
                <c:pt idx="10">
                  <c:v>46.630171199999999</c:v>
                </c:pt>
                <c:pt idx="11">
                  <c:v>43.215767750000005</c:v>
                </c:pt>
                <c:pt idx="12">
                  <c:v>44.551972099999993</c:v>
                </c:pt>
                <c:pt idx="13">
                  <c:v>43.095938050000008</c:v>
                </c:pt>
                <c:pt idx="14">
                  <c:v>43.231166849999994</c:v>
                </c:pt>
                <c:pt idx="15">
                  <c:v>42.711706900000003</c:v>
                </c:pt>
                <c:pt idx="16">
                  <c:v>43.778416200000002</c:v>
                </c:pt>
                <c:pt idx="17">
                  <c:v>41.887113200000002</c:v>
                </c:pt>
                <c:pt idx="18">
                  <c:v>40.031072250000008</c:v>
                </c:pt>
                <c:pt idx="19">
                  <c:v>40.729629699999997</c:v>
                </c:pt>
                <c:pt idx="20">
                  <c:v>37.67237575</c:v>
                </c:pt>
                <c:pt idx="21">
                  <c:v>39.444852900000001</c:v>
                </c:pt>
                <c:pt idx="22">
                  <c:v>39.567068849999998</c:v>
                </c:pt>
                <c:pt idx="23">
                  <c:v>36.10379515000001</c:v>
                </c:pt>
                <c:pt idx="24">
                  <c:v>35.483057149999993</c:v>
                </c:pt>
                <c:pt idx="25">
                  <c:v>37.523909449999998</c:v>
                </c:pt>
                <c:pt idx="26">
                  <c:v>36.44848205000001</c:v>
                </c:pt>
                <c:pt idx="27">
                  <c:v>35.951041450000005</c:v>
                </c:pt>
                <c:pt idx="28">
                  <c:v>36.18627515</c:v>
                </c:pt>
              </c:numCache>
            </c:numRef>
          </c:xVal>
          <c:yVal>
            <c:numRef>
              <c:f>'100OBU'!$F$4:$F$32</c:f>
              <c:numCache>
                <c:formatCode>0</c:formatCode>
                <c:ptCount val="29"/>
                <c:pt idx="0">
                  <c:v>11.111111111111111</c:v>
                </c:pt>
                <c:pt idx="1">
                  <c:v>20</c:v>
                </c:pt>
                <c:pt idx="2">
                  <c:v>42.857142857142854</c:v>
                </c:pt>
                <c:pt idx="3">
                  <c:v>0</c:v>
                </c:pt>
                <c:pt idx="4">
                  <c:v>10</c:v>
                </c:pt>
                <c:pt idx="5">
                  <c:v>12.5</c:v>
                </c:pt>
                <c:pt idx="6">
                  <c:v>10</c:v>
                </c:pt>
                <c:pt idx="7">
                  <c:v>50</c:v>
                </c:pt>
                <c:pt idx="8">
                  <c:v>40</c:v>
                </c:pt>
                <c:pt idx="9">
                  <c:v>30</c:v>
                </c:pt>
                <c:pt idx="10">
                  <c:v>57.142857142857139</c:v>
                </c:pt>
                <c:pt idx="11">
                  <c:v>10</c:v>
                </c:pt>
                <c:pt idx="12">
                  <c:v>20</c:v>
                </c:pt>
                <c:pt idx="13">
                  <c:v>37.5</c:v>
                </c:pt>
                <c:pt idx="14">
                  <c:v>70</c:v>
                </c:pt>
                <c:pt idx="15">
                  <c:v>0</c:v>
                </c:pt>
                <c:pt idx="16">
                  <c:v>14.285714285714285</c:v>
                </c:pt>
                <c:pt idx="17">
                  <c:v>10</c:v>
                </c:pt>
                <c:pt idx="18">
                  <c:v>14.285714285714285</c:v>
                </c:pt>
                <c:pt idx="19">
                  <c:v>30</c:v>
                </c:pt>
                <c:pt idx="20">
                  <c:v>0</c:v>
                </c:pt>
                <c:pt idx="21">
                  <c:v>0</c:v>
                </c:pt>
                <c:pt idx="22">
                  <c:v>40</c:v>
                </c:pt>
                <c:pt idx="23">
                  <c:v>28.571428571428569</c:v>
                </c:pt>
                <c:pt idx="24">
                  <c:v>10</c:v>
                </c:pt>
                <c:pt idx="25">
                  <c:v>0</c:v>
                </c:pt>
                <c:pt idx="26">
                  <c:v>16.666666666666664</c:v>
                </c:pt>
                <c:pt idx="27">
                  <c:v>10</c:v>
                </c:pt>
                <c:pt idx="28">
                  <c:v>12.5</c:v>
                </c:pt>
              </c:numCache>
            </c:numRef>
          </c:yVal>
        </c:ser>
        <c:axId val="78470528"/>
        <c:axId val="78492800"/>
      </c:scatterChart>
      <c:valAx>
        <c:axId val="78470528"/>
        <c:scaling>
          <c:orientation val="minMax"/>
          <c:max val="50"/>
        </c:scaling>
        <c:axPos val="b"/>
        <c:majorGridlines/>
        <c:numFmt formatCode="0" sourceLinked="0"/>
        <c:tickLblPos val="nextTo"/>
        <c:crossAx val="78492800"/>
        <c:crosses val="autoZero"/>
        <c:crossBetween val="midCat"/>
      </c:valAx>
      <c:valAx>
        <c:axId val="78492800"/>
        <c:scaling>
          <c:orientation val="minMax"/>
          <c:max val="100"/>
          <c:min val="0"/>
        </c:scaling>
        <c:axPos val="l"/>
        <c:majorGridlines/>
        <c:numFmt formatCode="0" sourceLinked="1"/>
        <c:tickLblPos val="nextTo"/>
        <c:crossAx val="78470528"/>
        <c:crosses val="autoZero"/>
        <c:crossBetween val="midCat"/>
      </c:valAx>
    </c:plotArea>
    <c:legend>
      <c:legendPos val="r"/>
      <c:layout/>
    </c:legend>
    <c:plotVisOnly val="1"/>
  </c:chart>
  <c:printSettings>
    <c:headerFooter/>
    <c:pageMargins b="0.750000000000006" l="0.70000000000000062" r="0.70000000000000062" t="0.750000000000006" header="0.30000000000000032" footer="0.30000000000000032"/>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Car-PDR Vs.</a:t>
            </a:r>
            <a:r>
              <a:rPr lang="en-US" baseline="0"/>
              <a:t> PSR</a:t>
            </a:r>
            <a:endParaRPr lang="en-US"/>
          </a:p>
        </c:rich>
      </c:tx>
      <c:layout/>
    </c:title>
    <c:plotArea>
      <c:layout/>
      <c:scatterChart>
        <c:scatterStyle val="lineMarker"/>
        <c:ser>
          <c:idx val="0"/>
          <c:order val="0"/>
          <c:tx>
            <c:strRef>
              <c:f>'10OBU'!$F$2</c:f>
              <c:strCache>
                <c:ptCount val="1"/>
                <c:pt idx="0">
                  <c:v>Car-PDR (%)</c:v>
                </c:pt>
              </c:strCache>
            </c:strRef>
          </c:tx>
          <c:spPr>
            <a:ln w="28575">
              <a:noFill/>
            </a:ln>
          </c:spPr>
          <c:xVal>
            <c:numRef>
              <c:f>'100OBU'!$J$3:$J$32</c:f>
              <c:numCache>
                <c:formatCode>General</c:formatCode>
                <c:ptCount val="30"/>
                <c:pt idx="0">
                  <c:v>0</c:v>
                </c:pt>
                <c:pt idx="1">
                  <c:v>90</c:v>
                </c:pt>
                <c:pt idx="2">
                  <c:v>60</c:v>
                </c:pt>
                <c:pt idx="3">
                  <c:v>60</c:v>
                </c:pt>
                <c:pt idx="4">
                  <c:v>80</c:v>
                </c:pt>
                <c:pt idx="5">
                  <c:v>70</c:v>
                </c:pt>
                <c:pt idx="6">
                  <c:v>50</c:v>
                </c:pt>
                <c:pt idx="7">
                  <c:v>50</c:v>
                </c:pt>
                <c:pt idx="8">
                  <c:v>70</c:v>
                </c:pt>
                <c:pt idx="9">
                  <c:v>80</c:v>
                </c:pt>
                <c:pt idx="10">
                  <c:v>70</c:v>
                </c:pt>
                <c:pt idx="11">
                  <c:v>50</c:v>
                </c:pt>
                <c:pt idx="12">
                  <c:v>100</c:v>
                </c:pt>
                <c:pt idx="13">
                  <c:v>30</c:v>
                </c:pt>
                <c:pt idx="14">
                  <c:v>40</c:v>
                </c:pt>
                <c:pt idx="15">
                  <c:v>100</c:v>
                </c:pt>
                <c:pt idx="16">
                  <c:v>70</c:v>
                </c:pt>
                <c:pt idx="17">
                  <c:v>80</c:v>
                </c:pt>
                <c:pt idx="18">
                  <c:v>100</c:v>
                </c:pt>
                <c:pt idx="19">
                  <c:v>70</c:v>
                </c:pt>
                <c:pt idx="20">
                  <c:v>60</c:v>
                </c:pt>
                <c:pt idx="21">
                  <c:v>90</c:v>
                </c:pt>
                <c:pt idx="22">
                  <c:v>90</c:v>
                </c:pt>
                <c:pt idx="23">
                  <c:v>60</c:v>
                </c:pt>
                <c:pt idx="24">
                  <c:v>40</c:v>
                </c:pt>
                <c:pt idx="25">
                  <c:v>100</c:v>
                </c:pt>
                <c:pt idx="26">
                  <c:v>70</c:v>
                </c:pt>
                <c:pt idx="27">
                  <c:v>100</c:v>
                </c:pt>
                <c:pt idx="28">
                  <c:v>50</c:v>
                </c:pt>
                <c:pt idx="29">
                  <c:v>60</c:v>
                </c:pt>
              </c:numCache>
            </c:numRef>
          </c:xVal>
          <c:yVal>
            <c:numRef>
              <c:f>'100OBU'!$F$3:$F$32</c:f>
              <c:numCache>
                <c:formatCode>0</c:formatCode>
                <c:ptCount val="30"/>
                <c:pt idx="0">
                  <c:v>0</c:v>
                </c:pt>
                <c:pt idx="1">
                  <c:v>11.111111111111111</c:v>
                </c:pt>
                <c:pt idx="2">
                  <c:v>20</c:v>
                </c:pt>
                <c:pt idx="3">
                  <c:v>42.857142857142854</c:v>
                </c:pt>
                <c:pt idx="4">
                  <c:v>0</c:v>
                </c:pt>
                <c:pt idx="5">
                  <c:v>10</c:v>
                </c:pt>
                <c:pt idx="6">
                  <c:v>12.5</c:v>
                </c:pt>
                <c:pt idx="7">
                  <c:v>10</c:v>
                </c:pt>
                <c:pt idx="8">
                  <c:v>50</c:v>
                </c:pt>
                <c:pt idx="9">
                  <c:v>40</c:v>
                </c:pt>
                <c:pt idx="10">
                  <c:v>30</c:v>
                </c:pt>
                <c:pt idx="11">
                  <c:v>57.142857142857139</c:v>
                </c:pt>
                <c:pt idx="12">
                  <c:v>10</c:v>
                </c:pt>
                <c:pt idx="13">
                  <c:v>20</c:v>
                </c:pt>
                <c:pt idx="14">
                  <c:v>37.5</c:v>
                </c:pt>
                <c:pt idx="15">
                  <c:v>70</c:v>
                </c:pt>
                <c:pt idx="16">
                  <c:v>0</c:v>
                </c:pt>
                <c:pt idx="17">
                  <c:v>14.285714285714285</c:v>
                </c:pt>
                <c:pt idx="18">
                  <c:v>10</c:v>
                </c:pt>
                <c:pt idx="19">
                  <c:v>14.285714285714285</c:v>
                </c:pt>
                <c:pt idx="20">
                  <c:v>30</c:v>
                </c:pt>
                <c:pt idx="21">
                  <c:v>0</c:v>
                </c:pt>
                <c:pt idx="22">
                  <c:v>0</c:v>
                </c:pt>
                <c:pt idx="23">
                  <c:v>40</c:v>
                </c:pt>
                <c:pt idx="24">
                  <c:v>28.571428571428569</c:v>
                </c:pt>
                <c:pt idx="25">
                  <c:v>10</c:v>
                </c:pt>
                <c:pt idx="26">
                  <c:v>0</c:v>
                </c:pt>
                <c:pt idx="27">
                  <c:v>16.666666666666664</c:v>
                </c:pt>
                <c:pt idx="28">
                  <c:v>10</c:v>
                </c:pt>
                <c:pt idx="29">
                  <c:v>12.5</c:v>
                </c:pt>
              </c:numCache>
            </c:numRef>
          </c:yVal>
        </c:ser>
        <c:axId val="78721792"/>
        <c:axId val="78723328"/>
      </c:scatterChart>
      <c:valAx>
        <c:axId val="78721792"/>
        <c:scaling>
          <c:orientation val="minMax"/>
          <c:max val="100"/>
        </c:scaling>
        <c:axPos val="b"/>
        <c:majorGridlines/>
        <c:numFmt formatCode="General" sourceLinked="1"/>
        <c:tickLblPos val="nextTo"/>
        <c:crossAx val="78723328"/>
        <c:crosses val="autoZero"/>
        <c:crossBetween val="midCat"/>
      </c:valAx>
      <c:valAx>
        <c:axId val="78723328"/>
        <c:scaling>
          <c:orientation val="minMax"/>
          <c:max val="100"/>
          <c:min val="0"/>
        </c:scaling>
        <c:axPos val="l"/>
        <c:majorGridlines/>
        <c:numFmt formatCode="0" sourceLinked="1"/>
        <c:tickLblPos val="nextTo"/>
        <c:crossAx val="78721792"/>
        <c:crosses val="autoZero"/>
        <c:crossBetween val="midCat"/>
      </c:valAx>
    </c:plotArea>
    <c:legend>
      <c:legendPos val="r"/>
      <c:layout/>
    </c:legend>
    <c:plotVisOnly val="1"/>
  </c:chart>
  <c:printSettings>
    <c:headerFooter/>
    <c:pageMargins b="0.750000000000006" l="0.70000000000000062" r="0.70000000000000062" t="0.750000000000006" header="0.30000000000000032" footer="0.30000000000000032"/>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Car-PDSR Vs.</a:t>
            </a:r>
            <a:r>
              <a:rPr lang="en-US" baseline="0"/>
              <a:t> RSS</a:t>
            </a:r>
            <a:endParaRPr lang="en-US"/>
          </a:p>
        </c:rich>
      </c:tx>
    </c:title>
    <c:plotArea>
      <c:layout>
        <c:manualLayout>
          <c:layoutTarget val="inner"/>
          <c:xMode val="edge"/>
          <c:yMode val="edge"/>
          <c:x val="4.7443609022556434E-2"/>
          <c:y val="0.19480351414406533"/>
          <c:w val="0.70267045566672626"/>
          <c:h val="0.68921660834062359"/>
        </c:manualLayout>
      </c:layout>
      <c:scatterChart>
        <c:scatterStyle val="lineMarker"/>
        <c:ser>
          <c:idx val="0"/>
          <c:order val="0"/>
          <c:tx>
            <c:v>Car-PDSR Vs. RSS</c:v>
          </c:tx>
          <c:spPr>
            <a:ln w="28575">
              <a:noFill/>
            </a:ln>
          </c:spPr>
          <c:xVal>
            <c:numRef>
              <c:f>'100OBU'!$O$4:$O$32</c:f>
              <c:numCache>
                <c:formatCode>General</c:formatCode>
                <c:ptCount val="29"/>
                <c:pt idx="0">
                  <c:v>-62.91043444999999</c:v>
                </c:pt>
                <c:pt idx="1">
                  <c:v>-64.673560350000002</c:v>
                </c:pt>
                <c:pt idx="2">
                  <c:v>-62.70516984999999</c:v>
                </c:pt>
                <c:pt idx="3">
                  <c:v>-63.705857849999994</c:v>
                </c:pt>
                <c:pt idx="4">
                  <c:v>-60.224346149999995</c:v>
                </c:pt>
                <c:pt idx="5">
                  <c:v>-62.238772949999998</c:v>
                </c:pt>
                <c:pt idx="6">
                  <c:v>-60.942685700000006</c:v>
                </c:pt>
                <c:pt idx="7">
                  <c:v>-61.952695449999986</c:v>
                </c:pt>
                <c:pt idx="8">
                  <c:v>-60.05093875</c:v>
                </c:pt>
                <c:pt idx="9">
                  <c:v>-60.559634450000011</c:v>
                </c:pt>
                <c:pt idx="10">
                  <c:v>-57.369828800000008</c:v>
                </c:pt>
                <c:pt idx="11">
                  <c:v>-60.784232249999988</c:v>
                </c:pt>
                <c:pt idx="12">
                  <c:v>-59.448027900000014</c:v>
                </c:pt>
                <c:pt idx="13">
                  <c:v>-60.904061949999992</c:v>
                </c:pt>
                <c:pt idx="14">
                  <c:v>-60.768833150000013</c:v>
                </c:pt>
                <c:pt idx="15">
                  <c:v>-61.288293099999997</c:v>
                </c:pt>
                <c:pt idx="16">
                  <c:v>-60.221583799999998</c:v>
                </c:pt>
                <c:pt idx="17">
                  <c:v>-62.112886799999998</c:v>
                </c:pt>
                <c:pt idx="18">
                  <c:v>-63.968927750000013</c:v>
                </c:pt>
                <c:pt idx="19">
                  <c:v>-63.270370300000003</c:v>
                </c:pt>
                <c:pt idx="20">
                  <c:v>-66.327624250000014</c:v>
                </c:pt>
                <c:pt idx="21">
                  <c:v>-64.555147099999999</c:v>
                </c:pt>
                <c:pt idx="22">
                  <c:v>-64.432931150000016</c:v>
                </c:pt>
                <c:pt idx="23">
                  <c:v>-67.89620484999999</c:v>
                </c:pt>
                <c:pt idx="24">
                  <c:v>-68.516942850000007</c:v>
                </c:pt>
                <c:pt idx="25">
                  <c:v>-66.476090549999995</c:v>
                </c:pt>
                <c:pt idx="26">
                  <c:v>-67.55151794999999</c:v>
                </c:pt>
                <c:pt idx="27">
                  <c:v>-68.048958549999995</c:v>
                </c:pt>
                <c:pt idx="28">
                  <c:v>-67.813724850000014</c:v>
                </c:pt>
              </c:numCache>
            </c:numRef>
          </c:xVal>
          <c:yVal>
            <c:numRef>
              <c:f>'100OBU'!$M$4:$M$32</c:f>
              <c:numCache>
                <c:formatCode>0</c:formatCode>
                <c:ptCount val="29"/>
                <c:pt idx="0">
                  <c:v>50</c:v>
                </c:pt>
                <c:pt idx="1">
                  <c:v>38.416666666666664</c:v>
                </c:pt>
                <c:pt idx="2">
                  <c:v>37.25</c:v>
                </c:pt>
                <c:pt idx="3">
                  <c:v>47.125</c:v>
                </c:pt>
                <c:pt idx="4">
                  <c:v>41.571428571428569</c:v>
                </c:pt>
                <c:pt idx="5">
                  <c:v>34.9</c:v>
                </c:pt>
                <c:pt idx="6">
                  <c:v>33.6</c:v>
                </c:pt>
                <c:pt idx="7">
                  <c:v>41.428571428571431</c:v>
                </c:pt>
                <c:pt idx="8">
                  <c:v>45.9375</c:v>
                </c:pt>
                <c:pt idx="9">
                  <c:v>41.785714285714285</c:v>
                </c:pt>
                <c:pt idx="10">
                  <c:v>31.5</c:v>
                </c:pt>
                <c:pt idx="11">
                  <c:v>53.4</c:v>
                </c:pt>
                <c:pt idx="12">
                  <c:v>29.666666666666664</c:v>
                </c:pt>
                <c:pt idx="13">
                  <c:v>30.875</c:v>
                </c:pt>
                <c:pt idx="14">
                  <c:v>54</c:v>
                </c:pt>
                <c:pt idx="15">
                  <c:v>39.642857142857146</c:v>
                </c:pt>
                <c:pt idx="16">
                  <c:v>46.625</c:v>
                </c:pt>
                <c:pt idx="17">
                  <c:v>54.1</c:v>
                </c:pt>
                <c:pt idx="18">
                  <c:v>40.428571428571431</c:v>
                </c:pt>
                <c:pt idx="19">
                  <c:v>37.833333333333329</c:v>
                </c:pt>
                <c:pt idx="20">
                  <c:v>49.111111111111114</c:v>
                </c:pt>
                <c:pt idx="21">
                  <c:v>50.166666666666664</c:v>
                </c:pt>
                <c:pt idx="22">
                  <c:v>35.583333333333336</c:v>
                </c:pt>
                <c:pt idx="23">
                  <c:v>30.875</c:v>
                </c:pt>
                <c:pt idx="24">
                  <c:v>52.9</c:v>
                </c:pt>
                <c:pt idx="25">
                  <c:v>41.785714285714285</c:v>
                </c:pt>
                <c:pt idx="26">
                  <c:v>54.9</c:v>
                </c:pt>
                <c:pt idx="27">
                  <c:v>33.9</c:v>
                </c:pt>
                <c:pt idx="28">
                  <c:v>35.583333333333336</c:v>
                </c:pt>
              </c:numCache>
            </c:numRef>
          </c:yVal>
        </c:ser>
        <c:axId val="78740480"/>
        <c:axId val="78748672"/>
      </c:scatterChart>
      <c:valAx>
        <c:axId val="78740480"/>
        <c:scaling>
          <c:orientation val="maxMin"/>
          <c:max val="-40"/>
          <c:min val="-100"/>
        </c:scaling>
        <c:axPos val="b"/>
        <c:majorGridlines/>
        <c:numFmt formatCode="0" sourceLinked="0"/>
        <c:tickLblPos val="nextTo"/>
        <c:crossAx val="78748672"/>
        <c:crosses val="autoZero"/>
        <c:crossBetween val="midCat"/>
      </c:valAx>
      <c:valAx>
        <c:axId val="78748672"/>
        <c:scaling>
          <c:orientation val="minMax"/>
          <c:max val="100"/>
          <c:min val="0"/>
        </c:scaling>
        <c:axPos val="r"/>
        <c:majorGridlines/>
        <c:numFmt formatCode="0" sourceLinked="1"/>
        <c:tickLblPos val="high"/>
        <c:crossAx val="78740480"/>
        <c:crosses val="autoZero"/>
        <c:crossBetween val="midCat"/>
      </c:valAx>
    </c:plotArea>
    <c:legend>
      <c:legendPos val="r"/>
    </c:legend>
    <c:plotVisOnly val="1"/>
  </c:chart>
  <c:printSettings>
    <c:headerFooter/>
    <c:pageMargins b="0.75000000000000622" l="0.70000000000000062" r="0.70000000000000062" t="0.75000000000000622" header="0.30000000000000032" footer="0.30000000000000032"/>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RSS</a:t>
            </a:r>
            <a:endParaRPr lang="en-US"/>
          </a:p>
        </c:rich>
      </c:tx>
      <c:layout/>
    </c:title>
    <c:plotArea>
      <c:layout>
        <c:manualLayout>
          <c:layoutTarget val="inner"/>
          <c:xMode val="edge"/>
          <c:yMode val="edge"/>
          <c:x val="3.6829824843323242E-2"/>
          <c:y val="0.19943314377369625"/>
          <c:w val="0.72477004660132294"/>
          <c:h val="0.68458697871098817"/>
        </c:manualLayout>
      </c:layout>
      <c:scatterChart>
        <c:scatterStyle val="lineMarker"/>
        <c:ser>
          <c:idx val="1"/>
          <c:order val="0"/>
          <c:tx>
            <c:v>RSU-PDR Vs. RSS</c:v>
          </c:tx>
          <c:spPr>
            <a:ln w="28575">
              <a:noFill/>
            </a:ln>
          </c:spPr>
          <c:xVal>
            <c:numRef>
              <c:f>'100OBU'!$Q$4:$Q$32</c:f>
              <c:numCache>
                <c:formatCode>General</c:formatCode>
                <c:ptCount val="29"/>
                <c:pt idx="0">
                  <c:v>-65.540730666666661</c:v>
                </c:pt>
                <c:pt idx="1">
                  <c:v>-63.749790299999994</c:v>
                </c:pt>
                <c:pt idx="2">
                  <c:v>-64.068550799999997</c:v>
                </c:pt>
                <c:pt idx="3">
                  <c:v>-63.939046600000005</c:v>
                </c:pt>
                <c:pt idx="4">
                  <c:v>-63.304565400000001</c:v>
                </c:pt>
                <c:pt idx="5">
                  <c:v>-60.366662700000006</c:v>
                </c:pt>
                <c:pt idx="6">
                  <c:v>-60.496667100000003</c:v>
                </c:pt>
                <c:pt idx="7">
                  <c:v>-62.041521000000003</c:v>
                </c:pt>
                <c:pt idx="8">
                  <c:v>-59.764106599999991</c:v>
                </c:pt>
                <c:pt idx="9">
                  <c:v>-59.450921400000006</c:v>
                </c:pt>
                <c:pt idx="10">
                  <c:v>-60.177996000000007</c:v>
                </c:pt>
                <c:pt idx="11">
                  <c:v>-56.891774099999999</c:v>
                </c:pt>
                <c:pt idx="12">
                  <c:v>-59.751892399999996</c:v>
                </c:pt>
                <c:pt idx="13">
                  <c:v>-59.185952699999987</c:v>
                </c:pt>
                <c:pt idx="14">
                  <c:v>-59.45492740000001</c:v>
                </c:pt>
                <c:pt idx="15">
                  <c:v>-60.787123900000005</c:v>
                </c:pt>
                <c:pt idx="16">
                  <c:v>-62.77636050000001</c:v>
                </c:pt>
                <c:pt idx="17">
                  <c:v>-63.948919999999987</c:v>
                </c:pt>
                <c:pt idx="18">
                  <c:v>-63.422576099999993</c:v>
                </c:pt>
                <c:pt idx="19">
                  <c:v>-62.492019600000006</c:v>
                </c:pt>
                <c:pt idx="20">
                  <c:v>-66.849983000000009</c:v>
                </c:pt>
                <c:pt idx="21">
                  <c:v>-63.354163799999995</c:v>
                </c:pt>
                <c:pt idx="22">
                  <c:v>-66.3862089</c:v>
                </c:pt>
                <c:pt idx="23">
                  <c:v>-68.916707100000011</c:v>
                </c:pt>
                <c:pt idx="24">
                  <c:v>-68.1602338</c:v>
                </c:pt>
                <c:pt idx="25">
                  <c:v>-70.913698000000011</c:v>
                </c:pt>
                <c:pt idx="26">
                  <c:v>-65.938013199999986</c:v>
                </c:pt>
                <c:pt idx="27">
                  <c:v>-68.241884999999996</c:v>
                </c:pt>
                <c:pt idx="28">
                  <c:v>-69.584882000000007</c:v>
                </c:pt>
              </c:numCache>
            </c:numRef>
          </c:xVal>
          <c:yVal>
            <c:numRef>
              <c:f>'100OBU'!$L$4:$L$32</c:f>
              <c:numCache>
                <c:formatCode>0</c:formatCode>
                <c:ptCount val="29"/>
                <c:pt idx="0">
                  <c:v>10</c:v>
                </c:pt>
                <c:pt idx="1">
                  <c:v>16.833333333333332</c:v>
                </c:pt>
                <c:pt idx="2">
                  <c:v>14.499999999999998</c:v>
                </c:pt>
                <c:pt idx="3">
                  <c:v>14.249999999999998</c:v>
                </c:pt>
                <c:pt idx="4">
                  <c:v>13.142857142857142</c:v>
                </c:pt>
                <c:pt idx="5">
                  <c:v>19.8</c:v>
                </c:pt>
                <c:pt idx="6">
                  <c:v>17.2</c:v>
                </c:pt>
                <c:pt idx="7">
                  <c:v>12.857142857142859</c:v>
                </c:pt>
                <c:pt idx="8">
                  <c:v>11.875</c:v>
                </c:pt>
                <c:pt idx="9">
                  <c:v>13.571428571428571</c:v>
                </c:pt>
                <c:pt idx="10">
                  <c:v>13</c:v>
                </c:pt>
                <c:pt idx="11">
                  <c:v>6.8000000000000007</c:v>
                </c:pt>
                <c:pt idx="12">
                  <c:v>29.333333333333332</c:v>
                </c:pt>
                <c:pt idx="13">
                  <c:v>21.75</c:v>
                </c:pt>
                <c:pt idx="14">
                  <c:v>8</c:v>
                </c:pt>
                <c:pt idx="15">
                  <c:v>9.2857142857142865</c:v>
                </c:pt>
                <c:pt idx="16">
                  <c:v>13.25</c:v>
                </c:pt>
                <c:pt idx="17">
                  <c:v>8.1999999999999993</c:v>
                </c:pt>
                <c:pt idx="18">
                  <c:v>10.857142857142858</c:v>
                </c:pt>
                <c:pt idx="19">
                  <c:v>15.666666666666664</c:v>
                </c:pt>
                <c:pt idx="20">
                  <c:v>8.2222222222222232</c:v>
                </c:pt>
                <c:pt idx="21">
                  <c:v>10.333333333333334</c:v>
                </c:pt>
                <c:pt idx="22">
                  <c:v>11.166666666666668</c:v>
                </c:pt>
                <c:pt idx="23">
                  <c:v>21.75</c:v>
                </c:pt>
                <c:pt idx="24">
                  <c:v>5.8</c:v>
                </c:pt>
                <c:pt idx="25">
                  <c:v>13.571428571428571</c:v>
                </c:pt>
                <c:pt idx="26">
                  <c:v>9.8000000000000007</c:v>
                </c:pt>
                <c:pt idx="27">
                  <c:v>17.8</c:v>
                </c:pt>
                <c:pt idx="28">
                  <c:v>11.166666666666668</c:v>
                </c:pt>
              </c:numCache>
            </c:numRef>
          </c:yVal>
        </c:ser>
        <c:axId val="78663040"/>
        <c:axId val="78680448"/>
      </c:scatterChart>
      <c:valAx>
        <c:axId val="78663040"/>
        <c:scaling>
          <c:orientation val="maxMin"/>
          <c:min val="-100"/>
        </c:scaling>
        <c:axPos val="b"/>
        <c:majorGridlines/>
        <c:numFmt formatCode="0" sourceLinked="0"/>
        <c:tickLblPos val="nextTo"/>
        <c:crossAx val="78680448"/>
        <c:crosses val="autoZero"/>
        <c:crossBetween val="midCat"/>
      </c:valAx>
      <c:valAx>
        <c:axId val="78680448"/>
        <c:scaling>
          <c:orientation val="minMax"/>
          <c:max val="100"/>
          <c:min val="0"/>
        </c:scaling>
        <c:axPos val="r"/>
        <c:majorGridlines/>
        <c:numFmt formatCode="0" sourceLinked="1"/>
        <c:tickLblPos val="high"/>
        <c:crossAx val="78663040"/>
        <c:crosses val="autoZero"/>
        <c:crossBetween val="midCat"/>
      </c:valAx>
    </c:plotArea>
    <c:legend>
      <c:legendPos val="r"/>
      <c:layout/>
    </c:legend>
    <c:plotVisOnly val="1"/>
  </c:chart>
  <c:printSettings>
    <c:headerFooter/>
    <c:pageMargins b="0.750000000000006" l="0.70000000000000062" r="0.70000000000000062" t="0.75000000000000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SNR</a:t>
            </a:r>
            <a:endParaRPr lang="en-US"/>
          </a:p>
        </c:rich>
      </c:tx>
      <c:layout/>
    </c:title>
    <c:plotArea>
      <c:layout>
        <c:manualLayout>
          <c:layoutTarget val="inner"/>
          <c:xMode val="edge"/>
          <c:yMode val="edge"/>
          <c:x val="0.11015379275937615"/>
          <c:y val="0.19480351414406533"/>
          <c:w val="0.64354591006702999"/>
          <c:h val="0.68921660834062359"/>
        </c:manualLayout>
      </c:layout>
      <c:scatterChart>
        <c:scatterStyle val="lineMarker"/>
        <c:ser>
          <c:idx val="0"/>
          <c:order val="0"/>
          <c:tx>
            <c:v>RSU-PDR Vs. SNR</c:v>
          </c:tx>
          <c:spPr>
            <a:ln w="28575">
              <a:noFill/>
            </a:ln>
          </c:spPr>
          <c:marker>
            <c:spPr>
              <a:solidFill>
                <a:srgbClr val="C00000"/>
              </a:solidFill>
            </c:spPr>
          </c:marker>
          <c:xVal>
            <c:numRef>
              <c:f>'1OBU'!$R$4:$R$32</c:f>
              <c:numCache>
                <c:formatCode>General</c:formatCode>
                <c:ptCount val="29"/>
                <c:pt idx="0">
                  <c:v>33.301855111111109</c:v>
                </c:pt>
                <c:pt idx="1">
                  <c:v>37.677342555555555</c:v>
                </c:pt>
                <c:pt idx="2">
                  <c:v>36.415972111111117</c:v>
                </c:pt>
                <c:pt idx="3">
                  <c:v>35.051785444444448</c:v>
                </c:pt>
                <c:pt idx="4">
                  <c:v>38.282806333333326</c:v>
                </c:pt>
                <c:pt idx="5">
                  <c:v>34.87462711111111</c:v>
                </c:pt>
                <c:pt idx="6">
                  <c:v>41.48084466666667</c:v>
                </c:pt>
                <c:pt idx="7">
                  <c:v>39.842836333333331</c:v>
                </c:pt>
                <c:pt idx="8">
                  <c:v>35.876062333333337</c:v>
                </c:pt>
                <c:pt idx="9">
                  <c:v>39.647262111111111</c:v>
                </c:pt>
                <c:pt idx="10">
                  <c:v>36.239268000000003</c:v>
                </c:pt>
                <c:pt idx="11">
                  <c:v>41.351858888888898</c:v>
                </c:pt>
                <c:pt idx="12">
                  <c:v>37.914456111111107</c:v>
                </c:pt>
                <c:pt idx="13">
                  <c:v>36.496314333333338</c:v>
                </c:pt>
                <c:pt idx="14">
                  <c:v>37.267880333333331</c:v>
                </c:pt>
                <c:pt idx="15">
                  <c:v>33.935055333333338</c:v>
                </c:pt>
                <c:pt idx="16">
                  <c:v>34.996069444444437</c:v>
                </c:pt>
                <c:pt idx="17">
                  <c:v>32.162766111111104</c:v>
                </c:pt>
                <c:pt idx="18">
                  <c:v>32.044135222222216</c:v>
                </c:pt>
                <c:pt idx="19">
                  <c:v>33.404584</c:v>
                </c:pt>
                <c:pt idx="20">
                  <c:v>30.40624133333333</c:v>
                </c:pt>
                <c:pt idx="21">
                  <c:v>30.954527333333331</c:v>
                </c:pt>
                <c:pt idx="22">
                  <c:v>32.91193811111112</c:v>
                </c:pt>
                <c:pt idx="23">
                  <c:v>32.570979111111114</c:v>
                </c:pt>
                <c:pt idx="24">
                  <c:v>34.976908666666674</c:v>
                </c:pt>
                <c:pt idx="25">
                  <c:v>30.869467111111117</c:v>
                </c:pt>
                <c:pt idx="26">
                  <c:v>28.322717666666666</c:v>
                </c:pt>
                <c:pt idx="27">
                  <c:v>34.35301755555556</c:v>
                </c:pt>
                <c:pt idx="28">
                  <c:v>33.806589222222222</c:v>
                </c:pt>
              </c:numCache>
            </c:numRef>
          </c:xVal>
          <c:yVal>
            <c:numRef>
              <c:f>'1OBU'!$L$4:$L$32</c:f>
              <c:numCache>
                <c:formatCode>0</c:formatCode>
                <c:ptCount val="29"/>
                <c:pt idx="0">
                  <c:v>100</c:v>
                </c:pt>
                <c:pt idx="1">
                  <c:v>77.777777777777786</c:v>
                </c:pt>
                <c:pt idx="2">
                  <c:v>100</c:v>
                </c:pt>
                <c:pt idx="3">
                  <c:v>90</c:v>
                </c:pt>
                <c:pt idx="4">
                  <c:v>100</c:v>
                </c:pt>
                <c:pt idx="5">
                  <c:v>100</c:v>
                </c:pt>
                <c:pt idx="6">
                  <c:v>100</c:v>
                </c:pt>
                <c:pt idx="7">
                  <c:v>90</c:v>
                </c:pt>
                <c:pt idx="8">
                  <c:v>90</c:v>
                </c:pt>
                <c:pt idx="9">
                  <c:v>100</c:v>
                </c:pt>
                <c:pt idx="10">
                  <c:v>100</c:v>
                </c:pt>
                <c:pt idx="11">
                  <c:v>90</c:v>
                </c:pt>
                <c:pt idx="12">
                  <c:v>90</c:v>
                </c:pt>
                <c:pt idx="13">
                  <c:v>100</c:v>
                </c:pt>
                <c:pt idx="14">
                  <c:v>100</c:v>
                </c:pt>
                <c:pt idx="15">
                  <c:v>100</c:v>
                </c:pt>
                <c:pt idx="16">
                  <c:v>100</c:v>
                </c:pt>
                <c:pt idx="17">
                  <c:v>100</c:v>
                </c:pt>
                <c:pt idx="18">
                  <c:v>80</c:v>
                </c:pt>
                <c:pt idx="19">
                  <c:v>90</c:v>
                </c:pt>
                <c:pt idx="20">
                  <c:v>80</c:v>
                </c:pt>
                <c:pt idx="21">
                  <c:v>80</c:v>
                </c:pt>
                <c:pt idx="22">
                  <c:v>100</c:v>
                </c:pt>
                <c:pt idx="23">
                  <c:v>90</c:v>
                </c:pt>
                <c:pt idx="24">
                  <c:v>70</c:v>
                </c:pt>
                <c:pt idx="25">
                  <c:v>77.777777777777786</c:v>
                </c:pt>
                <c:pt idx="26">
                  <c:v>90</c:v>
                </c:pt>
                <c:pt idx="27">
                  <c:v>77.777777777777786</c:v>
                </c:pt>
                <c:pt idx="28">
                  <c:v>87.5</c:v>
                </c:pt>
              </c:numCache>
            </c:numRef>
          </c:yVal>
        </c:ser>
        <c:axId val="125340288"/>
        <c:axId val="125383424"/>
      </c:scatterChart>
      <c:valAx>
        <c:axId val="125340288"/>
        <c:scaling>
          <c:orientation val="minMax"/>
        </c:scaling>
        <c:axPos val="b"/>
        <c:majorGridlines/>
        <c:numFmt formatCode="General" sourceLinked="1"/>
        <c:tickLblPos val="nextTo"/>
        <c:crossAx val="125383424"/>
        <c:crosses val="autoZero"/>
        <c:crossBetween val="midCat"/>
      </c:valAx>
      <c:valAx>
        <c:axId val="125383424"/>
        <c:scaling>
          <c:orientation val="minMax"/>
          <c:max val="100"/>
          <c:min val="0"/>
        </c:scaling>
        <c:axPos val="l"/>
        <c:majorGridlines/>
        <c:numFmt formatCode="0" sourceLinked="1"/>
        <c:tickLblPos val="nextTo"/>
        <c:crossAx val="125340288"/>
        <c:crosses val="autoZero"/>
        <c:crossBetween val="midCat"/>
      </c:valAx>
    </c:plotArea>
    <c:legend>
      <c:legendPos val="r"/>
      <c:layout>
        <c:manualLayout>
          <c:xMode val="edge"/>
          <c:yMode val="edge"/>
          <c:x val="0.76215006182078482"/>
          <c:y val="0.5159539953339165"/>
          <c:w val="0.23784993817921629"/>
          <c:h val="8.3717191601050026E-2"/>
        </c:manualLayout>
      </c:layout>
    </c:legend>
    <c:plotVisOnly val="1"/>
  </c:chart>
  <c:printSettings>
    <c:headerFooter/>
    <c:pageMargins b="0.75000000000000466" l="0.70000000000000062" r="0.70000000000000062" t="0.75000000000000466" header="0.30000000000000032" footer="0.30000000000000032"/>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SNR</a:t>
            </a:r>
            <a:endParaRPr lang="en-US"/>
          </a:p>
        </c:rich>
      </c:tx>
      <c:layout/>
    </c:title>
    <c:plotArea>
      <c:layout>
        <c:manualLayout>
          <c:layoutTarget val="inner"/>
          <c:xMode val="edge"/>
          <c:yMode val="edge"/>
          <c:x val="9.2509056202685444E-2"/>
          <c:y val="0.19480351414406533"/>
          <c:w val="0.66119064662372806"/>
          <c:h val="0.68921660834062359"/>
        </c:manualLayout>
      </c:layout>
      <c:scatterChart>
        <c:scatterStyle val="lineMarker"/>
        <c:ser>
          <c:idx val="0"/>
          <c:order val="0"/>
          <c:tx>
            <c:v>RSU-PDR Vs. SNR</c:v>
          </c:tx>
          <c:spPr>
            <a:ln w="28575">
              <a:noFill/>
            </a:ln>
          </c:spPr>
          <c:marker>
            <c:spPr>
              <a:solidFill>
                <a:srgbClr val="C00000"/>
              </a:solidFill>
            </c:spPr>
          </c:marker>
          <c:xVal>
            <c:numRef>
              <c:f>'100OBU'!$R$4:$R$32</c:f>
              <c:numCache>
                <c:formatCode>General</c:formatCode>
                <c:ptCount val="29"/>
                <c:pt idx="0">
                  <c:v>38.459269333333332</c:v>
                </c:pt>
                <c:pt idx="1">
                  <c:v>40.250209699999999</c:v>
                </c:pt>
                <c:pt idx="2">
                  <c:v>39.931449200000003</c:v>
                </c:pt>
                <c:pt idx="3">
                  <c:v>40.060953399999995</c:v>
                </c:pt>
                <c:pt idx="4">
                  <c:v>40.695434599999999</c:v>
                </c:pt>
                <c:pt idx="5">
                  <c:v>43.633337299999994</c:v>
                </c:pt>
                <c:pt idx="6">
                  <c:v>43.503332899999997</c:v>
                </c:pt>
                <c:pt idx="7">
                  <c:v>41.958478999999997</c:v>
                </c:pt>
                <c:pt idx="8">
                  <c:v>44.235893400000002</c:v>
                </c:pt>
                <c:pt idx="9">
                  <c:v>44.549078599999994</c:v>
                </c:pt>
                <c:pt idx="10">
                  <c:v>43.822004</c:v>
                </c:pt>
                <c:pt idx="11">
                  <c:v>47.108225900000001</c:v>
                </c:pt>
                <c:pt idx="12">
                  <c:v>44.248107600000004</c:v>
                </c:pt>
                <c:pt idx="13">
                  <c:v>44.814047299999999</c:v>
                </c:pt>
                <c:pt idx="14">
                  <c:v>44.545072599999997</c:v>
                </c:pt>
                <c:pt idx="15">
                  <c:v>43.212876099999995</c:v>
                </c:pt>
                <c:pt idx="16">
                  <c:v>41.223639500000004</c:v>
                </c:pt>
                <c:pt idx="17">
                  <c:v>40.051079999999999</c:v>
                </c:pt>
                <c:pt idx="18">
                  <c:v>40.577423899999999</c:v>
                </c:pt>
                <c:pt idx="19">
                  <c:v>41.507980400000001</c:v>
                </c:pt>
                <c:pt idx="20">
                  <c:v>37.150017000000005</c:v>
                </c:pt>
                <c:pt idx="21">
                  <c:v>40.645836199999998</c:v>
                </c:pt>
                <c:pt idx="22">
                  <c:v>37.6137911</c:v>
                </c:pt>
                <c:pt idx="23">
                  <c:v>35.083292899999996</c:v>
                </c:pt>
                <c:pt idx="24">
                  <c:v>35.8397662</c:v>
                </c:pt>
                <c:pt idx="25">
                  <c:v>33.086302000000003</c:v>
                </c:pt>
                <c:pt idx="26">
                  <c:v>38.061986799999993</c:v>
                </c:pt>
                <c:pt idx="27">
                  <c:v>35.758115000000004</c:v>
                </c:pt>
                <c:pt idx="28">
                  <c:v>34.415118</c:v>
                </c:pt>
              </c:numCache>
            </c:numRef>
          </c:xVal>
          <c:yVal>
            <c:numRef>
              <c:f>'100OBU'!$L$4:$L$32</c:f>
              <c:numCache>
                <c:formatCode>0</c:formatCode>
                <c:ptCount val="29"/>
                <c:pt idx="0">
                  <c:v>10</c:v>
                </c:pt>
                <c:pt idx="1">
                  <c:v>16.833333333333332</c:v>
                </c:pt>
                <c:pt idx="2">
                  <c:v>14.499999999999998</c:v>
                </c:pt>
                <c:pt idx="3">
                  <c:v>14.249999999999998</c:v>
                </c:pt>
                <c:pt idx="4">
                  <c:v>13.142857142857142</c:v>
                </c:pt>
                <c:pt idx="5">
                  <c:v>19.8</c:v>
                </c:pt>
                <c:pt idx="6">
                  <c:v>17.2</c:v>
                </c:pt>
                <c:pt idx="7">
                  <c:v>12.857142857142859</c:v>
                </c:pt>
                <c:pt idx="8">
                  <c:v>11.875</c:v>
                </c:pt>
                <c:pt idx="9">
                  <c:v>13.571428571428571</c:v>
                </c:pt>
                <c:pt idx="10">
                  <c:v>13</c:v>
                </c:pt>
                <c:pt idx="11">
                  <c:v>6.8000000000000007</c:v>
                </c:pt>
                <c:pt idx="12">
                  <c:v>29.333333333333332</c:v>
                </c:pt>
                <c:pt idx="13">
                  <c:v>21.75</c:v>
                </c:pt>
                <c:pt idx="14">
                  <c:v>8</c:v>
                </c:pt>
                <c:pt idx="15">
                  <c:v>9.2857142857142865</c:v>
                </c:pt>
                <c:pt idx="16">
                  <c:v>13.25</c:v>
                </c:pt>
                <c:pt idx="17">
                  <c:v>8.1999999999999993</c:v>
                </c:pt>
                <c:pt idx="18">
                  <c:v>10.857142857142858</c:v>
                </c:pt>
                <c:pt idx="19">
                  <c:v>15.666666666666664</c:v>
                </c:pt>
                <c:pt idx="20">
                  <c:v>8.2222222222222232</c:v>
                </c:pt>
                <c:pt idx="21">
                  <c:v>10.333333333333334</c:v>
                </c:pt>
                <c:pt idx="22">
                  <c:v>11.166666666666668</c:v>
                </c:pt>
                <c:pt idx="23">
                  <c:v>21.75</c:v>
                </c:pt>
                <c:pt idx="24">
                  <c:v>5.8</c:v>
                </c:pt>
                <c:pt idx="25">
                  <c:v>13.571428571428571</c:v>
                </c:pt>
                <c:pt idx="26">
                  <c:v>9.8000000000000007</c:v>
                </c:pt>
                <c:pt idx="27">
                  <c:v>17.8</c:v>
                </c:pt>
                <c:pt idx="28">
                  <c:v>11.166666666666668</c:v>
                </c:pt>
              </c:numCache>
            </c:numRef>
          </c:yVal>
        </c:ser>
        <c:axId val="78691712"/>
        <c:axId val="78702080"/>
      </c:scatterChart>
      <c:valAx>
        <c:axId val="78691712"/>
        <c:scaling>
          <c:orientation val="minMax"/>
          <c:max val="50"/>
          <c:min val="0"/>
        </c:scaling>
        <c:axPos val="b"/>
        <c:majorGridlines/>
        <c:numFmt formatCode="0" sourceLinked="0"/>
        <c:tickLblPos val="nextTo"/>
        <c:crossAx val="78702080"/>
        <c:crosses val="autoZero"/>
        <c:crossBetween val="midCat"/>
      </c:valAx>
      <c:valAx>
        <c:axId val="78702080"/>
        <c:scaling>
          <c:orientation val="minMax"/>
          <c:max val="100"/>
          <c:min val="0"/>
        </c:scaling>
        <c:axPos val="l"/>
        <c:majorGridlines/>
        <c:numFmt formatCode="0" sourceLinked="1"/>
        <c:tickLblPos val="nextTo"/>
        <c:crossAx val="78691712"/>
        <c:crosses val="autoZero"/>
        <c:crossBetween val="midCat"/>
      </c:valAx>
    </c:plotArea>
    <c:legend>
      <c:legendPos val="r"/>
      <c:layout/>
    </c:legend>
    <c:plotVisOnly val="1"/>
  </c:chart>
  <c:printSettings>
    <c:headerFooter/>
    <c:pageMargins b="0.750000000000006" l="0.70000000000000062" r="0.70000000000000062" t="0.750000000000006" header="0.30000000000000032" footer="0.30000000000000032"/>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PSR</a:t>
            </a:r>
            <a:endParaRPr lang="en-US"/>
          </a:p>
        </c:rich>
      </c:tx>
      <c:layout/>
    </c:title>
    <c:plotArea>
      <c:layout>
        <c:manualLayout>
          <c:layoutTarget val="inner"/>
          <c:xMode val="edge"/>
          <c:yMode val="edge"/>
          <c:x val="9.8925095901475413E-2"/>
          <c:y val="0.19480351414406533"/>
          <c:w val="0.68317221885725365"/>
          <c:h val="0.68921660834062359"/>
        </c:manualLayout>
      </c:layout>
      <c:scatterChart>
        <c:scatterStyle val="lineMarker"/>
        <c:ser>
          <c:idx val="0"/>
          <c:order val="0"/>
          <c:tx>
            <c:v>RSU-PDR Vs. PSR</c:v>
          </c:tx>
          <c:spPr>
            <a:ln w="28575">
              <a:noFill/>
            </a:ln>
          </c:spPr>
          <c:marker>
            <c:spPr>
              <a:solidFill>
                <a:srgbClr val="C00000"/>
              </a:solidFill>
            </c:spPr>
          </c:marker>
          <c:xVal>
            <c:numRef>
              <c:f>'100OBU'!$D$4:$D$32</c:f>
              <c:numCache>
                <c:formatCode>General</c:formatCode>
                <c:ptCount val="29"/>
                <c:pt idx="0">
                  <c:v>90</c:v>
                </c:pt>
                <c:pt idx="1">
                  <c:v>100</c:v>
                </c:pt>
                <c:pt idx="2">
                  <c:v>70</c:v>
                </c:pt>
                <c:pt idx="3">
                  <c:v>60</c:v>
                </c:pt>
                <c:pt idx="4">
                  <c:v>100</c:v>
                </c:pt>
                <c:pt idx="5">
                  <c:v>80</c:v>
                </c:pt>
                <c:pt idx="6">
                  <c:v>100</c:v>
                </c:pt>
                <c:pt idx="7">
                  <c:v>80</c:v>
                </c:pt>
                <c:pt idx="8">
                  <c:v>100</c:v>
                </c:pt>
                <c:pt idx="9">
                  <c:v>100</c:v>
                </c:pt>
                <c:pt idx="10">
                  <c:v>70</c:v>
                </c:pt>
                <c:pt idx="11">
                  <c:v>100</c:v>
                </c:pt>
                <c:pt idx="12">
                  <c:v>100</c:v>
                </c:pt>
                <c:pt idx="13">
                  <c:v>80</c:v>
                </c:pt>
                <c:pt idx="14">
                  <c:v>100</c:v>
                </c:pt>
                <c:pt idx="15">
                  <c:v>90</c:v>
                </c:pt>
                <c:pt idx="16">
                  <c:v>70</c:v>
                </c:pt>
                <c:pt idx="17">
                  <c:v>100</c:v>
                </c:pt>
                <c:pt idx="18">
                  <c:v>70</c:v>
                </c:pt>
                <c:pt idx="19">
                  <c:v>100</c:v>
                </c:pt>
                <c:pt idx="20">
                  <c:v>100</c:v>
                </c:pt>
                <c:pt idx="21">
                  <c:v>90</c:v>
                </c:pt>
                <c:pt idx="22">
                  <c:v>100</c:v>
                </c:pt>
                <c:pt idx="23">
                  <c:v>70</c:v>
                </c:pt>
                <c:pt idx="24">
                  <c:v>100</c:v>
                </c:pt>
                <c:pt idx="25">
                  <c:v>90</c:v>
                </c:pt>
                <c:pt idx="26">
                  <c:v>60</c:v>
                </c:pt>
                <c:pt idx="27">
                  <c:v>100</c:v>
                </c:pt>
                <c:pt idx="28">
                  <c:v>80</c:v>
                </c:pt>
              </c:numCache>
            </c:numRef>
          </c:xVal>
          <c:yVal>
            <c:numRef>
              <c:f>'100OBU'!$L$4:$L$32</c:f>
              <c:numCache>
                <c:formatCode>0</c:formatCode>
                <c:ptCount val="29"/>
                <c:pt idx="0">
                  <c:v>10</c:v>
                </c:pt>
                <c:pt idx="1">
                  <c:v>16.833333333333332</c:v>
                </c:pt>
                <c:pt idx="2">
                  <c:v>14.499999999999998</c:v>
                </c:pt>
                <c:pt idx="3">
                  <c:v>14.249999999999998</c:v>
                </c:pt>
                <c:pt idx="4">
                  <c:v>13.142857142857142</c:v>
                </c:pt>
                <c:pt idx="5">
                  <c:v>19.8</c:v>
                </c:pt>
                <c:pt idx="6">
                  <c:v>17.2</c:v>
                </c:pt>
                <c:pt idx="7">
                  <c:v>12.857142857142859</c:v>
                </c:pt>
                <c:pt idx="8">
                  <c:v>11.875</c:v>
                </c:pt>
                <c:pt idx="9">
                  <c:v>13.571428571428571</c:v>
                </c:pt>
                <c:pt idx="10">
                  <c:v>13</c:v>
                </c:pt>
                <c:pt idx="11">
                  <c:v>6.8000000000000007</c:v>
                </c:pt>
                <c:pt idx="12">
                  <c:v>29.333333333333332</c:v>
                </c:pt>
                <c:pt idx="13">
                  <c:v>21.75</c:v>
                </c:pt>
                <c:pt idx="14">
                  <c:v>8</c:v>
                </c:pt>
                <c:pt idx="15">
                  <c:v>9.2857142857142865</c:v>
                </c:pt>
                <c:pt idx="16">
                  <c:v>13.25</c:v>
                </c:pt>
                <c:pt idx="17">
                  <c:v>8.1999999999999993</c:v>
                </c:pt>
                <c:pt idx="18">
                  <c:v>10.857142857142858</c:v>
                </c:pt>
                <c:pt idx="19">
                  <c:v>15.666666666666664</c:v>
                </c:pt>
                <c:pt idx="20">
                  <c:v>8.2222222222222232</c:v>
                </c:pt>
                <c:pt idx="21">
                  <c:v>10.333333333333334</c:v>
                </c:pt>
                <c:pt idx="22">
                  <c:v>11.166666666666668</c:v>
                </c:pt>
                <c:pt idx="23">
                  <c:v>21.75</c:v>
                </c:pt>
                <c:pt idx="24">
                  <c:v>5.8</c:v>
                </c:pt>
                <c:pt idx="25">
                  <c:v>13.571428571428571</c:v>
                </c:pt>
                <c:pt idx="26">
                  <c:v>9.8000000000000007</c:v>
                </c:pt>
                <c:pt idx="27">
                  <c:v>17.8</c:v>
                </c:pt>
                <c:pt idx="28">
                  <c:v>11.166666666666668</c:v>
                </c:pt>
              </c:numCache>
            </c:numRef>
          </c:yVal>
        </c:ser>
        <c:axId val="78759808"/>
        <c:axId val="78809728"/>
      </c:scatterChart>
      <c:valAx>
        <c:axId val="78759808"/>
        <c:scaling>
          <c:orientation val="minMax"/>
          <c:max val="100"/>
          <c:min val="0"/>
        </c:scaling>
        <c:axPos val="b"/>
        <c:majorGridlines/>
        <c:numFmt formatCode="General" sourceLinked="1"/>
        <c:tickLblPos val="nextTo"/>
        <c:crossAx val="78809728"/>
        <c:crosses val="autoZero"/>
        <c:crossBetween val="midCat"/>
      </c:valAx>
      <c:valAx>
        <c:axId val="78809728"/>
        <c:scaling>
          <c:orientation val="minMax"/>
          <c:max val="100"/>
          <c:min val="0"/>
        </c:scaling>
        <c:axPos val="l"/>
        <c:majorGridlines/>
        <c:numFmt formatCode="0" sourceLinked="1"/>
        <c:tickLblPos val="nextTo"/>
        <c:crossAx val="78759808"/>
        <c:crosses val="autoZero"/>
        <c:crossBetween val="midCat"/>
      </c:valAx>
    </c:plotArea>
    <c:legend>
      <c:legendPos val="r"/>
      <c:layout>
        <c:manualLayout>
          <c:xMode val="edge"/>
          <c:yMode val="edge"/>
          <c:x val="0.77936018574600729"/>
          <c:y val="0.61780584718577647"/>
          <c:w val="0.21807571168988488"/>
          <c:h val="8.3717191601050026E-2"/>
        </c:manualLayout>
      </c:layout>
    </c:legend>
    <c:plotVisOnly val="1"/>
  </c:chart>
  <c:printSettings>
    <c:headerFooter/>
    <c:pageMargins b="0.750000000000006" l="0.70000000000000062" r="0.70000000000000062" t="0.750000000000006" header="0.30000000000000032" footer="0.30000000000000032"/>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RSU-PDSR Vs.</a:t>
            </a:r>
            <a:r>
              <a:rPr lang="en-US" baseline="0"/>
              <a:t> RSS</a:t>
            </a:r>
            <a:endParaRPr lang="en-US"/>
          </a:p>
        </c:rich>
      </c:tx>
    </c:title>
    <c:plotArea>
      <c:layout/>
      <c:scatterChart>
        <c:scatterStyle val="lineMarker"/>
        <c:ser>
          <c:idx val="1"/>
          <c:order val="0"/>
          <c:tx>
            <c:v>PDSR Vs RSS</c:v>
          </c:tx>
          <c:spPr>
            <a:ln w="28575">
              <a:noFill/>
            </a:ln>
          </c:spPr>
          <c:xVal>
            <c:numRef>
              <c:f>'100OBU'!$Q$4:$Q$32</c:f>
              <c:numCache>
                <c:formatCode>General</c:formatCode>
                <c:ptCount val="29"/>
                <c:pt idx="0">
                  <c:v>-65.540730666666661</c:v>
                </c:pt>
                <c:pt idx="1">
                  <c:v>-63.749790299999994</c:v>
                </c:pt>
                <c:pt idx="2">
                  <c:v>-64.068550799999997</c:v>
                </c:pt>
                <c:pt idx="3">
                  <c:v>-63.939046600000005</c:v>
                </c:pt>
                <c:pt idx="4">
                  <c:v>-63.304565400000001</c:v>
                </c:pt>
                <c:pt idx="5">
                  <c:v>-60.366662700000006</c:v>
                </c:pt>
                <c:pt idx="6">
                  <c:v>-60.496667100000003</c:v>
                </c:pt>
                <c:pt idx="7">
                  <c:v>-62.041521000000003</c:v>
                </c:pt>
                <c:pt idx="8">
                  <c:v>-59.764106599999991</c:v>
                </c:pt>
                <c:pt idx="9">
                  <c:v>-59.450921400000006</c:v>
                </c:pt>
                <c:pt idx="10">
                  <c:v>-60.177996000000007</c:v>
                </c:pt>
                <c:pt idx="11">
                  <c:v>-56.891774099999999</c:v>
                </c:pt>
                <c:pt idx="12">
                  <c:v>-59.751892399999996</c:v>
                </c:pt>
                <c:pt idx="13">
                  <c:v>-59.185952699999987</c:v>
                </c:pt>
                <c:pt idx="14">
                  <c:v>-59.45492740000001</c:v>
                </c:pt>
                <c:pt idx="15">
                  <c:v>-60.787123900000005</c:v>
                </c:pt>
                <c:pt idx="16">
                  <c:v>-62.77636050000001</c:v>
                </c:pt>
                <c:pt idx="17">
                  <c:v>-63.948919999999987</c:v>
                </c:pt>
                <c:pt idx="18">
                  <c:v>-63.422576099999993</c:v>
                </c:pt>
                <c:pt idx="19">
                  <c:v>-62.492019600000006</c:v>
                </c:pt>
                <c:pt idx="20">
                  <c:v>-66.849983000000009</c:v>
                </c:pt>
                <c:pt idx="21">
                  <c:v>-63.354163799999995</c:v>
                </c:pt>
                <c:pt idx="22">
                  <c:v>-66.3862089</c:v>
                </c:pt>
                <c:pt idx="23">
                  <c:v>-68.916707100000011</c:v>
                </c:pt>
                <c:pt idx="24">
                  <c:v>-68.1602338</c:v>
                </c:pt>
                <c:pt idx="25">
                  <c:v>-70.913698000000011</c:v>
                </c:pt>
                <c:pt idx="26">
                  <c:v>-65.938013199999986</c:v>
                </c:pt>
                <c:pt idx="27">
                  <c:v>-68.241884999999996</c:v>
                </c:pt>
                <c:pt idx="28">
                  <c:v>-69.584882000000007</c:v>
                </c:pt>
              </c:numCache>
            </c:numRef>
          </c:xVal>
          <c:yVal>
            <c:numRef>
              <c:f>'100OBU'!$G$4:$G$32</c:f>
              <c:numCache>
                <c:formatCode>0</c:formatCode>
                <c:ptCount val="29"/>
                <c:pt idx="0">
                  <c:v>50.555555555555557</c:v>
                </c:pt>
                <c:pt idx="1">
                  <c:v>60</c:v>
                </c:pt>
                <c:pt idx="2">
                  <c:v>56.428571428571431</c:v>
                </c:pt>
                <c:pt idx="3">
                  <c:v>30</c:v>
                </c:pt>
                <c:pt idx="4">
                  <c:v>55</c:v>
                </c:pt>
                <c:pt idx="5">
                  <c:v>46.25</c:v>
                </c:pt>
                <c:pt idx="6">
                  <c:v>55</c:v>
                </c:pt>
                <c:pt idx="7">
                  <c:v>65</c:v>
                </c:pt>
                <c:pt idx="8">
                  <c:v>70</c:v>
                </c:pt>
                <c:pt idx="9">
                  <c:v>65</c:v>
                </c:pt>
                <c:pt idx="10">
                  <c:v>63.571428571428569</c:v>
                </c:pt>
                <c:pt idx="11">
                  <c:v>55</c:v>
                </c:pt>
                <c:pt idx="12">
                  <c:v>60</c:v>
                </c:pt>
                <c:pt idx="13">
                  <c:v>58.75</c:v>
                </c:pt>
                <c:pt idx="14">
                  <c:v>85</c:v>
                </c:pt>
                <c:pt idx="15">
                  <c:v>45</c:v>
                </c:pt>
                <c:pt idx="16">
                  <c:v>42.142857142857139</c:v>
                </c:pt>
                <c:pt idx="17">
                  <c:v>55</c:v>
                </c:pt>
                <c:pt idx="18">
                  <c:v>42.142857142857139</c:v>
                </c:pt>
                <c:pt idx="19">
                  <c:v>65</c:v>
                </c:pt>
                <c:pt idx="20">
                  <c:v>50</c:v>
                </c:pt>
                <c:pt idx="21">
                  <c:v>45</c:v>
                </c:pt>
                <c:pt idx="22">
                  <c:v>70</c:v>
                </c:pt>
                <c:pt idx="23">
                  <c:v>49.285714285714285</c:v>
                </c:pt>
                <c:pt idx="24">
                  <c:v>55</c:v>
                </c:pt>
                <c:pt idx="25">
                  <c:v>45</c:v>
                </c:pt>
                <c:pt idx="26">
                  <c:v>38.333333333333329</c:v>
                </c:pt>
                <c:pt idx="27">
                  <c:v>55</c:v>
                </c:pt>
                <c:pt idx="28">
                  <c:v>46.25</c:v>
                </c:pt>
              </c:numCache>
            </c:numRef>
          </c:yVal>
        </c:ser>
        <c:axId val="78813824"/>
        <c:axId val="78827904"/>
      </c:scatterChart>
      <c:valAx>
        <c:axId val="78813824"/>
        <c:scaling>
          <c:orientation val="maxMin"/>
          <c:max val="-40"/>
          <c:min val="-100"/>
        </c:scaling>
        <c:axPos val="b"/>
        <c:majorGridlines/>
        <c:numFmt formatCode="0" sourceLinked="0"/>
        <c:tickLblPos val="nextTo"/>
        <c:crossAx val="78827904"/>
        <c:crosses val="autoZero"/>
        <c:crossBetween val="midCat"/>
      </c:valAx>
      <c:valAx>
        <c:axId val="78827904"/>
        <c:scaling>
          <c:orientation val="minMax"/>
          <c:max val="100"/>
          <c:min val="0"/>
        </c:scaling>
        <c:axPos val="r"/>
        <c:majorGridlines/>
        <c:numFmt formatCode="0" sourceLinked="1"/>
        <c:tickLblPos val="high"/>
        <c:crossAx val="78813824"/>
        <c:crosses val="autoZero"/>
        <c:crossBetween val="midCat"/>
      </c:valAx>
    </c:plotArea>
    <c:legend>
      <c:legendPos val="r"/>
    </c:legend>
    <c:plotVisOnly val="1"/>
  </c:chart>
  <c:printSettings>
    <c:headerFooter/>
    <c:pageMargins b="0.750000000000006" l="0.70000000000000062" r="0.70000000000000062" t="0.750000000000006" header="0.30000000000000032" footer="0.30000000000000032"/>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 RSS over Time</a:t>
            </a:r>
          </a:p>
        </c:rich>
      </c:tx>
    </c:title>
    <c:plotArea>
      <c:layout>
        <c:manualLayout>
          <c:layoutTarget val="inner"/>
          <c:xMode val="edge"/>
          <c:yMode val="edge"/>
          <c:x val="4.7443609022556434E-2"/>
          <c:y val="0.19480351414406533"/>
          <c:w val="0.77649345989519603"/>
          <c:h val="0.68921660834062359"/>
        </c:manualLayout>
      </c:layout>
      <c:scatterChart>
        <c:scatterStyle val="lineMarker"/>
        <c:ser>
          <c:idx val="0"/>
          <c:order val="0"/>
          <c:tx>
            <c:v>RSU- RSS</c:v>
          </c:tx>
          <c:spPr>
            <a:ln w="28575">
              <a:noFill/>
            </a:ln>
          </c:spPr>
          <c:xVal>
            <c:numRef>
              <c:f>'100OBU'!$A$3:$A$32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'100OBU'!$Q$3:$Q$32</c:f>
              <c:numCache>
                <c:formatCode>General</c:formatCode>
                <c:ptCount val="30"/>
                <c:pt idx="0">
                  <c:v>0</c:v>
                </c:pt>
                <c:pt idx="1">
                  <c:v>-65.540730666666661</c:v>
                </c:pt>
                <c:pt idx="2">
                  <c:v>-63.749790299999994</c:v>
                </c:pt>
                <c:pt idx="3">
                  <c:v>-64.068550799999997</c:v>
                </c:pt>
                <c:pt idx="4">
                  <c:v>-63.939046600000005</c:v>
                </c:pt>
                <c:pt idx="5">
                  <c:v>-63.304565400000001</c:v>
                </c:pt>
                <c:pt idx="6">
                  <c:v>-60.366662700000006</c:v>
                </c:pt>
                <c:pt idx="7">
                  <c:v>-60.496667100000003</c:v>
                </c:pt>
                <c:pt idx="8">
                  <c:v>-62.041521000000003</c:v>
                </c:pt>
                <c:pt idx="9">
                  <c:v>-59.764106599999991</c:v>
                </c:pt>
                <c:pt idx="10">
                  <c:v>-59.450921400000006</c:v>
                </c:pt>
                <c:pt idx="11">
                  <c:v>-60.177996000000007</c:v>
                </c:pt>
                <c:pt idx="12">
                  <c:v>-56.891774099999999</c:v>
                </c:pt>
                <c:pt idx="13">
                  <c:v>-59.751892399999996</c:v>
                </c:pt>
                <c:pt idx="14">
                  <c:v>-59.185952699999987</c:v>
                </c:pt>
                <c:pt idx="15">
                  <c:v>-59.45492740000001</c:v>
                </c:pt>
                <c:pt idx="16">
                  <c:v>-60.787123900000005</c:v>
                </c:pt>
                <c:pt idx="17">
                  <c:v>-62.77636050000001</c:v>
                </c:pt>
                <c:pt idx="18">
                  <c:v>-63.948919999999987</c:v>
                </c:pt>
                <c:pt idx="19">
                  <c:v>-63.422576099999993</c:v>
                </c:pt>
                <c:pt idx="20">
                  <c:v>-62.492019600000006</c:v>
                </c:pt>
                <c:pt idx="21">
                  <c:v>-66.849983000000009</c:v>
                </c:pt>
                <c:pt idx="22">
                  <c:v>-63.354163799999995</c:v>
                </c:pt>
                <c:pt idx="23">
                  <c:v>-66.3862089</c:v>
                </c:pt>
                <c:pt idx="24">
                  <c:v>-68.916707100000011</c:v>
                </c:pt>
                <c:pt idx="25">
                  <c:v>-68.1602338</c:v>
                </c:pt>
                <c:pt idx="26">
                  <c:v>-70.913698000000011</c:v>
                </c:pt>
                <c:pt idx="27">
                  <c:v>-65.938013199999986</c:v>
                </c:pt>
                <c:pt idx="28">
                  <c:v>-68.241884999999996</c:v>
                </c:pt>
                <c:pt idx="29">
                  <c:v>-69.584882000000007</c:v>
                </c:pt>
              </c:numCache>
            </c:numRef>
          </c:yVal>
        </c:ser>
        <c:axId val="78880128"/>
        <c:axId val="78902400"/>
      </c:scatterChart>
      <c:valAx>
        <c:axId val="78880128"/>
        <c:scaling>
          <c:orientation val="minMax"/>
        </c:scaling>
        <c:axPos val="b"/>
        <c:majorGridlines/>
        <c:numFmt formatCode="0" sourceLinked="0"/>
        <c:tickLblPos val="low"/>
        <c:crossAx val="78902400"/>
        <c:crosses val="autoZero"/>
        <c:crossBetween val="midCat"/>
      </c:valAx>
      <c:valAx>
        <c:axId val="78902400"/>
        <c:scaling>
          <c:orientation val="minMax"/>
        </c:scaling>
        <c:axPos val="l"/>
        <c:majorGridlines/>
        <c:numFmt formatCode="General" sourceLinked="1"/>
        <c:tickLblPos val="low"/>
        <c:crossAx val="78880128"/>
        <c:crosses val="autoZero"/>
        <c:crossBetween val="midCat"/>
      </c:valAx>
    </c:plotArea>
    <c:legend>
      <c:legendPos val="r"/>
    </c:legend>
    <c:plotVisOnly val="1"/>
  </c:chart>
  <c:printSettings>
    <c:headerFooter/>
    <c:pageMargins b="0.75000000000000644" l="0.70000000000000062" r="0.70000000000000062" t="0.7500000000000064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RSU-PDR Vs.</a:t>
            </a:r>
            <a:r>
              <a:rPr lang="en-US" baseline="0"/>
              <a:t> PSR</a:t>
            </a:r>
            <a:endParaRPr lang="en-US"/>
          </a:p>
        </c:rich>
      </c:tx>
      <c:layout/>
    </c:title>
    <c:plotArea>
      <c:layout>
        <c:manualLayout>
          <c:layoutTarget val="inner"/>
          <c:xMode val="edge"/>
          <c:yMode val="edge"/>
          <c:x val="9.7399555824752695E-2"/>
          <c:y val="0.19480351414406533"/>
          <c:w val="0.67528750252372716"/>
          <c:h val="0.68921660834062359"/>
        </c:manualLayout>
      </c:layout>
      <c:scatterChart>
        <c:scatterStyle val="lineMarker"/>
        <c:ser>
          <c:idx val="0"/>
          <c:order val="0"/>
          <c:tx>
            <c:v>RSU-PDR Vs. PSR</c:v>
          </c:tx>
          <c:spPr>
            <a:ln w="28575">
              <a:noFill/>
            </a:ln>
          </c:spPr>
          <c:marker>
            <c:spPr>
              <a:solidFill>
                <a:srgbClr val="C00000"/>
              </a:solidFill>
            </c:spPr>
          </c:marker>
          <c:xVal>
            <c:numRef>
              <c:f>'1OBU'!$D$4:$D$32</c:f>
              <c:numCache>
                <c:formatCode>0</c:formatCode>
                <c:ptCount val="29"/>
                <c:pt idx="0">
                  <c:v>100</c:v>
                </c:pt>
                <c:pt idx="1">
                  <c:v>100</c:v>
                </c:pt>
                <c:pt idx="2">
                  <c:v>100</c:v>
                </c:pt>
                <c:pt idx="3">
                  <c:v>100</c:v>
                </c:pt>
                <c:pt idx="4">
                  <c:v>100</c:v>
                </c:pt>
                <c:pt idx="5">
                  <c:v>100</c:v>
                </c:pt>
                <c:pt idx="6">
                  <c:v>100</c:v>
                </c:pt>
                <c:pt idx="7">
                  <c:v>100</c:v>
                </c:pt>
                <c:pt idx="8">
                  <c:v>100</c:v>
                </c:pt>
                <c:pt idx="9">
                  <c:v>100</c:v>
                </c:pt>
                <c:pt idx="10">
                  <c:v>90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90</c:v>
                </c:pt>
                <c:pt idx="24">
                  <c:v>100</c:v>
                </c:pt>
                <c:pt idx="25">
                  <c:v>100</c:v>
                </c:pt>
                <c:pt idx="26">
                  <c:v>100</c:v>
                </c:pt>
                <c:pt idx="27">
                  <c:v>100</c:v>
                </c:pt>
                <c:pt idx="28">
                  <c:v>100</c:v>
                </c:pt>
              </c:numCache>
            </c:numRef>
          </c:xVal>
          <c:yVal>
            <c:numRef>
              <c:f>'1OBU'!$L$4:$L$32</c:f>
              <c:numCache>
                <c:formatCode>0</c:formatCode>
                <c:ptCount val="29"/>
                <c:pt idx="0">
                  <c:v>100</c:v>
                </c:pt>
                <c:pt idx="1">
                  <c:v>77.777777777777786</c:v>
                </c:pt>
                <c:pt idx="2">
                  <c:v>100</c:v>
                </c:pt>
                <c:pt idx="3">
                  <c:v>90</c:v>
                </c:pt>
                <c:pt idx="4">
                  <c:v>100</c:v>
                </c:pt>
                <c:pt idx="5">
                  <c:v>100</c:v>
                </c:pt>
                <c:pt idx="6">
                  <c:v>100</c:v>
                </c:pt>
                <c:pt idx="7">
                  <c:v>90</c:v>
                </c:pt>
                <c:pt idx="8">
                  <c:v>90</c:v>
                </c:pt>
                <c:pt idx="9">
                  <c:v>100</c:v>
                </c:pt>
                <c:pt idx="10">
                  <c:v>100</c:v>
                </c:pt>
                <c:pt idx="11">
                  <c:v>90</c:v>
                </c:pt>
                <c:pt idx="12">
                  <c:v>90</c:v>
                </c:pt>
                <c:pt idx="13">
                  <c:v>100</c:v>
                </c:pt>
                <c:pt idx="14">
                  <c:v>100</c:v>
                </c:pt>
                <c:pt idx="15">
                  <c:v>100</c:v>
                </c:pt>
                <c:pt idx="16">
                  <c:v>100</c:v>
                </c:pt>
                <c:pt idx="17">
                  <c:v>100</c:v>
                </c:pt>
                <c:pt idx="18">
                  <c:v>80</c:v>
                </c:pt>
                <c:pt idx="19">
                  <c:v>90</c:v>
                </c:pt>
                <c:pt idx="20">
                  <c:v>80</c:v>
                </c:pt>
                <c:pt idx="21">
                  <c:v>80</c:v>
                </c:pt>
                <c:pt idx="22">
                  <c:v>100</c:v>
                </c:pt>
                <c:pt idx="23">
                  <c:v>90</c:v>
                </c:pt>
                <c:pt idx="24">
                  <c:v>70</c:v>
                </c:pt>
                <c:pt idx="25">
                  <c:v>77.777777777777786</c:v>
                </c:pt>
                <c:pt idx="26">
                  <c:v>90</c:v>
                </c:pt>
                <c:pt idx="27">
                  <c:v>77.777777777777786</c:v>
                </c:pt>
                <c:pt idx="28">
                  <c:v>87.5</c:v>
                </c:pt>
              </c:numCache>
            </c:numRef>
          </c:yVal>
        </c:ser>
        <c:axId val="125396480"/>
        <c:axId val="125405056"/>
      </c:scatterChart>
      <c:valAx>
        <c:axId val="125396480"/>
        <c:scaling>
          <c:orientation val="minMax"/>
          <c:max val="100"/>
          <c:min val="0"/>
        </c:scaling>
        <c:axPos val="b"/>
        <c:majorGridlines/>
        <c:numFmt formatCode="0" sourceLinked="1"/>
        <c:tickLblPos val="nextTo"/>
        <c:crossAx val="125405056"/>
        <c:crosses val="autoZero"/>
        <c:crossBetween val="midCat"/>
      </c:valAx>
      <c:valAx>
        <c:axId val="125405056"/>
        <c:scaling>
          <c:orientation val="minMax"/>
          <c:max val="100"/>
          <c:min val="0"/>
        </c:scaling>
        <c:axPos val="l"/>
        <c:majorGridlines/>
        <c:numFmt formatCode="0" sourceLinked="1"/>
        <c:tickLblPos val="nextTo"/>
        <c:crossAx val="125396480"/>
        <c:crosses val="autoZero"/>
        <c:crossBetween val="midCat"/>
      </c:valAx>
    </c:plotArea>
    <c:legend>
      <c:legendPos val="r"/>
      <c:layout/>
    </c:legend>
    <c:plotVisOnly val="1"/>
  </c:chart>
  <c:printSettings>
    <c:headerFooter/>
    <c:pageMargins b="0.75000000000000466" l="0.70000000000000062" r="0.70000000000000062" t="0.75000000000000466"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RSU-PDSR Vs.</a:t>
            </a:r>
            <a:r>
              <a:rPr lang="en-US" baseline="0"/>
              <a:t> RSS</a:t>
            </a:r>
            <a:endParaRPr lang="en-US"/>
          </a:p>
        </c:rich>
      </c:tx>
    </c:title>
    <c:plotArea>
      <c:layout>
        <c:manualLayout>
          <c:layoutTarget val="inner"/>
          <c:xMode val="edge"/>
          <c:yMode val="edge"/>
          <c:x val="5.8597133174556192E-2"/>
          <c:y val="0.19754715258321329"/>
          <c:w val="0.72493600102914491"/>
          <c:h val="0.68483949397822863"/>
        </c:manualLayout>
      </c:layout>
      <c:scatterChart>
        <c:scatterStyle val="lineMarker"/>
        <c:ser>
          <c:idx val="1"/>
          <c:order val="0"/>
          <c:tx>
            <c:v>PDSR Vs RSS</c:v>
          </c:tx>
          <c:spPr>
            <a:ln w="28575">
              <a:noFill/>
            </a:ln>
          </c:spPr>
          <c:xVal>
            <c:numRef>
              <c:f>'1OBU'!$Q$4:$Q$32</c:f>
              <c:numCache>
                <c:formatCode>General</c:formatCode>
                <c:ptCount val="29"/>
                <c:pt idx="0">
                  <c:v>-70.698144888888891</c:v>
                </c:pt>
                <c:pt idx="1">
                  <c:v>-66.322657444444459</c:v>
                </c:pt>
                <c:pt idx="2">
                  <c:v>-67.584027888888897</c:v>
                </c:pt>
                <c:pt idx="3">
                  <c:v>-68.94821455555558</c:v>
                </c:pt>
                <c:pt idx="4">
                  <c:v>-65.717193666666674</c:v>
                </c:pt>
                <c:pt idx="5">
                  <c:v>-69.12537288888889</c:v>
                </c:pt>
                <c:pt idx="6">
                  <c:v>-62.519155333333337</c:v>
                </c:pt>
                <c:pt idx="7">
                  <c:v>-64.157163666666676</c:v>
                </c:pt>
                <c:pt idx="8">
                  <c:v>-68.123937666666677</c:v>
                </c:pt>
                <c:pt idx="9">
                  <c:v>-64.352737888888882</c:v>
                </c:pt>
                <c:pt idx="10">
                  <c:v>-67.760732000000004</c:v>
                </c:pt>
                <c:pt idx="11">
                  <c:v>-62.648141111111109</c:v>
                </c:pt>
                <c:pt idx="12">
                  <c:v>-66.085543888888878</c:v>
                </c:pt>
                <c:pt idx="13">
                  <c:v>-67.503685666666655</c:v>
                </c:pt>
                <c:pt idx="14">
                  <c:v>-66.732119666666648</c:v>
                </c:pt>
                <c:pt idx="15">
                  <c:v>-70.06494466666669</c:v>
                </c:pt>
                <c:pt idx="16">
                  <c:v>-69.00393055555557</c:v>
                </c:pt>
                <c:pt idx="17">
                  <c:v>-71.837233888888889</c:v>
                </c:pt>
                <c:pt idx="18">
                  <c:v>-71.955864777777776</c:v>
                </c:pt>
                <c:pt idx="19">
                  <c:v>-70.595416000000014</c:v>
                </c:pt>
                <c:pt idx="20">
                  <c:v>-73.593758666666673</c:v>
                </c:pt>
                <c:pt idx="21">
                  <c:v>-73.045472666666669</c:v>
                </c:pt>
                <c:pt idx="22">
                  <c:v>-71.088061888888888</c:v>
                </c:pt>
                <c:pt idx="23">
                  <c:v>-71.429020888888886</c:v>
                </c:pt>
                <c:pt idx="24">
                  <c:v>-69.02309133333334</c:v>
                </c:pt>
                <c:pt idx="25">
                  <c:v>-73.130532888888908</c:v>
                </c:pt>
                <c:pt idx="26">
                  <c:v>-75.677282333333338</c:v>
                </c:pt>
                <c:pt idx="27">
                  <c:v>-69.646982444444447</c:v>
                </c:pt>
                <c:pt idx="28">
                  <c:v>-70.193410777777771</c:v>
                </c:pt>
              </c:numCache>
            </c:numRef>
          </c:xVal>
          <c:yVal>
            <c:numRef>
              <c:f>'1OBU'!$G$4:$G$32</c:f>
              <c:numCache>
                <c:formatCode>0</c:formatCode>
                <c:ptCount val="29"/>
                <c:pt idx="0">
                  <c:v>100</c:v>
                </c:pt>
                <c:pt idx="1">
                  <c:v>100</c:v>
                </c:pt>
                <c:pt idx="2">
                  <c:v>100</c:v>
                </c:pt>
                <c:pt idx="3">
                  <c:v>100</c:v>
                </c:pt>
                <c:pt idx="4">
                  <c:v>100</c:v>
                </c:pt>
                <c:pt idx="5">
                  <c:v>100</c:v>
                </c:pt>
                <c:pt idx="6">
                  <c:v>100</c:v>
                </c:pt>
                <c:pt idx="7">
                  <c:v>100</c:v>
                </c:pt>
                <c:pt idx="8">
                  <c:v>90</c:v>
                </c:pt>
                <c:pt idx="9">
                  <c:v>100</c:v>
                </c:pt>
                <c:pt idx="10">
                  <c:v>95</c:v>
                </c:pt>
                <c:pt idx="11">
                  <c:v>100</c:v>
                </c:pt>
                <c:pt idx="12">
                  <c:v>100</c:v>
                </c:pt>
                <c:pt idx="13">
                  <c:v>100</c:v>
                </c:pt>
                <c:pt idx="14">
                  <c:v>90</c:v>
                </c:pt>
                <c:pt idx="15">
                  <c:v>90</c:v>
                </c:pt>
                <c:pt idx="16">
                  <c:v>95</c:v>
                </c:pt>
                <c:pt idx="17">
                  <c:v>100</c:v>
                </c:pt>
                <c:pt idx="18">
                  <c:v>100</c:v>
                </c:pt>
                <c:pt idx="19">
                  <c:v>95</c:v>
                </c:pt>
                <c:pt idx="20">
                  <c:v>95</c:v>
                </c:pt>
                <c:pt idx="21">
                  <c:v>90</c:v>
                </c:pt>
                <c:pt idx="22">
                  <c:v>100</c:v>
                </c:pt>
                <c:pt idx="23">
                  <c:v>89.444444444444443</c:v>
                </c:pt>
                <c:pt idx="24">
                  <c:v>85</c:v>
                </c:pt>
                <c:pt idx="25">
                  <c:v>95</c:v>
                </c:pt>
                <c:pt idx="26">
                  <c:v>100</c:v>
                </c:pt>
                <c:pt idx="27">
                  <c:v>100</c:v>
                </c:pt>
                <c:pt idx="28">
                  <c:v>100</c:v>
                </c:pt>
              </c:numCache>
            </c:numRef>
          </c:yVal>
        </c:ser>
        <c:axId val="125430016"/>
        <c:axId val="125447168"/>
      </c:scatterChart>
      <c:valAx>
        <c:axId val="125430016"/>
        <c:scaling>
          <c:orientation val="maxMin"/>
          <c:max val="-40"/>
          <c:min val="-100"/>
        </c:scaling>
        <c:axPos val="b"/>
        <c:majorGridlines/>
        <c:numFmt formatCode="General" sourceLinked="1"/>
        <c:tickLblPos val="nextTo"/>
        <c:crossAx val="125447168"/>
        <c:crosses val="autoZero"/>
        <c:crossBetween val="midCat"/>
      </c:valAx>
      <c:valAx>
        <c:axId val="125447168"/>
        <c:scaling>
          <c:orientation val="minMax"/>
          <c:max val="100"/>
          <c:min val="0"/>
        </c:scaling>
        <c:axPos val="r"/>
        <c:majorGridlines/>
        <c:numFmt formatCode="0" sourceLinked="1"/>
        <c:tickLblPos val="high"/>
        <c:crossAx val="125430016"/>
        <c:crosses val="autoZero"/>
        <c:crossBetween val="midCat"/>
      </c:valAx>
    </c:plotArea>
    <c:legend>
      <c:legendPos val="r"/>
    </c:legend>
    <c:plotVisOnly val="1"/>
  </c:chart>
  <c:printSettings>
    <c:headerFooter/>
    <c:pageMargins b="0.75000000000000466" l="0.70000000000000062" r="0.70000000000000062" t="0.75000000000000466"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RSU- RSS over Time</a:t>
            </a:r>
          </a:p>
        </c:rich>
      </c:tx>
    </c:title>
    <c:plotArea>
      <c:layout>
        <c:manualLayout>
          <c:layoutTarget val="inner"/>
          <c:xMode val="edge"/>
          <c:yMode val="edge"/>
          <c:x val="4.7443609022556434E-2"/>
          <c:y val="0.19480351414406533"/>
          <c:w val="0.7764934598951978"/>
          <c:h val="0.68921660834062359"/>
        </c:manualLayout>
      </c:layout>
      <c:scatterChart>
        <c:scatterStyle val="lineMarker"/>
        <c:ser>
          <c:idx val="0"/>
          <c:order val="0"/>
          <c:tx>
            <c:v>RSU- RSS</c:v>
          </c:tx>
          <c:spPr>
            <a:ln w="28575">
              <a:noFill/>
            </a:ln>
          </c:spPr>
          <c:xVal>
            <c:numRef>
              <c:f>'100OBU'!$A$3:$A$32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'1OBU'!$Q$3:$Q$32</c:f>
              <c:numCache>
                <c:formatCode>General</c:formatCode>
                <c:ptCount val="30"/>
                <c:pt idx="0">
                  <c:v>0</c:v>
                </c:pt>
                <c:pt idx="1">
                  <c:v>-70.698144888888891</c:v>
                </c:pt>
                <c:pt idx="2">
                  <c:v>-66.322657444444459</c:v>
                </c:pt>
                <c:pt idx="3">
                  <c:v>-67.584027888888897</c:v>
                </c:pt>
                <c:pt idx="4">
                  <c:v>-68.94821455555558</c:v>
                </c:pt>
                <c:pt idx="5">
                  <c:v>-65.717193666666674</c:v>
                </c:pt>
                <c:pt idx="6">
                  <c:v>-69.12537288888889</c:v>
                </c:pt>
                <c:pt idx="7">
                  <c:v>-62.519155333333337</c:v>
                </c:pt>
                <c:pt idx="8">
                  <c:v>-64.157163666666676</c:v>
                </c:pt>
                <c:pt idx="9">
                  <c:v>-68.123937666666677</c:v>
                </c:pt>
                <c:pt idx="10">
                  <c:v>-64.352737888888882</c:v>
                </c:pt>
                <c:pt idx="11">
                  <c:v>-67.760732000000004</c:v>
                </c:pt>
                <c:pt idx="12">
                  <c:v>-62.648141111111109</c:v>
                </c:pt>
                <c:pt idx="13">
                  <c:v>-66.085543888888878</c:v>
                </c:pt>
                <c:pt idx="14">
                  <c:v>-67.503685666666655</c:v>
                </c:pt>
                <c:pt idx="15">
                  <c:v>-66.732119666666648</c:v>
                </c:pt>
                <c:pt idx="16">
                  <c:v>-70.06494466666669</c:v>
                </c:pt>
                <c:pt idx="17">
                  <c:v>-69.00393055555557</c:v>
                </c:pt>
                <c:pt idx="18">
                  <c:v>-71.837233888888889</c:v>
                </c:pt>
                <c:pt idx="19">
                  <c:v>-71.955864777777776</c:v>
                </c:pt>
                <c:pt idx="20">
                  <c:v>-70.595416000000014</c:v>
                </c:pt>
                <c:pt idx="21">
                  <c:v>-73.593758666666673</c:v>
                </c:pt>
                <c:pt idx="22">
                  <c:v>-73.045472666666669</c:v>
                </c:pt>
                <c:pt idx="23">
                  <c:v>-71.088061888888888</c:v>
                </c:pt>
                <c:pt idx="24">
                  <c:v>-71.429020888888886</c:v>
                </c:pt>
                <c:pt idx="25">
                  <c:v>-69.02309133333334</c:v>
                </c:pt>
                <c:pt idx="26">
                  <c:v>-73.130532888888908</c:v>
                </c:pt>
                <c:pt idx="27">
                  <c:v>-75.677282333333338</c:v>
                </c:pt>
                <c:pt idx="28">
                  <c:v>-69.646982444444447</c:v>
                </c:pt>
                <c:pt idx="29">
                  <c:v>-70.193410777777771</c:v>
                </c:pt>
              </c:numCache>
            </c:numRef>
          </c:yVal>
        </c:ser>
        <c:axId val="125464576"/>
        <c:axId val="125497344"/>
      </c:scatterChart>
      <c:valAx>
        <c:axId val="125464576"/>
        <c:scaling>
          <c:orientation val="minMax"/>
        </c:scaling>
        <c:axPos val="b"/>
        <c:majorGridlines/>
        <c:numFmt formatCode="0" sourceLinked="0"/>
        <c:tickLblPos val="low"/>
        <c:crossAx val="125497344"/>
        <c:crosses val="autoZero"/>
        <c:crossBetween val="midCat"/>
      </c:valAx>
      <c:valAx>
        <c:axId val="125497344"/>
        <c:scaling>
          <c:orientation val="minMax"/>
        </c:scaling>
        <c:axPos val="l"/>
        <c:majorGridlines/>
        <c:numFmt formatCode="General" sourceLinked="1"/>
        <c:tickLblPos val="low"/>
        <c:crossAx val="125464576"/>
        <c:crosses val="autoZero"/>
        <c:crossBetween val="midCat"/>
      </c:valAx>
    </c:plotArea>
    <c:legend>
      <c:legendPos val="r"/>
    </c:legend>
    <c:plotVisOnly val="1"/>
  </c:chart>
  <c:printSettings>
    <c:headerFooter/>
    <c:pageMargins b="0.75000000000000777" l="0.70000000000000062" r="0.70000000000000062" t="0.75000000000000777"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 Id="rId9" Type="http://schemas.openxmlformats.org/officeDocument/2006/relationships/chart" Target="../charts/chart27.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 Id="rId9" Type="http://schemas.openxmlformats.org/officeDocument/2006/relationships/chart" Target="../charts/chart36.xml"/></Relationships>
</file>

<file path=xl/drawings/_rels/drawing39.xml.rels><?xml version="1.0" encoding="UTF-8" standalone="yes"?>
<Relationships xmlns="http://schemas.openxmlformats.org/package/2006/relationships"><Relationship Id="rId8" Type="http://schemas.openxmlformats.org/officeDocument/2006/relationships/chart" Target="../charts/chart44.xml"/><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 Id="rId9" Type="http://schemas.openxmlformats.org/officeDocument/2006/relationships/chart" Target="../charts/chart45.xml"/></Relationships>
</file>

<file path=xl/drawings/_rels/drawing48.xml.rels><?xml version="1.0" encoding="UTF-8" standalone="yes"?>
<Relationships xmlns="http://schemas.openxmlformats.org/package/2006/relationships"><Relationship Id="rId8" Type="http://schemas.openxmlformats.org/officeDocument/2006/relationships/chart" Target="../charts/chart53.xml"/><Relationship Id="rId3" Type="http://schemas.openxmlformats.org/officeDocument/2006/relationships/chart" Target="../charts/chart48.xml"/><Relationship Id="rId7" Type="http://schemas.openxmlformats.org/officeDocument/2006/relationships/chart" Target="../charts/chart52.xml"/><Relationship Id="rId2" Type="http://schemas.openxmlformats.org/officeDocument/2006/relationships/chart" Target="../charts/chart47.xml"/><Relationship Id="rId1" Type="http://schemas.openxmlformats.org/officeDocument/2006/relationships/chart" Target="../charts/chart46.xml"/><Relationship Id="rId6" Type="http://schemas.openxmlformats.org/officeDocument/2006/relationships/chart" Target="../charts/chart51.xml"/><Relationship Id="rId5" Type="http://schemas.openxmlformats.org/officeDocument/2006/relationships/chart" Target="../charts/chart50.xml"/><Relationship Id="rId4" Type="http://schemas.openxmlformats.org/officeDocument/2006/relationships/chart" Target="../charts/chart49.xml"/><Relationship Id="rId9" Type="http://schemas.openxmlformats.org/officeDocument/2006/relationships/chart" Target="../charts/chart54.xml"/></Relationships>
</file>

<file path=xl/drawings/_rels/drawing57.xml.rels><?xml version="1.0" encoding="UTF-8" standalone="yes"?>
<Relationships xmlns="http://schemas.openxmlformats.org/package/2006/relationships"><Relationship Id="rId8" Type="http://schemas.openxmlformats.org/officeDocument/2006/relationships/chart" Target="../charts/chart62.xml"/><Relationship Id="rId3" Type="http://schemas.openxmlformats.org/officeDocument/2006/relationships/chart" Target="../charts/chart57.xml"/><Relationship Id="rId7" Type="http://schemas.openxmlformats.org/officeDocument/2006/relationships/chart" Target="../charts/chart61.xml"/><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4" Type="http://schemas.openxmlformats.org/officeDocument/2006/relationships/chart" Target="../charts/chart58.xml"/><Relationship Id="rId9" Type="http://schemas.openxmlformats.org/officeDocument/2006/relationships/chart" Target="../charts/chart63.xml"/></Relationships>
</file>

<file path=xl/drawings/drawing1.xml><?xml version="1.0" encoding="utf-8"?>
<xdr:wsDr xmlns:xdr="http://schemas.openxmlformats.org/drawingml/2006/spreadsheetDrawing" xmlns:a="http://schemas.openxmlformats.org/drawingml/2006/main">
  <xdr:twoCellAnchor>
    <xdr:from>
      <xdr:col>0</xdr:col>
      <xdr:colOff>657225</xdr:colOff>
      <xdr:row>33</xdr:row>
      <xdr:rowOff>28575</xdr:rowOff>
    </xdr:from>
    <xdr:to>
      <xdr:col>5</xdr:col>
      <xdr:colOff>428625</xdr:colOff>
      <xdr:row>47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33</xdr:row>
      <xdr:rowOff>0</xdr:rowOff>
    </xdr:from>
    <xdr:to>
      <xdr:col>10</xdr:col>
      <xdr:colOff>381000</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33</xdr:row>
      <xdr:rowOff>0</xdr:rowOff>
    </xdr:from>
    <xdr:to>
      <xdr:col>15</xdr:col>
      <xdr:colOff>762000</xdr:colOff>
      <xdr:row>47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33</xdr:row>
      <xdr:rowOff>0</xdr:rowOff>
    </xdr:from>
    <xdr:to>
      <xdr:col>20</xdr:col>
      <xdr:colOff>819150</xdr:colOff>
      <xdr:row>47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657225</xdr:colOff>
      <xdr:row>50</xdr:row>
      <xdr:rowOff>9525</xdr:rowOff>
    </xdr:from>
    <xdr:to>
      <xdr:col>5</xdr:col>
      <xdr:colOff>428625</xdr:colOff>
      <xdr:row>64</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50</xdr:row>
      <xdr:rowOff>0</xdr:rowOff>
    </xdr:from>
    <xdr:to>
      <xdr:col>10</xdr:col>
      <xdr:colOff>419100</xdr:colOff>
      <xdr:row>64</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50</xdr:row>
      <xdr:rowOff>0</xdr:rowOff>
    </xdr:from>
    <xdr:to>
      <xdr:col>15</xdr:col>
      <xdr:colOff>762000</xdr:colOff>
      <xdr:row>64</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49</xdr:row>
      <xdr:rowOff>190499</xdr:rowOff>
    </xdr:from>
    <xdr:to>
      <xdr:col>20</xdr:col>
      <xdr:colOff>866776</xdr:colOff>
      <xdr:row>64</xdr:row>
      <xdr:rowOff>38100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0</xdr:colOff>
      <xdr:row>50</xdr:row>
      <xdr:rowOff>0</xdr:rowOff>
    </xdr:from>
    <xdr:to>
      <xdr:col>25</xdr:col>
      <xdr:colOff>847725</xdr:colOff>
      <xdr:row>64</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0.85633</cdr:x>
      <cdr:y>0.86805</cdr:y>
    </cdr:from>
    <cdr:to>
      <cdr:x>1</cdr:x>
      <cdr:y>0.96528</cdr:y>
    </cdr:to>
    <cdr:sp macro="" textlink="">
      <cdr:nvSpPr>
        <cdr:cNvPr id="2" name="TextBox 9"/>
        <cdr:cNvSpPr txBox="1"/>
      </cdr:nvSpPr>
      <cdr:spPr>
        <a:xfrm xmlns:a="http://schemas.openxmlformats.org/drawingml/2006/main">
          <a:off x="4314825" y="2381241"/>
          <a:ext cx="723900" cy="266721"/>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Time in Sec</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0</xdr:colOff>
      <xdr:row>34</xdr:row>
      <xdr:rowOff>28575</xdr:rowOff>
    </xdr:from>
    <xdr:to>
      <xdr:col>5</xdr:col>
      <xdr:colOff>95250</xdr:colOff>
      <xdr:row>48</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714375</xdr:colOff>
      <xdr:row>34</xdr:row>
      <xdr:rowOff>0</xdr:rowOff>
    </xdr:from>
    <xdr:to>
      <xdr:col>9</xdr:col>
      <xdr:colOff>742950</xdr:colOff>
      <xdr:row>48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371475</xdr:colOff>
      <xdr:row>34</xdr:row>
      <xdr:rowOff>0</xdr:rowOff>
    </xdr:from>
    <xdr:to>
      <xdr:col>15</xdr:col>
      <xdr:colOff>85725</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381000</xdr:colOff>
      <xdr:row>34</xdr:row>
      <xdr:rowOff>9525</xdr:rowOff>
    </xdr:from>
    <xdr:to>
      <xdr:col>20</xdr:col>
      <xdr:colOff>209550</xdr:colOff>
      <xdr:row>48</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51</xdr:row>
      <xdr:rowOff>9525</xdr:rowOff>
    </xdr:from>
    <xdr:to>
      <xdr:col>5</xdr:col>
      <xdr:colOff>95250</xdr:colOff>
      <xdr:row>65</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704850</xdr:colOff>
      <xdr:row>51</xdr:row>
      <xdr:rowOff>0</xdr:rowOff>
    </xdr:from>
    <xdr:to>
      <xdr:col>9</xdr:col>
      <xdr:colOff>771525</xdr:colOff>
      <xdr:row>65</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361950</xdr:colOff>
      <xdr:row>51</xdr:row>
      <xdr:rowOff>0</xdr:rowOff>
    </xdr:from>
    <xdr:to>
      <xdr:col>15</xdr:col>
      <xdr:colOff>76200</xdr:colOff>
      <xdr:row>65</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361950</xdr:colOff>
      <xdr:row>51</xdr:row>
      <xdr:rowOff>0</xdr:rowOff>
    </xdr:from>
    <xdr:to>
      <xdr:col>20</xdr:col>
      <xdr:colOff>190500</xdr:colOff>
      <xdr:row>65</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0</xdr:colOff>
      <xdr:row>51</xdr:row>
      <xdr:rowOff>0</xdr:rowOff>
    </xdr:from>
    <xdr:to>
      <xdr:col>25</xdr:col>
      <xdr:colOff>847725</xdr:colOff>
      <xdr:row>65</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0.79796</cdr:x>
      <cdr:y>0.88889</cdr:y>
    </cdr:from>
    <cdr:to>
      <cdr:x>0.98776</cdr:x>
      <cdr:y>0.98611</cdr:y>
    </cdr:to>
    <cdr:sp macro="" textlink="">
      <cdr:nvSpPr>
        <cdr:cNvPr id="2" name="TextBox 9"/>
        <cdr:cNvSpPr txBox="1"/>
      </cdr:nvSpPr>
      <cdr:spPr>
        <a:xfrm xmlns:a="http://schemas.openxmlformats.org/drawingml/2006/main">
          <a:off x="3724275" y="243840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13.xml><?xml version="1.0" encoding="utf-8"?>
<c:userShapes xmlns:c="http://schemas.openxmlformats.org/drawingml/2006/chart">
  <cdr:relSizeAnchor xmlns:cdr="http://schemas.openxmlformats.org/drawingml/2006/chartDrawing">
    <cdr:from>
      <cdr:x>0.80625</cdr:x>
      <cdr:y>0.89583</cdr:y>
    </cdr:from>
    <cdr:to>
      <cdr:x>1</cdr:x>
      <cdr:y>0.99306</cdr:y>
    </cdr:to>
    <cdr:sp macro="" textlink="">
      <cdr:nvSpPr>
        <cdr:cNvPr id="2" name="TextBox 9"/>
        <cdr:cNvSpPr txBox="1"/>
      </cdr:nvSpPr>
      <cdr:spPr>
        <a:xfrm xmlns:a="http://schemas.openxmlformats.org/drawingml/2006/main">
          <a:off x="3686175" y="24574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SNR</a:t>
          </a:r>
        </a:p>
      </cdr:txBody>
    </cdr:sp>
  </cdr:relSizeAnchor>
</c:userShapes>
</file>

<file path=xl/drawings/drawing14.xml><?xml version="1.0" encoding="utf-8"?>
<c:userShapes xmlns:c="http://schemas.openxmlformats.org/drawingml/2006/chart">
  <cdr:relSizeAnchor xmlns:cdr="http://schemas.openxmlformats.org/drawingml/2006/chartDrawing">
    <cdr:from>
      <cdr:x>0.80769</cdr:x>
      <cdr:y>0.88889</cdr:y>
    </cdr:from>
    <cdr:to>
      <cdr:x>0.98654</cdr:x>
      <cdr:y>0.98611</cdr:y>
    </cdr:to>
    <cdr:sp macro="" textlink="">
      <cdr:nvSpPr>
        <cdr:cNvPr id="2" name="TextBox 9"/>
        <cdr:cNvSpPr txBox="1"/>
      </cdr:nvSpPr>
      <cdr:spPr>
        <a:xfrm xmlns:a="http://schemas.openxmlformats.org/drawingml/2006/main">
          <a:off x="4000500" y="243840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PSR</a:t>
          </a:r>
        </a:p>
      </cdr:txBody>
    </cdr:sp>
  </cdr:relSizeAnchor>
</c:userShapes>
</file>

<file path=xl/drawings/drawing15.xml><?xml version="1.0" encoding="utf-8"?>
<c:userShapes xmlns:c="http://schemas.openxmlformats.org/drawingml/2006/chart">
  <cdr:relSizeAnchor xmlns:cdr="http://schemas.openxmlformats.org/drawingml/2006/chartDrawing">
    <cdr:from>
      <cdr:x>0.81767</cdr:x>
      <cdr:y>0.88194</cdr:y>
    </cdr:from>
    <cdr:to>
      <cdr:x>0.99248</cdr:x>
      <cdr:y>0.97917</cdr:y>
    </cdr:to>
    <cdr:sp macro="" textlink="">
      <cdr:nvSpPr>
        <cdr:cNvPr id="2" name="TextBox 9"/>
        <cdr:cNvSpPr txBox="1"/>
      </cdr:nvSpPr>
      <cdr:spPr>
        <a:xfrm xmlns:a="http://schemas.openxmlformats.org/drawingml/2006/main">
          <a:off x="4143375" y="24193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16.xml><?xml version="1.0" encoding="utf-8"?>
<c:userShapes xmlns:c="http://schemas.openxmlformats.org/drawingml/2006/chart">
  <cdr:relSizeAnchor xmlns:cdr="http://schemas.openxmlformats.org/drawingml/2006/chartDrawing">
    <cdr:from>
      <cdr:x>0.80612</cdr:x>
      <cdr:y>0.85763</cdr:y>
    </cdr:from>
    <cdr:to>
      <cdr:x>0.99591</cdr:x>
      <cdr:y>0.95486</cdr:y>
    </cdr:to>
    <cdr:sp macro="" textlink="">
      <cdr:nvSpPr>
        <cdr:cNvPr id="2" name="TextBox 9"/>
        <cdr:cNvSpPr txBox="1"/>
      </cdr:nvSpPr>
      <cdr:spPr>
        <a:xfrm xmlns:a="http://schemas.openxmlformats.org/drawingml/2006/main">
          <a:off x="3762386" y="2352663"/>
          <a:ext cx="885798" cy="266721"/>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17.xml><?xml version="1.0" encoding="utf-8"?>
<c:userShapes xmlns:c="http://schemas.openxmlformats.org/drawingml/2006/chart">
  <cdr:relSizeAnchor xmlns:cdr="http://schemas.openxmlformats.org/drawingml/2006/chartDrawing">
    <cdr:from>
      <cdr:x>0.80372</cdr:x>
      <cdr:y>0.88889</cdr:y>
    </cdr:from>
    <cdr:to>
      <cdr:x>0.99587</cdr:x>
      <cdr:y>0.98611</cdr:y>
    </cdr:to>
    <cdr:sp macro="" textlink="">
      <cdr:nvSpPr>
        <cdr:cNvPr id="2" name="TextBox 9"/>
        <cdr:cNvSpPr txBox="1"/>
      </cdr:nvSpPr>
      <cdr:spPr>
        <a:xfrm xmlns:a="http://schemas.openxmlformats.org/drawingml/2006/main">
          <a:off x="3705225" y="243840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SNR</a:t>
          </a:r>
        </a:p>
      </cdr:txBody>
    </cdr:sp>
  </cdr:relSizeAnchor>
</c:userShapes>
</file>

<file path=xl/drawings/drawing18.xml><?xml version="1.0" encoding="utf-8"?>
<c:userShapes xmlns:c="http://schemas.openxmlformats.org/drawingml/2006/chart">
  <cdr:relSizeAnchor xmlns:cdr="http://schemas.openxmlformats.org/drawingml/2006/chartDrawing">
    <cdr:from>
      <cdr:x>0.80192</cdr:x>
      <cdr:y>0.88194</cdr:y>
    </cdr:from>
    <cdr:to>
      <cdr:x>0.98077</cdr:x>
      <cdr:y>0.97917</cdr:y>
    </cdr:to>
    <cdr:sp macro="" textlink="">
      <cdr:nvSpPr>
        <cdr:cNvPr id="2" name="TextBox 9"/>
        <cdr:cNvSpPr txBox="1"/>
      </cdr:nvSpPr>
      <cdr:spPr>
        <a:xfrm xmlns:a="http://schemas.openxmlformats.org/drawingml/2006/main">
          <a:off x="3971925" y="24193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PSR</a:t>
          </a:r>
        </a:p>
      </cdr:txBody>
    </cdr:sp>
  </cdr:relSizeAnchor>
</c:userShapes>
</file>

<file path=xl/drawings/drawing19.xml><?xml version="1.0" encoding="utf-8"?>
<c:userShapes xmlns:c="http://schemas.openxmlformats.org/drawingml/2006/chart">
  <cdr:relSizeAnchor xmlns:cdr="http://schemas.openxmlformats.org/drawingml/2006/chartDrawing">
    <cdr:from>
      <cdr:x>0.81203</cdr:x>
      <cdr:y>0.88542</cdr:y>
    </cdr:from>
    <cdr:to>
      <cdr:x>0.98684</cdr:x>
      <cdr:y>0.98264</cdr:y>
    </cdr:to>
    <cdr:sp macro="" textlink="">
      <cdr:nvSpPr>
        <cdr:cNvPr id="2" name="TextBox 9"/>
        <cdr:cNvSpPr txBox="1"/>
      </cdr:nvSpPr>
      <cdr:spPr>
        <a:xfrm xmlns:a="http://schemas.openxmlformats.org/drawingml/2006/main">
          <a:off x="4114800" y="242887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2.xml><?xml version="1.0" encoding="utf-8"?>
<c:userShapes xmlns:c="http://schemas.openxmlformats.org/drawingml/2006/chart">
  <cdr:relSizeAnchor xmlns:cdr="http://schemas.openxmlformats.org/drawingml/2006/chartDrawing">
    <cdr:from>
      <cdr:x>0.79796</cdr:x>
      <cdr:y>0.89583</cdr:y>
    </cdr:from>
    <cdr:to>
      <cdr:x>0.98776</cdr:x>
      <cdr:y>0.99306</cdr:y>
    </cdr:to>
    <cdr:sp macro="" textlink="">
      <cdr:nvSpPr>
        <cdr:cNvPr id="2" name="TextBox 9"/>
        <cdr:cNvSpPr txBox="1"/>
      </cdr:nvSpPr>
      <cdr:spPr>
        <a:xfrm xmlns:a="http://schemas.openxmlformats.org/drawingml/2006/main">
          <a:off x="3724275" y="24574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20.xml><?xml version="1.0" encoding="utf-8"?>
<c:userShapes xmlns:c="http://schemas.openxmlformats.org/drawingml/2006/chart">
  <cdr:relSizeAnchor xmlns:cdr="http://schemas.openxmlformats.org/drawingml/2006/chartDrawing">
    <cdr:from>
      <cdr:x>0.85633</cdr:x>
      <cdr:y>0.86805</cdr:y>
    </cdr:from>
    <cdr:to>
      <cdr:x>1</cdr:x>
      <cdr:y>0.96528</cdr:y>
    </cdr:to>
    <cdr:sp macro="" textlink="">
      <cdr:nvSpPr>
        <cdr:cNvPr id="2" name="TextBox 9"/>
        <cdr:cNvSpPr txBox="1"/>
      </cdr:nvSpPr>
      <cdr:spPr>
        <a:xfrm xmlns:a="http://schemas.openxmlformats.org/drawingml/2006/main">
          <a:off x="4314825" y="2381241"/>
          <a:ext cx="723900" cy="266721"/>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Time in Sec</a:t>
          </a:r>
        </a:p>
      </cdr:txBody>
    </cdr:sp>
  </cdr:relSizeAnchor>
</c:userShapes>
</file>

<file path=xl/drawings/drawing21.xml><?xml version="1.0" encoding="utf-8"?>
<xdr:wsDr xmlns:xdr="http://schemas.openxmlformats.org/drawingml/2006/spreadsheetDrawing" xmlns:a="http://schemas.openxmlformats.org/drawingml/2006/main">
  <xdr:twoCellAnchor>
    <xdr:from>
      <xdr:col>1</xdr:col>
      <xdr:colOff>0</xdr:colOff>
      <xdr:row>33</xdr:row>
      <xdr:rowOff>28575</xdr:rowOff>
    </xdr:from>
    <xdr:to>
      <xdr:col>5</xdr:col>
      <xdr:colOff>476250</xdr:colOff>
      <xdr:row>47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33</xdr:row>
      <xdr:rowOff>9525</xdr:rowOff>
    </xdr:from>
    <xdr:to>
      <xdr:col>10</xdr:col>
      <xdr:colOff>428625</xdr:colOff>
      <xdr:row>47</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33</xdr:row>
      <xdr:rowOff>0</xdr:rowOff>
    </xdr:from>
    <xdr:to>
      <xdr:col>15</xdr:col>
      <xdr:colOff>809625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32</xdr:row>
      <xdr:rowOff>171450</xdr:rowOff>
    </xdr:from>
    <xdr:to>
      <xdr:col>20</xdr:col>
      <xdr:colOff>904875</xdr:colOff>
      <xdr:row>47</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50</xdr:row>
      <xdr:rowOff>9525</xdr:rowOff>
    </xdr:from>
    <xdr:to>
      <xdr:col>5</xdr:col>
      <xdr:colOff>476250</xdr:colOff>
      <xdr:row>64</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47625</xdr:colOff>
      <xdr:row>50</xdr:row>
      <xdr:rowOff>0</xdr:rowOff>
    </xdr:from>
    <xdr:to>
      <xdr:col>10</xdr:col>
      <xdr:colOff>466725</xdr:colOff>
      <xdr:row>64</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47625</xdr:colOff>
      <xdr:row>50</xdr:row>
      <xdr:rowOff>0</xdr:rowOff>
    </xdr:from>
    <xdr:to>
      <xdr:col>15</xdr:col>
      <xdr:colOff>809625</xdr:colOff>
      <xdr:row>64</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28575</xdr:colOff>
      <xdr:row>49</xdr:row>
      <xdr:rowOff>171450</xdr:rowOff>
    </xdr:from>
    <xdr:to>
      <xdr:col>20</xdr:col>
      <xdr:colOff>904875</xdr:colOff>
      <xdr:row>64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619125</xdr:colOff>
      <xdr:row>62</xdr:row>
      <xdr:rowOff>161925</xdr:rowOff>
    </xdr:from>
    <xdr:to>
      <xdr:col>5</xdr:col>
      <xdr:colOff>457200</xdr:colOff>
      <xdr:row>64</xdr:row>
      <xdr:rowOff>47625</xdr:rowOff>
    </xdr:to>
    <xdr:sp macro="" textlink="">
      <xdr:nvSpPr>
        <xdr:cNvPr id="10" name="TextBox 9"/>
        <xdr:cNvSpPr txBox="1"/>
      </xdr:nvSpPr>
      <xdr:spPr>
        <a:xfrm>
          <a:off x="4143375" y="12363450"/>
          <a:ext cx="8858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800"/>
            <a:t>Received power</a:t>
          </a:r>
        </a:p>
      </xdr:txBody>
    </xdr:sp>
    <xdr:clientData/>
  </xdr:twoCellAnchor>
  <xdr:twoCellAnchor>
    <xdr:from>
      <xdr:col>21</xdr:col>
      <xdr:colOff>0</xdr:colOff>
      <xdr:row>50</xdr:row>
      <xdr:rowOff>0</xdr:rowOff>
    </xdr:from>
    <xdr:to>
      <xdr:col>25</xdr:col>
      <xdr:colOff>847725</xdr:colOff>
      <xdr:row>64</xdr:row>
      <xdr:rowOff>76200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0.80408</cdr:x>
      <cdr:y>0.89236</cdr:y>
    </cdr:from>
    <cdr:to>
      <cdr:x>0.99388</cdr:x>
      <cdr:y>0.98958</cdr:y>
    </cdr:to>
    <cdr:sp macro="" textlink="">
      <cdr:nvSpPr>
        <cdr:cNvPr id="2" name="TextBox 9"/>
        <cdr:cNvSpPr txBox="1"/>
      </cdr:nvSpPr>
      <cdr:spPr>
        <a:xfrm xmlns:a="http://schemas.openxmlformats.org/drawingml/2006/main">
          <a:off x="37528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23.xml><?xml version="1.0" encoding="utf-8"?>
<c:userShapes xmlns:c="http://schemas.openxmlformats.org/drawingml/2006/chart">
  <cdr:relSizeAnchor xmlns:cdr="http://schemas.openxmlformats.org/drawingml/2006/chartDrawing">
    <cdr:from>
      <cdr:x>0.7875</cdr:x>
      <cdr:y>0.87847</cdr:y>
    </cdr:from>
    <cdr:to>
      <cdr:x>0.98125</cdr:x>
      <cdr:y>0.97569</cdr:y>
    </cdr:to>
    <cdr:sp macro="" textlink="">
      <cdr:nvSpPr>
        <cdr:cNvPr id="3" name="TextBox 9"/>
        <cdr:cNvSpPr txBox="1"/>
      </cdr:nvSpPr>
      <cdr:spPr>
        <a:xfrm xmlns:a="http://schemas.openxmlformats.org/drawingml/2006/main">
          <a:off x="3600450" y="24098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24.xml><?xml version="1.0" encoding="utf-8"?>
<c:userShapes xmlns:c="http://schemas.openxmlformats.org/drawingml/2006/chart">
  <cdr:relSizeAnchor xmlns:cdr="http://schemas.openxmlformats.org/drawingml/2006/chartDrawing">
    <cdr:from>
      <cdr:x>0.81154</cdr:x>
      <cdr:y>0.89236</cdr:y>
    </cdr:from>
    <cdr:to>
      <cdr:x>0.99038</cdr:x>
      <cdr:y>0.98958</cdr:y>
    </cdr:to>
    <cdr:sp macro="" textlink="">
      <cdr:nvSpPr>
        <cdr:cNvPr id="2" name="TextBox 9"/>
        <cdr:cNvSpPr txBox="1"/>
      </cdr:nvSpPr>
      <cdr:spPr>
        <a:xfrm xmlns:a="http://schemas.openxmlformats.org/drawingml/2006/main">
          <a:off x="40195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PSR</a:t>
          </a:r>
        </a:p>
      </cdr:txBody>
    </cdr:sp>
  </cdr:relSizeAnchor>
</c:userShapes>
</file>

<file path=xl/drawings/drawing25.xml><?xml version="1.0" encoding="utf-8"?>
<c:userShapes xmlns:c="http://schemas.openxmlformats.org/drawingml/2006/chart">
  <cdr:relSizeAnchor xmlns:cdr="http://schemas.openxmlformats.org/drawingml/2006/chartDrawing">
    <cdr:from>
      <cdr:x>0.81955</cdr:x>
      <cdr:y>0.89583</cdr:y>
    </cdr:from>
    <cdr:to>
      <cdr:x>0.99436</cdr:x>
      <cdr:y>0.99306</cdr:y>
    </cdr:to>
    <cdr:sp macro="" textlink="">
      <cdr:nvSpPr>
        <cdr:cNvPr id="2" name="TextBox 9"/>
        <cdr:cNvSpPr txBox="1"/>
      </cdr:nvSpPr>
      <cdr:spPr>
        <a:xfrm xmlns:a="http://schemas.openxmlformats.org/drawingml/2006/main">
          <a:off x="4152900" y="24574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26.xml><?xml version="1.0" encoding="utf-8"?>
<c:userShapes xmlns:c="http://schemas.openxmlformats.org/drawingml/2006/chart">
  <cdr:relSizeAnchor xmlns:cdr="http://schemas.openxmlformats.org/drawingml/2006/chartDrawing">
    <cdr:from>
      <cdr:x>0.78926</cdr:x>
      <cdr:y>0.86806</cdr:y>
    </cdr:from>
    <cdr:to>
      <cdr:x>0.9814</cdr:x>
      <cdr:y>0.96528</cdr:y>
    </cdr:to>
    <cdr:sp macro="" textlink="">
      <cdr:nvSpPr>
        <cdr:cNvPr id="2" name="TextBox 9"/>
        <cdr:cNvSpPr txBox="1"/>
      </cdr:nvSpPr>
      <cdr:spPr>
        <a:xfrm xmlns:a="http://schemas.openxmlformats.org/drawingml/2006/main">
          <a:off x="3638550" y="23812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27.xml><?xml version="1.0" encoding="utf-8"?>
<c:userShapes xmlns:c="http://schemas.openxmlformats.org/drawingml/2006/chart">
  <cdr:relSizeAnchor xmlns:cdr="http://schemas.openxmlformats.org/drawingml/2006/chartDrawing">
    <cdr:from>
      <cdr:x>0.81538</cdr:x>
      <cdr:y>0.89236</cdr:y>
    </cdr:from>
    <cdr:to>
      <cdr:x>0.99423</cdr:x>
      <cdr:y>0.98958</cdr:y>
    </cdr:to>
    <cdr:sp macro="" textlink="">
      <cdr:nvSpPr>
        <cdr:cNvPr id="2" name="TextBox 9"/>
        <cdr:cNvSpPr txBox="1"/>
      </cdr:nvSpPr>
      <cdr:spPr>
        <a:xfrm xmlns:a="http://schemas.openxmlformats.org/drawingml/2006/main">
          <a:off x="403860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PSR</a:t>
          </a:r>
        </a:p>
      </cdr:txBody>
    </cdr:sp>
  </cdr:relSizeAnchor>
</c:userShapes>
</file>

<file path=xl/drawings/drawing28.xml><?xml version="1.0" encoding="utf-8"?>
<c:userShapes xmlns:c="http://schemas.openxmlformats.org/drawingml/2006/chart">
  <cdr:relSizeAnchor xmlns:cdr="http://schemas.openxmlformats.org/drawingml/2006/chartDrawing">
    <cdr:from>
      <cdr:x>0.80075</cdr:x>
      <cdr:y>0.88889</cdr:y>
    </cdr:from>
    <cdr:to>
      <cdr:x>0.97556</cdr:x>
      <cdr:y>0.98611</cdr:y>
    </cdr:to>
    <cdr:sp macro="" textlink="">
      <cdr:nvSpPr>
        <cdr:cNvPr id="2" name="TextBox 9"/>
        <cdr:cNvSpPr txBox="1"/>
      </cdr:nvSpPr>
      <cdr:spPr>
        <a:xfrm xmlns:a="http://schemas.openxmlformats.org/drawingml/2006/main">
          <a:off x="4057650" y="243840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29.xml><?xml version="1.0" encoding="utf-8"?>
<c:userShapes xmlns:c="http://schemas.openxmlformats.org/drawingml/2006/chart">
  <cdr:relSizeAnchor xmlns:cdr="http://schemas.openxmlformats.org/drawingml/2006/chartDrawing">
    <cdr:from>
      <cdr:x>0.85633</cdr:x>
      <cdr:y>0.86805</cdr:y>
    </cdr:from>
    <cdr:to>
      <cdr:x>1</cdr:x>
      <cdr:y>0.96528</cdr:y>
    </cdr:to>
    <cdr:sp macro="" textlink="">
      <cdr:nvSpPr>
        <cdr:cNvPr id="2" name="TextBox 9"/>
        <cdr:cNvSpPr txBox="1"/>
      </cdr:nvSpPr>
      <cdr:spPr>
        <a:xfrm xmlns:a="http://schemas.openxmlformats.org/drawingml/2006/main">
          <a:off x="4314825" y="2381241"/>
          <a:ext cx="723900" cy="266721"/>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Time in Sec</a:t>
          </a:r>
        </a:p>
      </cdr:txBody>
    </cdr:sp>
  </cdr:relSizeAnchor>
</c:userShapes>
</file>

<file path=xl/drawings/drawing3.xml><?xml version="1.0" encoding="utf-8"?>
<c:userShapes xmlns:c="http://schemas.openxmlformats.org/drawingml/2006/chart">
  <cdr:relSizeAnchor xmlns:cdr="http://schemas.openxmlformats.org/drawingml/2006/chartDrawing">
    <cdr:from>
      <cdr:x>0.79167</cdr:x>
      <cdr:y>0.88194</cdr:y>
    </cdr:from>
    <cdr:to>
      <cdr:x>0.98542</cdr:x>
      <cdr:y>0.97917</cdr:y>
    </cdr:to>
    <cdr:sp macro="" textlink="">
      <cdr:nvSpPr>
        <cdr:cNvPr id="2" name="TextBox 9"/>
        <cdr:cNvSpPr txBox="1"/>
      </cdr:nvSpPr>
      <cdr:spPr>
        <a:xfrm xmlns:a="http://schemas.openxmlformats.org/drawingml/2006/main">
          <a:off x="3619500" y="24193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30.xml><?xml version="1.0" encoding="utf-8"?>
<xdr:wsDr xmlns:xdr="http://schemas.openxmlformats.org/drawingml/2006/spreadsheetDrawing" xmlns:a="http://schemas.openxmlformats.org/drawingml/2006/main">
  <xdr:twoCellAnchor>
    <xdr:from>
      <xdr:col>1</xdr:col>
      <xdr:colOff>0</xdr:colOff>
      <xdr:row>33</xdr:row>
      <xdr:rowOff>47625</xdr:rowOff>
    </xdr:from>
    <xdr:to>
      <xdr:col>5</xdr:col>
      <xdr:colOff>476250</xdr:colOff>
      <xdr:row>47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33</xdr:row>
      <xdr:rowOff>28575</xdr:rowOff>
    </xdr:from>
    <xdr:to>
      <xdr:col>10</xdr:col>
      <xdr:colOff>57150</xdr:colOff>
      <xdr:row>47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723900</xdr:colOff>
      <xdr:row>33</xdr:row>
      <xdr:rowOff>19050</xdr:rowOff>
    </xdr:from>
    <xdr:to>
      <xdr:col>15</xdr:col>
      <xdr:colOff>438150</xdr:colOff>
      <xdr:row>47</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685800</xdr:colOff>
      <xdr:row>33</xdr:row>
      <xdr:rowOff>0</xdr:rowOff>
    </xdr:from>
    <xdr:to>
      <xdr:col>20</xdr:col>
      <xdr:colOff>514350</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50</xdr:row>
      <xdr:rowOff>28575</xdr:rowOff>
    </xdr:from>
    <xdr:to>
      <xdr:col>5</xdr:col>
      <xdr:colOff>476250</xdr:colOff>
      <xdr:row>64</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47625</xdr:colOff>
      <xdr:row>50</xdr:row>
      <xdr:rowOff>19050</xdr:rowOff>
    </xdr:from>
    <xdr:to>
      <xdr:col>10</xdr:col>
      <xdr:colOff>95250</xdr:colOff>
      <xdr:row>64</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723900</xdr:colOff>
      <xdr:row>50</xdr:row>
      <xdr:rowOff>19050</xdr:rowOff>
    </xdr:from>
    <xdr:to>
      <xdr:col>15</xdr:col>
      <xdr:colOff>438150</xdr:colOff>
      <xdr:row>64</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704850</xdr:colOff>
      <xdr:row>50</xdr:row>
      <xdr:rowOff>0</xdr:rowOff>
    </xdr:from>
    <xdr:to>
      <xdr:col>20</xdr:col>
      <xdr:colOff>533400</xdr:colOff>
      <xdr:row>64</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0</xdr:colOff>
      <xdr:row>50</xdr:row>
      <xdr:rowOff>0</xdr:rowOff>
    </xdr:from>
    <xdr:to>
      <xdr:col>25</xdr:col>
      <xdr:colOff>847725</xdr:colOff>
      <xdr:row>64</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0.80408</cdr:x>
      <cdr:y>0.89236</cdr:y>
    </cdr:from>
    <cdr:to>
      <cdr:x>0.99388</cdr:x>
      <cdr:y>0.98958</cdr:y>
    </cdr:to>
    <cdr:sp macro="" textlink="">
      <cdr:nvSpPr>
        <cdr:cNvPr id="2" name="TextBox 9"/>
        <cdr:cNvSpPr txBox="1"/>
      </cdr:nvSpPr>
      <cdr:spPr>
        <a:xfrm xmlns:a="http://schemas.openxmlformats.org/drawingml/2006/main">
          <a:off x="37528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32.xml><?xml version="1.0" encoding="utf-8"?>
<c:userShapes xmlns:c="http://schemas.openxmlformats.org/drawingml/2006/chart">
  <cdr:relSizeAnchor xmlns:cdr="http://schemas.openxmlformats.org/drawingml/2006/chartDrawing">
    <cdr:from>
      <cdr:x>0.7875</cdr:x>
      <cdr:y>0.87847</cdr:y>
    </cdr:from>
    <cdr:to>
      <cdr:x>0.98125</cdr:x>
      <cdr:y>0.97569</cdr:y>
    </cdr:to>
    <cdr:sp macro="" textlink="">
      <cdr:nvSpPr>
        <cdr:cNvPr id="3" name="TextBox 9"/>
        <cdr:cNvSpPr txBox="1"/>
      </cdr:nvSpPr>
      <cdr:spPr>
        <a:xfrm xmlns:a="http://schemas.openxmlformats.org/drawingml/2006/main">
          <a:off x="3600450" y="24098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33.xml><?xml version="1.0" encoding="utf-8"?>
<c:userShapes xmlns:c="http://schemas.openxmlformats.org/drawingml/2006/chart">
  <cdr:relSizeAnchor xmlns:cdr="http://schemas.openxmlformats.org/drawingml/2006/chartDrawing">
    <cdr:from>
      <cdr:x>0.81154</cdr:x>
      <cdr:y>0.89236</cdr:y>
    </cdr:from>
    <cdr:to>
      <cdr:x>0.99038</cdr:x>
      <cdr:y>0.98958</cdr:y>
    </cdr:to>
    <cdr:sp macro="" textlink="">
      <cdr:nvSpPr>
        <cdr:cNvPr id="2" name="TextBox 9"/>
        <cdr:cNvSpPr txBox="1"/>
      </cdr:nvSpPr>
      <cdr:spPr>
        <a:xfrm xmlns:a="http://schemas.openxmlformats.org/drawingml/2006/main">
          <a:off x="40195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PSR</a:t>
          </a:r>
        </a:p>
      </cdr:txBody>
    </cdr:sp>
  </cdr:relSizeAnchor>
</c:userShapes>
</file>

<file path=xl/drawings/drawing34.xml><?xml version="1.0" encoding="utf-8"?>
<c:userShapes xmlns:c="http://schemas.openxmlformats.org/drawingml/2006/chart">
  <cdr:relSizeAnchor xmlns:cdr="http://schemas.openxmlformats.org/drawingml/2006/chartDrawing">
    <cdr:from>
      <cdr:x>0.81955</cdr:x>
      <cdr:y>0.89583</cdr:y>
    </cdr:from>
    <cdr:to>
      <cdr:x>0.99436</cdr:x>
      <cdr:y>0.99306</cdr:y>
    </cdr:to>
    <cdr:sp macro="" textlink="">
      <cdr:nvSpPr>
        <cdr:cNvPr id="2" name="TextBox 9"/>
        <cdr:cNvSpPr txBox="1"/>
      </cdr:nvSpPr>
      <cdr:spPr>
        <a:xfrm xmlns:a="http://schemas.openxmlformats.org/drawingml/2006/main">
          <a:off x="4152900" y="24574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35.xml><?xml version="1.0" encoding="utf-8"?>
<c:userShapes xmlns:c="http://schemas.openxmlformats.org/drawingml/2006/chart">
  <cdr:relSizeAnchor xmlns:cdr="http://schemas.openxmlformats.org/drawingml/2006/chartDrawing">
    <cdr:from>
      <cdr:x>0.78926</cdr:x>
      <cdr:y>0.86806</cdr:y>
    </cdr:from>
    <cdr:to>
      <cdr:x>0.9814</cdr:x>
      <cdr:y>0.96528</cdr:y>
    </cdr:to>
    <cdr:sp macro="" textlink="">
      <cdr:nvSpPr>
        <cdr:cNvPr id="2" name="TextBox 9"/>
        <cdr:cNvSpPr txBox="1"/>
      </cdr:nvSpPr>
      <cdr:spPr>
        <a:xfrm xmlns:a="http://schemas.openxmlformats.org/drawingml/2006/main">
          <a:off x="3638550" y="23812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36.xml><?xml version="1.0" encoding="utf-8"?>
<c:userShapes xmlns:c="http://schemas.openxmlformats.org/drawingml/2006/chart">
  <cdr:relSizeAnchor xmlns:cdr="http://schemas.openxmlformats.org/drawingml/2006/chartDrawing">
    <cdr:from>
      <cdr:x>0.81538</cdr:x>
      <cdr:y>0.89236</cdr:y>
    </cdr:from>
    <cdr:to>
      <cdr:x>0.99423</cdr:x>
      <cdr:y>0.98958</cdr:y>
    </cdr:to>
    <cdr:sp macro="" textlink="">
      <cdr:nvSpPr>
        <cdr:cNvPr id="2" name="TextBox 9"/>
        <cdr:cNvSpPr txBox="1"/>
      </cdr:nvSpPr>
      <cdr:spPr>
        <a:xfrm xmlns:a="http://schemas.openxmlformats.org/drawingml/2006/main">
          <a:off x="403860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PSR</a:t>
          </a:r>
        </a:p>
      </cdr:txBody>
    </cdr:sp>
  </cdr:relSizeAnchor>
</c:userShapes>
</file>

<file path=xl/drawings/drawing37.xml><?xml version="1.0" encoding="utf-8"?>
<c:userShapes xmlns:c="http://schemas.openxmlformats.org/drawingml/2006/chart">
  <cdr:relSizeAnchor xmlns:cdr="http://schemas.openxmlformats.org/drawingml/2006/chartDrawing">
    <cdr:from>
      <cdr:x>0.80075</cdr:x>
      <cdr:y>0.88889</cdr:y>
    </cdr:from>
    <cdr:to>
      <cdr:x>0.97556</cdr:x>
      <cdr:y>0.98611</cdr:y>
    </cdr:to>
    <cdr:sp macro="" textlink="">
      <cdr:nvSpPr>
        <cdr:cNvPr id="2" name="TextBox 9"/>
        <cdr:cNvSpPr txBox="1"/>
      </cdr:nvSpPr>
      <cdr:spPr>
        <a:xfrm xmlns:a="http://schemas.openxmlformats.org/drawingml/2006/main">
          <a:off x="4057650" y="243840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38.xml><?xml version="1.0" encoding="utf-8"?>
<c:userShapes xmlns:c="http://schemas.openxmlformats.org/drawingml/2006/chart">
  <cdr:relSizeAnchor xmlns:cdr="http://schemas.openxmlformats.org/drawingml/2006/chartDrawing">
    <cdr:from>
      <cdr:x>0.85633</cdr:x>
      <cdr:y>0.86805</cdr:y>
    </cdr:from>
    <cdr:to>
      <cdr:x>1</cdr:x>
      <cdr:y>0.96528</cdr:y>
    </cdr:to>
    <cdr:sp macro="" textlink="">
      <cdr:nvSpPr>
        <cdr:cNvPr id="2" name="TextBox 9"/>
        <cdr:cNvSpPr txBox="1"/>
      </cdr:nvSpPr>
      <cdr:spPr>
        <a:xfrm xmlns:a="http://schemas.openxmlformats.org/drawingml/2006/main">
          <a:off x="4314825" y="2381241"/>
          <a:ext cx="723900" cy="266721"/>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Time in Sec</a:t>
          </a:r>
        </a:p>
      </cdr:txBody>
    </cdr:sp>
  </cdr:relSizeAnchor>
</c:userShapes>
</file>

<file path=xl/drawings/drawing39.xml><?xml version="1.0" encoding="utf-8"?>
<xdr:wsDr xmlns:xdr="http://schemas.openxmlformats.org/drawingml/2006/spreadsheetDrawing" xmlns:a="http://schemas.openxmlformats.org/drawingml/2006/main">
  <xdr:twoCellAnchor>
    <xdr:from>
      <xdr:col>1</xdr:col>
      <xdr:colOff>0</xdr:colOff>
      <xdr:row>33</xdr:row>
      <xdr:rowOff>47625</xdr:rowOff>
    </xdr:from>
    <xdr:to>
      <xdr:col>5</xdr:col>
      <xdr:colOff>476250</xdr:colOff>
      <xdr:row>47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33</xdr:row>
      <xdr:rowOff>28575</xdr:rowOff>
    </xdr:from>
    <xdr:to>
      <xdr:col>10</xdr:col>
      <xdr:colOff>428625</xdr:colOff>
      <xdr:row>47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33</xdr:row>
      <xdr:rowOff>19050</xdr:rowOff>
    </xdr:from>
    <xdr:to>
      <xdr:col>15</xdr:col>
      <xdr:colOff>809625</xdr:colOff>
      <xdr:row>47</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33</xdr:row>
      <xdr:rowOff>0</xdr:rowOff>
    </xdr:from>
    <xdr:to>
      <xdr:col>20</xdr:col>
      <xdr:colOff>885825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50</xdr:row>
      <xdr:rowOff>28575</xdr:rowOff>
    </xdr:from>
    <xdr:to>
      <xdr:col>5</xdr:col>
      <xdr:colOff>476250</xdr:colOff>
      <xdr:row>64</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47625</xdr:colOff>
      <xdr:row>50</xdr:row>
      <xdr:rowOff>19050</xdr:rowOff>
    </xdr:from>
    <xdr:to>
      <xdr:col>10</xdr:col>
      <xdr:colOff>466725</xdr:colOff>
      <xdr:row>64</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47625</xdr:colOff>
      <xdr:row>50</xdr:row>
      <xdr:rowOff>19050</xdr:rowOff>
    </xdr:from>
    <xdr:to>
      <xdr:col>15</xdr:col>
      <xdr:colOff>809625</xdr:colOff>
      <xdr:row>64</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28575</xdr:colOff>
      <xdr:row>50</xdr:row>
      <xdr:rowOff>0</xdr:rowOff>
    </xdr:from>
    <xdr:to>
      <xdr:col>20</xdr:col>
      <xdr:colOff>904875</xdr:colOff>
      <xdr:row>64</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0</xdr:colOff>
      <xdr:row>50</xdr:row>
      <xdr:rowOff>0</xdr:rowOff>
    </xdr:from>
    <xdr:to>
      <xdr:col>26</xdr:col>
      <xdr:colOff>847725</xdr:colOff>
      <xdr:row>64</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0.81731</cdr:x>
      <cdr:y>0.89236</cdr:y>
    </cdr:from>
    <cdr:to>
      <cdr:x>0.99615</cdr:x>
      <cdr:y>0.98958</cdr:y>
    </cdr:to>
    <cdr:sp macro="" textlink="">
      <cdr:nvSpPr>
        <cdr:cNvPr id="2" name="TextBox 9"/>
        <cdr:cNvSpPr txBox="1"/>
      </cdr:nvSpPr>
      <cdr:spPr>
        <a:xfrm xmlns:a="http://schemas.openxmlformats.org/drawingml/2006/main">
          <a:off x="4048125"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PSR</a:t>
          </a:r>
        </a:p>
      </cdr:txBody>
    </cdr:sp>
  </cdr:relSizeAnchor>
</c:userShapes>
</file>

<file path=xl/drawings/drawing40.xml><?xml version="1.0" encoding="utf-8"?>
<c:userShapes xmlns:c="http://schemas.openxmlformats.org/drawingml/2006/chart">
  <cdr:relSizeAnchor xmlns:cdr="http://schemas.openxmlformats.org/drawingml/2006/chartDrawing">
    <cdr:from>
      <cdr:x>0.80408</cdr:x>
      <cdr:y>0.89236</cdr:y>
    </cdr:from>
    <cdr:to>
      <cdr:x>0.99388</cdr:x>
      <cdr:y>0.98958</cdr:y>
    </cdr:to>
    <cdr:sp macro="" textlink="">
      <cdr:nvSpPr>
        <cdr:cNvPr id="2" name="TextBox 9"/>
        <cdr:cNvSpPr txBox="1"/>
      </cdr:nvSpPr>
      <cdr:spPr>
        <a:xfrm xmlns:a="http://schemas.openxmlformats.org/drawingml/2006/main">
          <a:off x="37528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41.xml><?xml version="1.0" encoding="utf-8"?>
<c:userShapes xmlns:c="http://schemas.openxmlformats.org/drawingml/2006/chart">
  <cdr:relSizeAnchor xmlns:cdr="http://schemas.openxmlformats.org/drawingml/2006/chartDrawing">
    <cdr:from>
      <cdr:x>0.7875</cdr:x>
      <cdr:y>0.87847</cdr:y>
    </cdr:from>
    <cdr:to>
      <cdr:x>0.98125</cdr:x>
      <cdr:y>0.97569</cdr:y>
    </cdr:to>
    <cdr:sp macro="" textlink="">
      <cdr:nvSpPr>
        <cdr:cNvPr id="3" name="TextBox 9"/>
        <cdr:cNvSpPr txBox="1"/>
      </cdr:nvSpPr>
      <cdr:spPr>
        <a:xfrm xmlns:a="http://schemas.openxmlformats.org/drawingml/2006/main">
          <a:off x="3600450" y="24098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42.xml><?xml version="1.0" encoding="utf-8"?>
<c:userShapes xmlns:c="http://schemas.openxmlformats.org/drawingml/2006/chart">
  <cdr:relSizeAnchor xmlns:cdr="http://schemas.openxmlformats.org/drawingml/2006/chartDrawing">
    <cdr:from>
      <cdr:x>0.81154</cdr:x>
      <cdr:y>0.89236</cdr:y>
    </cdr:from>
    <cdr:to>
      <cdr:x>0.99038</cdr:x>
      <cdr:y>0.98958</cdr:y>
    </cdr:to>
    <cdr:sp macro="" textlink="">
      <cdr:nvSpPr>
        <cdr:cNvPr id="2" name="TextBox 9"/>
        <cdr:cNvSpPr txBox="1"/>
      </cdr:nvSpPr>
      <cdr:spPr>
        <a:xfrm xmlns:a="http://schemas.openxmlformats.org/drawingml/2006/main">
          <a:off x="40195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PSR</a:t>
          </a:r>
        </a:p>
      </cdr:txBody>
    </cdr:sp>
  </cdr:relSizeAnchor>
</c:userShapes>
</file>

<file path=xl/drawings/drawing43.xml><?xml version="1.0" encoding="utf-8"?>
<c:userShapes xmlns:c="http://schemas.openxmlformats.org/drawingml/2006/chart">
  <cdr:relSizeAnchor xmlns:cdr="http://schemas.openxmlformats.org/drawingml/2006/chartDrawing">
    <cdr:from>
      <cdr:x>0.81955</cdr:x>
      <cdr:y>0.89583</cdr:y>
    </cdr:from>
    <cdr:to>
      <cdr:x>0.99436</cdr:x>
      <cdr:y>0.99306</cdr:y>
    </cdr:to>
    <cdr:sp macro="" textlink="">
      <cdr:nvSpPr>
        <cdr:cNvPr id="2" name="TextBox 9"/>
        <cdr:cNvSpPr txBox="1"/>
      </cdr:nvSpPr>
      <cdr:spPr>
        <a:xfrm xmlns:a="http://schemas.openxmlformats.org/drawingml/2006/main">
          <a:off x="4152900" y="24574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44.xml><?xml version="1.0" encoding="utf-8"?>
<c:userShapes xmlns:c="http://schemas.openxmlformats.org/drawingml/2006/chart">
  <cdr:relSizeAnchor xmlns:cdr="http://schemas.openxmlformats.org/drawingml/2006/chartDrawing">
    <cdr:from>
      <cdr:x>0.78926</cdr:x>
      <cdr:y>0.86806</cdr:y>
    </cdr:from>
    <cdr:to>
      <cdr:x>0.9814</cdr:x>
      <cdr:y>0.96528</cdr:y>
    </cdr:to>
    <cdr:sp macro="" textlink="">
      <cdr:nvSpPr>
        <cdr:cNvPr id="2" name="TextBox 9"/>
        <cdr:cNvSpPr txBox="1"/>
      </cdr:nvSpPr>
      <cdr:spPr>
        <a:xfrm xmlns:a="http://schemas.openxmlformats.org/drawingml/2006/main">
          <a:off x="3638550" y="23812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45.xml><?xml version="1.0" encoding="utf-8"?>
<c:userShapes xmlns:c="http://schemas.openxmlformats.org/drawingml/2006/chart">
  <cdr:relSizeAnchor xmlns:cdr="http://schemas.openxmlformats.org/drawingml/2006/chartDrawing">
    <cdr:from>
      <cdr:x>0.81538</cdr:x>
      <cdr:y>0.89236</cdr:y>
    </cdr:from>
    <cdr:to>
      <cdr:x>0.99423</cdr:x>
      <cdr:y>0.98958</cdr:y>
    </cdr:to>
    <cdr:sp macro="" textlink="">
      <cdr:nvSpPr>
        <cdr:cNvPr id="2" name="TextBox 9"/>
        <cdr:cNvSpPr txBox="1"/>
      </cdr:nvSpPr>
      <cdr:spPr>
        <a:xfrm xmlns:a="http://schemas.openxmlformats.org/drawingml/2006/main">
          <a:off x="403860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PSR</a:t>
          </a:r>
        </a:p>
      </cdr:txBody>
    </cdr:sp>
  </cdr:relSizeAnchor>
</c:userShapes>
</file>

<file path=xl/drawings/drawing46.xml><?xml version="1.0" encoding="utf-8"?>
<c:userShapes xmlns:c="http://schemas.openxmlformats.org/drawingml/2006/chart">
  <cdr:relSizeAnchor xmlns:cdr="http://schemas.openxmlformats.org/drawingml/2006/chartDrawing">
    <cdr:from>
      <cdr:x>0.80075</cdr:x>
      <cdr:y>0.88889</cdr:y>
    </cdr:from>
    <cdr:to>
      <cdr:x>0.97556</cdr:x>
      <cdr:y>0.98611</cdr:y>
    </cdr:to>
    <cdr:sp macro="" textlink="">
      <cdr:nvSpPr>
        <cdr:cNvPr id="2" name="TextBox 9"/>
        <cdr:cNvSpPr txBox="1"/>
      </cdr:nvSpPr>
      <cdr:spPr>
        <a:xfrm xmlns:a="http://schemas.openxmlformats.org/drawingml/2006/main">
          <a:off x="4057650" y="243840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47.xml><?xml version="1.0" encoding="utf-8"?>
<c:userShapes xmlns:c="http://schemas.openxmlformats.org/drawingml/2006/chart">
  <cdr:relSizeAnchor xmlns:cdr="http://schemas.openxmlformats.org/drawingml/2006/chartDrawing">
    <cdr:from>
      <cdr:x>0.85633</cdr:x>
      <cdr:y>0.86805</cdr:y>
    </cdr:from>
    <cdr:to>
      <cdr:x>1</cdr:x>
      <cdr:y>0.96528</cdr:y>
    </cdr:to>
    <cdr:sp macro="" textlink="">
      <cdr:nvSpPr>
        <cdr:cNvPr id="2" name="TextBox 9"/>
        <cdr:cNvSpPr txBox="1"/>
      </cdr:nvSpPr>
      <cdr:spPr>
        <a:xfrm xmlns:a="http://schemas.openxmlformats.org/drawingml/2006/main">
          <a:off x="4314825" y="2381241"/>
          <a:ext cx="723900" cy="266721"/>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Time in Sec</a:t>
          </a:r>
        </a:p>
      </cdr:txBody>
    </cdr:sp>
  </cdr:relSizeAnchor>
</c:userShapes>
</file>

<file path=xl/drawings/drawing48.xml><?xml version="1.0" encoding="utf-8"?>
<xdr:wsDr xmlns:xdr="http://schemas.openxmlformats.org/drawingml/2006/spreadsheetDrawing" xmlns:a="http://schemas.openxmlformats.org/drawingml/2006/main">
  <xdr:twoCellAnchor>
    <xdr:from>
      <xdr:col>1</xdr:col>
      <xdr:colOff>0</xdr:colOff>
      <xdr:row>33</xdr:row>
      <xdr:rowOff>47625</xdr:rowOff>
    </xdr:from>
    <xdr:to>
      <xdr:col>5</xdr:col>
      <xdr:colOff>476250</xdr:colOff>
      <xdr:row>47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33</xdr:row>
      <xdr:rowOff>28575</xdr:rowOff>
    </xdr:from>
    <xdr:to>
      <xdr:col>10</xdr:col>
      <xdr:colOff>428625</xdr:colOff>
      <xdr:row>47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33</xdr:row>
      <xdr:rowOff>19050</xdr:rowOff>
    </xdr:from>
    <xdr:to>
      <xdr:col>15</xdr:col>
      <xdr:colOff>809625</xdr:colOff>
      <xdr:row>47</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33</xdr:row>
      <xdr:rowOff>0</xdr:rowOff>
    </xdr:from>
    <xdr:to>
      <xdr:col>20</xdr:col>
      <xdr:colOff>885825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50</xdr:row>
      <xdr:rowOff>28575</xdr:rowOff>
    </xdr:from>
    <xdr:to>
      <xdr:col>5</xdr:col>
      <xdr:colOff>476250</xdr:colOff>
      <xdr:row>64</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47625</xdr:colOff>
      <xdr:row>50</xdr:row>
      <xdr:rowOff>19050</xdr:rowOff>
    </xdr:from>
    <xdr:to>
      <xdr:col>10</xdr:col>
      <xdr:colOff>466725</xdr:colOff>
      <xdr:row>64</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47625</xdr:colOff>
      <xdr:row>50</xdr:row>
      <xdr:rowOff>19050</xdr:rowOff>
    </xdr:from>
    <xdr:to>
      <xdr:col>15</xdr:col>
      <xdr:colOff>809625</xdr:colOff>
      <xdr:row>64</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28575</xdr:colOff>
      <xdr:row>50</xdr:row>
      <xdr:rowOff>0</xdr:rowOff>
    </xdr:from>
    <xdr:to>
      <xdr:col>20</xdr:col>
      <xdr:colOff>904875</xdr:colOff>
      <xdr:row>64</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0</xdr:colOff>
      <xdr:row>50</xdr:row>
      <xdr:rowOff>0</xdr:rowOff>
    </xdr:from>
    <xdr:to>
      <xdr:col>26</xdr:col>
      <xdr:colOff>847725</xdr:colOff>
      <xdr:row>64</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9.xml><?xml version="1.0" encoding="utf-8"?>
<c:userShapes xmlns:c="http://schemas.openxmlformats.org/drawingml/2006/chart">
  <cdr:relSizeAnchor xmlns:cdr="http://schemas.openxmlformats.org/drawingml/2006/chartDrawing">
    <cdr:from>
      <cdr:x>0.80408</cdr:x>
      <cdr:y>0.89236</cdr:y>
    </cdr:from>
    <cdr:to>
      <cdr:x>0.99388</cdr:x>
      <cdr:y>0.98958</cdr:y>
    </cdr:to>
    <cdr:sp macro="" textlink="">
      <cdr:nvSpPr>
        <cdr:cNvPr id="2" name="TextBox 9"/>
        <cdr:cNvSpPr txBox="1"/>
      </cdr:nvSpPr>
      <cdr:spPr>
        <a:xfrm xmlns:a="http://schemas.openxmlformats.org/drawingml/2006/main">
          <a:off x="37528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5.xml><?xml version="1.0" encoding="utf-8"?>
<c:userShapes xmlns:c="http://schemas.openxmlformats.org/drawingml/2006/chart">
  <cdr:relSizeAnchor xmlns:cdr="http://schemas.openxmlformats.org/drawingml/2006/chartDrawing">
    <cdr:from>
      <cdr:x>0.82143</cdr:x>
      <cdr:y>0.90278</cdr:y>
    </cdr:from>
    <cdr:to>
      <cdr:x>0.99624</cdr:x>
      <cdr:y>1</cdr:y>
    </cdr:to>
    <cdr:sp macro="" textlink="">
      <cdr:nvSpPr>
        <cdr:cNvPr id="2" name="TextBox 9"/>
        <cdr:cNvSpPr txBox="1"/>
      </cdr:nvSpPr>
      <cdr:spPr>
        <a:xfrm xmlns:a="http://schemas.openxmlformats.org/drawingml/2006/main">
          <a:off x="4162425" y="24860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50.xml><?xml version="1.0" encoding="utf-8"?>
<c:userShapes xmlns:c="http://schemas.openxmlformats.org/drawingml/2006/chart">
  <cdr:relSizeAnchor xmlns:cdr="http://schemas.openxmlformats.org/drawingml/2006/chartDrawing">
    <cdr:from>
      <cdr:x>0.7875</cdr:x>
      <cdr:y>0.87847</cdr:y>
    </cdr:from>
    <cdr:to>
      <cdr:x>0.98125</cdr:x>
      <cdr:y>0.97569</cdr:y>
    </cdr:to>
    <cdr:sp macro="" textlink="">
      <cdr:nvSpPr>
        <cdr:cNvPr id="3" name="TextBox 9"/>
        <cdr:cNvSpPr txBox="1"/>
      </cdr:nvSpPr>
      <cdr:spPr>
        <a:xfrm xmlns:a="http://schemas.openxmlformats.org/drawingml/2006/main">
          <a:off x="3600450" y="24098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51.xml><?xml version="1.0" encoding="utf-8"?>
<c:userShapes xmlns:c="http://schemas.openxmlformats.org/drawingml/2006/chart">
  <cdr:relSizeAnchor xmlns:cdr="http://schemas.openxmlformats.org/drawingml/2006/chartDrawing">
    <cdr:from>
      <cdr:x>0.81154</cdr:x>
      <cdr:y>0.89236</cdr:y>
    </cdr:from>
    <cdr:to>
      <cdr:x>0.99038</cdr:x>
      <cdr:y>0.98958</cdr:y>
    </cdr:to>
    <cdr:sp macro="" textlink="">
      <cdr:nvSpPr>
        <cdr:cNvPr id="2" name="TextBox 9"/>
        <cdr:cNvSpPr txBox="1"/>
      </cdr:nvSpPr>
      <cdr:spPr>
        <a:xfrm xmlns:a="http://schemas.openxmlformats.org/drawingml/2006/main">
          <a:off x="40195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PSR</a:t>
          </a:r>
        </a:p>
      </cdr:txBody>
    </cdr:sp>
  </cdr:relSizeAnchor>
</c:userShapes>
</file>

<file path=xl/drawings/drawing52.xml><?xml version="1.0" encoding="utf-8"?>
<c:userShapes xmlns:c="http://schemas.openxmlformats.org/drawingml/2006/chart">
  <cdr:relSizeAnchor xmlns:cdr="http://schemas.openxmlformats.org/drawingml/2006/chartDrawing">
    <cdr:from>
      <cdr:x>0.81955</cdr:x>
      <cdr:y>0.89583</cdr:y>
    </cdr:from>
    <cdr:to>
      <cdr:x>0.99436</cdr:x>
      <cdr:y>0.99306</cdr:y>
    </cdr:to>
    <cdr:sp macro="" textlink="">
      <cdr:nvSpPr>
        <cdr:cNvPr id="2" name="TextBox 9"/>
        <cdr:cNvSpPr txBox="1"/>
      </cdr:nvSpPr>
      <cdr:spPr>
        <a:xfrm xmlns:a="http://schemas.openxmlformats.org/drawingml/2006/main">
          <a:off x="4152900" y="24574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53.xml><?xml version="1.0" encoding="utf-8"?>
<c:userShapes xmlns:c="http://schemas.openxmlformats.org/drawingml/2006/chart">
  <cdr:relSizeAnchor xmlns:cdr="http://schemas.openxmlformats.org/drawingml/2006/chartDrawing">
    <cdr:from>
      <cdr:x>0.78926</cdr:x>
      <cdr:y>0.86806</cdr:y>
    </cdr:from>
    <cdr:to>
      <cdr:x>0.9814</cdr:x>
      <cdr:y>0.96528</cdr:y>
    </cdr:to>
    <cdr:sp macro="" textlink="">
      <cdr:nvSpPr>
        <cdr:cNvPr id="2" name="TextBox 9"/>
        <cdr:cNvSpPr txBox="1"/>
      </cdr:nvSpPr>
      <cdr:spPr>
        <a:xfrm xmlns:a="http://schemas.openxmlformats.org/drawingml/2006/main">
          <a:off x="3638550" y="23812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54.xml><?xml version="1.0" encoding="utf-8"?>
<c:userShapes xmlns:c="http://schemas.openxmlformats.org/drawingml/2006/chart">
  <cdr:relSizeAnchor xmlns:cdr="http://schemas.openxmlformats.org/drawingml/2006/chartDrawing">
    <cdr:from>
      <cdr:x>0.81538</cdr:x>
      <cdr:y>0.89236</cdr:y>
    </cdr:from>
    <cdr:to>
      <cdr:x>0.99423</cdr:x>
      <cdr:y>0.98958</cdr:y>
    </cdr:to>
    <cdr:sp macro="" textlink="">
      <cdr:nvSpPr>
        <cdr:cNvPr id="2" name="TextBox 9"/>
        <cdr:cNvSpPr txBox="1"/>
      </cdr:nvSpPr>
      <cdr:spPr>
        <a:xfrm xmlns:a="http://schemas.openxmlformats.org/drawingml/2006/main">
          <a:off x="403860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PSR</a:t>
          </a:r>
        </a:p>
      </cdr:txBody>
    </cdr:sp>
  </cdr:relSizeAnchor>
</c:userShapes>
</file>

<file path=xl/drawings/drawing55.xml><?xml version="1.0" encoding="utf-8"?>
<c:userShapes xmlns:c="http://schemas.openxmlformats.org/drawingml/2006/chart">
  <cdr:relSizeAnchor xmlns:cdr="http://schemas.openxmlformats.org/drawingml/2006/chartDrawing">
    <cdr:from>
      <cdr:x>0.80075</cdr:x>
      <cdr:y>0.88889</cdr:y>
    </cdr:from>
    <cdr:to>
      <cdr:x>0.97556</cdr:x>
      <cdr:y>0.98611</cdr:y>
    </cdr:to>
    <cdr:sp macro="" textlink="">
      <cdr:nvSpPr>
        <cdr:cNvPr id="2" name="TextBox 9"/>
        <cdr:cNvSpPr txBox="1"/>
      </cdr:nvSpPr>
      <cdr:spPr>
        <a:xfrm xmlns:a="http://schemas.openxmlformats.org/drawingml/2006/main">
          <a:off x="4057650" y="243840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56.xml><?xml version="1.0" encoding="utf-8"?>
<c:userShapes xmlns:c="http://schemas.openxmlformats.org/drawingml/2006/chart">
  <cdr:relSizeAnchor xmlns:cdr="http://schemas.openxmlformats.org/drawingml/2006/chartDrawing">
    <cdr:from>
      <cdr:x>0.85633</cdr:x>
      <cdr:y>0.86805</cdr:y>
    </cdr:from>
    <cdr:to>
      <cdr:x>1</cdr:x>
      <cdr:y>0.96528</cdr:y>
    </cdr:to>
    <cdr:sp macro="" textlink="">
      <cdr:nvSpPr>
        <cdr:cNvPr id="2" name="TextBox 9"/>
        <cdr:cNvSpPr txBox="1"/>
      </cdr:nvSpPr>
      <cdr:spPr>
        <a:xfrm xmlns:a="http://schemas.openxmlformats.org/drawingml/2006/main">
          <a:off x="4314825" y="2381241"/>
          <a:ext cx="723900" cy="266721"/>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Time in Sec</a:t>
          </a:r>
        </a:p>
      </cdr:txBody>
    </cdr:sp>
  </cdr:relSizeAnchor>
</c:userShapes>
</file>

<file path=xl/drawings/drawing57.xml><?xml version="1.0" encoding="utf-8"?>
<xdr:wsDr xmlns:xdr="http://schemas.openxmlformats.org/drawingml/2006/spreadsheetDrawing" xmlns:a="http://schemas.openxmlformats.org/drawingml/2006/main">
  <xdr:twoCellAnchor>
    <xdr:from>
      <xdr:col>1</xdr:col>
      <xdr:colOff>0</xdr:colOff>
      <xdr:row>33</xdr:row>
      <xdr:rowOff>47625</xdr:rowOff>
    </xdr:from>
    <xdr:to>
      <xdr:col>5</xdr:col>
      <xdr:colOff>476250</xdr:colOff>
      <xdr:row>47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33</xdr:row>
      <xdr:rowOff>28575</xdr:rowOff>
    </xdr:from>
    <xdr:to>
      <xdr:col>10</xdr:col>
      <xdr:colOff>428625</xdr:colOff>
      <xdr:row>47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33</xdr:row>
      <xdr:rowOff>19050</xdr:rowOff>
    </xdr:from>
    <xdr:to>
      <xdr:col>15</xdr:col>
      <xdr:colOff>809625</xdr:colOff>
      <xdr:row>47</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33</xdr:row>
      <xdr:rowOff>0</xdr:rowOff>
    </xdr:from>
    <xdr:to>
      <xdr:col>20</xdr:col>
      <xdr:colOff>885825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50</xdr:row>
      <xdr:rowOff>28575</xdr:rowOff>
    </xdr:from>
    <xdr:to>
      <xdr:col>5</xdr:col>
      <xdr:colOff>476250</xdr:colOff>
      <xdr:row>64</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47625</xdr:colOff>
      <xdr:row>50</xdr:row>
      <xdr:rowOff>19050</xdr:rowOff>
    </xdr:from>
    <xdr:to>
      <xdr:col>10</xdr:col>
      <xdr:colOff>466725</xdr:colOff>
      <xdr:row>64</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47625</xdr:colOff>
      <xdr:row>50</xdr:row>
      <xdr:rowOff>19050</xdr:rowOff>
    </xdr:from>
    <xdr:to>
      <xdr:col>15</xdr:col>
      <xdr:colOff>809625</xdr:colOff>
      <xdr:row>64</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28575</xdr:colOff>
      <xdr:row>50</xdr:row>
      <xdr:rowOff>0</xdr:rowOff>
    </xdr:from>
    <xdr:to>
      <xdr:col>20</xdr:col>
      <xdr:colOff>904875</xdr:colOff>
      <xdr:row>64</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1019175</xdr:colOff>
      <xdr:row>49</xdr:row>
      <xdr:rowOff>171450</xdr:rowOff>
    </xdr:from>
    <xdr:to>
      <xdr:col>26</xdr:col>
      <xdr:colOff>819150</xdr:colOff>
      <xdr:row>64</xdr:row>
      <xdr:rowOff>57150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8.xml><?xml version="1.0" encoding="utf-8"?>
<c:userShapes xmlns:c="http://schemas.openxmlformats.org/drawingml/2006/chart">
  <cdr:relSizeAnchor xmlns:cdr="http://schemas.openxmlformats.org/drawingml/2006/chartDrawing">
    <cdr:from>
      <cdr:x>0.80408</cdr:x>
      <cdr:y>0.89236</cdr:y>
    </cdr:from>
    <cdr:to>
      <cdr:x>0.99388</cdr:x>
      <cdr:y>0.98958</cdr:y>
    </cdr:to>
    <cdr:sp macro="" textlink="">
      <cdr:nvSpPr>
        <cdr:cNvPr id="2" name="TextBox 9"/>
        <cdr:cNvSpPr txBox="1"/>
      </cdr:nvSpPr>
      <cdr:spPr>
        <a:xfrm xmlns:a="http://schemas.openxmlformats.org/drawingml/2006/main">
          <a:off x="37528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59.xml><?xml version="1.0" encoding="utf-8"?>
<c:userShapes xmlns:c="http://schemas.openxmlformats.org/drawingml/2006/chart">
  <cdr:relSizeAnchor xmlns:cdr="http://schemas.openxmlformats.org/drawingml/2006/chartDrawing">
    <cdr:from>
      <cdr:x>0.7875</cdr:x>
      <cdr:y>0.87847</cdr:y>
    </cdr:from>
    <cdr:to>
      <cdr:x>0.98125</cdr:x>
      <cdr:y>0.97569</cdr:y>
    </cdr:to>
    <cdr:sp macro="" textlink="">
      <cdr:nvSpPr>
        <cdr:cNvPr id="3" name="TextBox 9"/>
        <cdr:cNvSpPr txBox="1"/>
      </cdr:nvSpPr>
      <cdr:spPr>
        <a:xfrm xmlns:a="http://schemas.openxmlformats.org/drawingml/2006/main">
          <a:off x="3600450" y="24098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6.xml><?xml version="1.0" encoding="utf-8"?>
<c:userShapes xmlns:c="http://schemas.openxmlformats.org/drawingml/2006/chart">
  <cdr:relSizeAnchor xmlns:cdr="http://schemas.openxmlformats.org/drawingml/2006/chartDrawing">
    <cdr:from>
      <cdr:x>0.8</cdr:x>
      <cdr:y>0.88194</cdr:y>
    </cdr:from>
    <cdr:to>
      <cdr:x>0.9898</cdr:x>
      <cdr:y>0.97917</cdr:y>
    </cdr:to>
    <cdr:sp macro="" textlink="">
      <cdr:nvSpPr>
        <cdr:cNvPr id="2" name="TextBox 9"/>
        <cdr:cNvSpPr txBox="1"/>
      </cdr:nvSpPr>
      <cdr:spPr>
        <a:xfrm xmlns:a="http://schemas.openxmlformats.org/drawingml/2006/main">
          <a:off x="3733800" y="24193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60.xml><?xml version="1.0" encoding="utf-8"?>
<c:userShapes xmlns:c="http://schemas.openxmlformats.org/drawingml/2006/chart">
  <cdr:relSizeAnchor xmlns:cdr="http://schemas.openxmlformats.org/drawingml/2006/chartDrawing">
    <cdr:from>
      <cdr:x>0.81154</cdr:x>
      <cdr:y>0.89236</cdr:y>
    </cdr:from>
    <cdr:to>
      <cdr:x>0.99038</cdr:x>
      <cdr:y>0.98958</cdr:y>
    </cdr:to>
    <cdr:sp macro="" textlink="">
      <cdr:nvSpPr>
        <cdr:cNvPr id="2" name="TextBox 9"/>
        <cdr:cNvSpPr txBox="1"/>
      </cdr:nvSpPr>
      <cdr:spPr>
        <a:xfrm xmlns:a="http://schemas.openxmlformats.org/drawingml/2006/main">
          <a:off x="401955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PSR</a:t>
          </a:r>
        </a:p>
      </cdr:txBody>
    </cdr:sp>
  </cdr:relSizeAnchor>
</c:userShapes>
</file>

<file path=xl/drawings/drawing61.xml><?xml version="1.0" encoding="utf-8"?>
<c:userShapes xmlns:c="http://schemas.openxmlformats.org/drawingml/2006/chart">
  <cdr:relSizeAnchor xmlns:cdr="http://schemas.openxmlformats.org/drawingml/2006/chartDrawing">
    <cdr:from>
      <cdr:x>0.81955</cdr:x>
      <cdr:y>0.89583</cdr:y>
    </cdr:from>
    <cdr:to>
      <cdr:x>0.99436</cdr:x>
      <cdr:y>0.99306</cdr:y>
    </cdr:to>
    <cdr:sp macro="" textlink="">
      <cdr:nvSpPr>
        <cdr:cNvPr id="2" name="TextBox 9"/>
        <cdr:cNvSpPr txBox="1"/>
      </cdr:nvSpPr>
      <cdr:spPr>
        <a:xfrm xmlns:a="http://schemas.openxmlformats.org/drawingml/2006/main">
          <a:off x="4152900" y="24574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62.xml><?xml version="1.0" encoding="utf-8"?>
<c:userShapes xmlns:c="http://schemas.openxmlformats.org/drawingml/2006/chart">
  <cdr:relSizeAnchor xmlns:cdr="http://schemas.openxmlformats.org/drawingml/2006/chartDrawing">
    <cdr:from>
      <cdr:x>0.78926</cdr:x>
      <cdr:y>0.86806</cdr:y>
    </cdr:from>
    <cdr:to>
      <cdr:x>0.9814</cdr:x>
      <cdr:y>0.96528</cdr:y>
    </cdr:to>
    <cdr:sp macro="" textlink="">
      <cdr:nvSpPr>
        <cdr:cNvPr id="2" name="TextBox 9"/>
        <cdr:cNvSpPr txBox="1"/>
      </cdr:nvSpPr>
      <cdr:spPr>
        <a:xfrm xmlns:a="http://schemas.openxmlformats.org/drawingml/2006/main">
          <a:off x="3638550" y="23812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63.xml><?xml version="1.0" encoding="utf-8"?>
<c:userShapes xmlns:c="http://schemas.openxmlformats.org/drawingml/2006/chart">
  <cdr:relSizeAnchor xmlns:cdr="http://schemas.openxmlformats.org/drawingml/2006/chartDrawing">
    <cdr:from>
      <cdr:x>0.81538</cdr:x>
      <cdr:y>0.89236</cdr:y>
    </cdr:from>
    <cdr:to>
      <cdr:x>0.99423</cdr:x>
      <cdr:y>0.98958</cdr:y>
    </cdr:to>
    <cdr:sp macro="" textlink="">
      <cdr:nvSpPr>
        <cdr:cNvPr id="2" name="TextBox 9"/>
        <cdr:cNvSpPr txBox="1"/>
      </cdr:nvSpPr>
      <cdr:spPr>
        <a:xfrm xmlns:a="http://schemas.openxmlformats.org/drawingml/2006/main">
          <a:off x="4038600"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PSR</a:t>
          </a:r>
        </a:p>
      </cdr:txBody>
    </cdr:sp>
  </cdr:relSizeAnchor>
</c:userShapes>
</file>

<file path=xl/drawings/drawing64.xml><?xml version="1.0" encoding="utf-8"?>
<c:userShapes xmlns:c="http://schemas.openxmlformats.org/drawingml/2006/chart">
  <cdr:relSizeAnchor xmlns:cdr="http://schemas.openxmlformats.org/drawingml/2006/chartDrawing">
    <cdr:from>
      <cdr:x>0.80075</cdr:x>
      <cdr:y>0.88889</cdr:y>
    </cdr:from>
    <cdr:to>
      <cdr:x>0.97556</cdr:x>
      <cdr:y>0.98611</cdr:y>
    </cdr:to>
    <cdr:sp macro="" textlink="">
      <cdr:nvSpPr>
        <cdr:cNvPr id="2" name="TextBox 9"/>
        <cdr:cNvSpPr txBox="1"/>
      </cdr:nvSpPr>
      <cdr:spPr>
        <a:xfrm xmlns:a="http://schemas.openxmlformats.org/drawingml/2006/main">
          <a:off x="4057650" y="243840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drawings/drawing65.xml><?xml version="1.0" encoding="utf-8"?>
<c:userShapes xmlns:c="http://schemas.openxmlformats.org/drawingml/2006/chart">
  <cdr:relSizeAnchor xmlns:cdr="http://schemas.openxmlformats.org/drawingml/2006/chartDrawing">
    <cdr:from>
      <cdr:x>0.85633</cdr:x>
      <cdr:y>0.86805</cdr:y>
    </cdr:from>
    <cdr:to>
      <cdr:x>1</cdr:x>
      <cdr:y>0.96528</cdr:y>
    </cdr:to>
    <cdr:sp macro="" textlink="">
      <cdr:nvSpPr>
        <cdr:cNvPr id="2" name="TextBox 9"/>
        <cdr:cNvSpPr txBox="1"/>
      </cdr:nvSpPr>
      <cdr:spPr>
        <a:xfrm xmlns:a="http://schemas.openxmlformats.org/drawingml/2006/main">
          <a:off x="4314825" y="2381241"/>
          <a:ext cx="723900" cy="266721"/>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Time in Sec</a:t>
          </a:r>
        </a:p>
      </cdr:txBody>
    </cdr:sp>
  </cdr:relSizeAnchor>
</c:userShapes>
</file>

<file path=xl/drawings/drawing7.xml><?xml version="1.0" encoding="utf-8"?>
<c:userShapes xmlns:c="http://schemas.openxmlformats.org/drawingml/2006/chart">
  <cdr:relSizeAnchor xmlns:cdr="http://schemas.openxmlformats.org/drawingml/2006/chartDrawing">
    <cdr:from>
      <cdr:x>0.79959</cdr:x>
      <cdr:y>0.89583</cdr:y>
    </cdr:from>
    <cdr:to>
      <cdr:x>0.99174</cdr:x>
      <cdr:y>0.99306</cdr:y>
    </cdr:to>
    <cdr:sp macro="" textlink="">
      <cdr:nvSpPr>
        <cdr:cNvPr id="2" name="TextBox 9"/>
        <cdr:cNvSpPr txBox="1"/>
      </cdr:nvSpPr>
      <cdr:spPr>
        <a:xfrm xmlns:a="http://schemas.openxmlformats.org/drawingml/2006/main">
          <a:off x="3686175" y="245745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SNR</a:t>
          </a:r>
        </a:p>
      </cdr:txBody>
    </cdr:sp>
  </cdr:relSizeAnchor>
</c:userShapes>
</file>

<file path=xl/drawings/drawing8.xml><?xml version="1.0" encoding="utf-8"?>
<c:userShapes xmlns:c="http://schemas.openxmlformats.org/drawingml/2006/chart">
  <cdr:relSizeAnchor xmlns:cdr="http://schemas.openxmlformats.org/drawingml/2006/chartDrawing">
    <cdr:from>
      <cdr:x>0.82115</cdr:x>
      <cdr:y>0.89236</cdr:y>
    </cdr:from>
    <cdr:to>
      <cdr:x>1</cdr:x>
      <cdr:y>0.98958</cdr:y>
    </cdr:to>
    <cdr:sp macro="" textlink="">
      <cdr:nvSpPr>
        <cdr:cNvPr id="2" name="TextBox 9"/>
        <cdr:cNvSpPr txBox="1"/>
      </cdr:nvSpPr>
      <cdr:spPr>
        <a:xfrm xmlns:a="http://schemas.openxmlformats.org/drawingml/2006/main">
          <a:off x="4162425" y="2447925"/>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1000"/>
            <a:t>PSR</a:t>
          </a:r>
        </a:p>
      </cdr:txBody>
    </cdr:sp>
  </cdr:relSizeAnchor>
</c:userShapes>
</file>

<file path=xl/drawings/drawing9.xml><?xml version="1.0" encoding="utf-8"?>
<c:userShapes xmlns:c="http://schemas.openxmlformats.org/drawingml/2006/chart">
  <cdr:relSizeAnchor xmlns:cdr="http://schemas.openxmlformats.org/drawingml/2006/chartDrawing">
    <cdr:from>
      <cdr:x>0.82495</cdr:x>
      <cdr:y>0.90141</cdr:y>
    </cdr:from>
    <cdr:to>
      <cdr:x>0.99814</cdr:x>
      <cdr:y>1</cdr:y>
    </cdr:to>
    <cdr:sp macro="" textlink="">
      <cdr:nvSpPr>
        <cdr:cNvPr id="2" name="TextBox 9"/>
        <cdr:cNvSpPr txBox="1"/>
      </cdr:nvSpPr>
      <cdr:spPr>
        <a:xfrm xmlns:a="http://schemas.openxmlformats.org/drawingml/2006/main">
          <a:off x="4219575" y="2438400"/>
          <a:ext cx="885825" cy="2667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a:t>Received power</a:t>
          </a:r>
        </a:p>
      </cdr:txBody>
    </cdr:sp>
  </cdr:relSizeAnchor>
</c:userShapes>
</file>

<file path=xl/queryTables/queryTable1.xml><?xml version="1.0" encoding="utf-8"?>
<queryTable xmlns="http://schemas.openxmlformats.org/spreadsheetml/2006/main" name="100obu.80211_N102_P1_InOutThrput"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100obu.80211_N101_P1_InOutThrpu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57.xml"/><Relationship Id="rId1" Type="http://schemas.openxmlformats.org/officeDocument/2006/relationships/printerSettings" Target="../printerSettings/printerSettings6.bin"/><Relationship Id="rId4"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dimension ref="A1:M42"/>
  <sheetViews>
    <sheetView workbookViewId="0">
      <selection activeCell="L12" sqref="L12"/>
    </sheetView>
  </sheetViews>
  <sheetFormatPr defaultRowHeight="12"/>
  <cols>
    <col min="1" max="1" width="4" style="1" customWidth="1"/>
    <col min="2" max="2" width="12" style="1" customWidth="1"/>
    <col min="3" max="3" width="12.42578125" style="1" customWidth="1"/>
    <col min="4" max="4" width="13.28515625" style="1" customWidth="1"/>
    <col min="5" max="5" width="15.7109375" style="1" customWidth="1"/>
    <col min="6" max="6" width="20.5703125" style="1" customWidth="1"/>
    <col min="7" max="8" width="18.7109375" style="1" customWidth="1"/>
    <col min="9" max="9" width="21.85546875" style="1" customWidth="1"/>
    <col min="10" max="10" width="17.7109375" style="1" customWidth="1"/>
    <col min="11" max="11" width="14.42578125" style="1" customWidth="1"/>
    <col min="12" max="12" width="23.85546875" style="1" customWidth="1"/>
    <col min="13" max="13" width="28.7109375" style="1" customWidth="1"/>
    <col min="14" max="16384" width="9.140625" style="1"/>
  </cols>
  <sheetData>
    <row r="1" spans="1:13">
      <c r="A1" s="78" t="s">
        <v>15</v>
      </c>
      <c r="B1" s="78"/>
      <c r="C1" s="78"/>
      <c r="D1" s="78"/>
      <c r="E1" s="78"/>
      <c r="F1" s="78"/>
      <c r="G1" s="78"/>
    </row>
    <row r="2" spans="1:13">
      <c r="A2" s="1" t="s">
        <v>63</v>
      </c>
      <c r="B2" s="1" t="s">
        <v>71</v>
      </c>
      <c r="C2" s="1" t="s">
        <v>34</v>
      </c>
      <c r="D2" s="1" t="s">
        <v>2</v>
      </c>
      <c r="E2" s="1" t="s">
        <v>16</v>
      </c>
      <c r="F2" s="1" t="s">
        <v>17</v>
      </c>
      <c r="G2" s="1" t="s">
        <v>4</v>
      </c>
      <c r="H2" s="1" t="s">
        <v>3</v>
      </c>
      <c r="I2" s="1" t="s">
        <v>6</v>
      </c>
      <c r="J2" s="1" t="s">
        <v>5</v>
      </c>
      <c r="K2" s="1" t="s">
        <v>39</v>
      </c>
      <c r="L2" s="1" t="s">
        <v>86</v>
      </c>
      <c r="M2" s="1" t="s">
        <v>9</v>
      </c>
    </row>
    <row r="3" spans="1:13">
      <c r="A3" s="1">
        <v>5</v>
      </c>
      <c r="B3" s="1" t="s">
        <v>0</v>
      </c>
      <c r="C3" s="1" t="s">
        <v>21</v>
      </c>
      <c r="D3" s="1" t="s">
        <v>22</v>
      </c>
      <c r="E3" s="1" t="s">
        <v>23</v>
      </c>
      <c r="F3" s="1" t="s">
        <v>24</v>
      </c>
      <c r="G3" s="1">
        <v>-103.548452</v>
      </c>
      <c r="H3" s="1">
        <v>-51.658585000000002</v>
      </c>
      <c r="I3" s="1">
        <v>-101.2525486</v>
      </c>
      <c r="J3" s="1">
        <v>-52.358545999999997</v>
      </c>
      <c r="K3" s="1" t="s">
        <v>51</v>
      </c>
      <c r="L3" s="2">
        <v>0.98360000000000003</v>
      </c>
      <c r="M3" s="1" t="s">
        <v>25</v>
      </c>
    </row>
    <row r="4" spans="1:13">
      <c r="A4" s="1">
        <v>10</v>
      </c>
      <c r="B4" s="1" t="s">
        <v>0</v>
      </c>
      <c r="C4" s="1" t="s">
        <v>29</v>
      </c>
      <c r="D4" s="1" t="s">
        <v>27</v>
      </c>
      <c r="E4" s="1" t="s">
        <v>28</v>
      </c>
      <c r="F4" s="1" t="s">
        <v>26</v>
      </c>
      <c r="G4" s="1">
        <v>-111.254867</v>
      </c>
      <c r="H4" s="1">
        <v>-50.548524</v>
      </c>
      <c r="I4" s="1">
        <v>-104.54827640000001</v>
      </c>
      <c r="J4" s="1">
        <v>-53.658543999999999</v>
      </c>
      <c r="K4" s="1" t="s">
        <v>50</v>
      </c>
      <c r="L4" s="2">
        <v>0.96760000000000002</v>
      </c>
      <c r="M4" s="1" t="s">
        <v>30</v>
      </c>
    </row>
    <row r="5" spans="1:13">
      <c r="A5" s="1">
        <v>15</v>
      </c>
      <c r="B5" s="1" t="s">
        <v>0</v>
      </c>
      <c r="C5" s="1" t="s">
        <v>41</v>
      </c>
      <c r="D5" s="1" t="s">
        <v>36</v>
      </c>
      <c r="E5" s="1" t="s">
        <v>35</v>
      </c>
      <c r="F5" s="1" t="s">
        <v>33</v>
      </c>
      <c r="G5" s="1">
        <v>-114.248524</v>
      </c>
      <c r="H5" s="1">
        <v>-49.865485</v>
      </c>
      <c r="I5" s="1">
        <v>-114.7524899</v>
      </c>
      <c r="J5" s="1">
        <v>-54.732157999999998</v>
      </c>
      <c r="K5" s="1" t="s">
        <v>48</v>
      </c>
      <c r="L5" s="2">
        <v>0.91349999999999998</v>
      </c>
      <c r="M5" s="1" t="s">
        <v>32</v>
      </c>
    </row>
    <row r="6" spans="1:13">
      <c r="A6" s="1">
        <v>20</v>
      </c>
      <c r="B6" s="1" t="s">
        <v>0</v>
      </c>
      <c r="C6" s="1" t="s">
        <v>37</v>
      </c>
      <c r="D6" s="1" t="s">
        <v>22</v>
      </c>
      <c r="E6" s="1" t="s">
        <v>44</v>
      </c>
      <c r="F6" s="1" t="s">
        <v>38</v>
      </c>
      <c r="G6" s="1">
        <v>-115.856452</v>
      </c>
      <c r="H6" s="1">
        <v>-50.021253999999999</v>
      </c>
      <c r="I6" s="1">
        <v>-113.5452583</v>
      </c>
      <c r="J6" s="1">
        <v>-55.658451999999997</v>
      </c>
      <c r="K6" s="1" t="s">
        <v>49</v>
      </c>
      <c r="L6" s="2">
        <v>0.86539999999999995</v>
      </c>
      <c r="M6" s="1" t="s">
        <v>31</v>
      </c>
    </row>
    <row r="7" spans="1:13">
      <c r="A7" s="1">
        <v>35</v>
      </c>
      <c r="B7" s="1" t="s">
        <v>0</v>
      </c>
      <c r="C7" s="1" t="s">
        <v>40</v>
      </c>
      <c r="D7" s="1" t="s">
        <v>45</v>
      </c>
      <c r="E7" s="1" t="s">
        <v>43</v>
      </c>
      <c r="F7" s="1" t="s">
        <v>42</v>
      </c>
      <c r="G7" s="1">
        <v>-117.85456499999999</v>
      </c>
      <c r="H7" s="1">
        <v>-50.354861999999997</v>
      </c>
      <c r="I7" s="1">
        <v>-115.54863539999999</v>
      </c>
      <c r="J7" s="1">
        <v>-54.965845000000002</v>
      </c>
      <c r="K7" s="1" t="s">
        <v>47</v>
      </c>
      <c r="L7" s="2">
        <v>0.71679999999999999</v>
      </c>
      <c r="M7" s="1" t="s">
        <v>46</v>
      </c>
    </row>
    <row r="8" spans="1:13">
      <c r="A8" s="1">
        <v>50</v>
      </c>
      <c r="B8" s="1" t="s">
        <v>0</v>
      </c>
      <c r="C8" s="1" t="s">
        <v>64</v>
      </c>
      <c r="D8" s="1" t="s">
        <v>65</v>
      </c>
      <c r="E8" s="1" t="s">
        <v>66</v>
      </c>
      <c r="F8" s="1" t="s">
        <v>67</v>
      </c>
      <c r="G8" s="1">
        <v>-120.167523</v>
      </c>
      <c r="H8" s="1">
        <v>-53.658544999999997</v>
      </c>
      <c r="I8" s="1">
        <v>-118.9596854</v>
      </c>
      <c r="J8" s="1">
        <v>-56.365861000000002</v>
      </c>
      <c r="K8" s="1" t="s">
        <v>68</v>
      </c>
      <c r="L8" s="2">
        <v>0.53900000000000003</v>
      </c>
      <c r="M8" s="1" t="s">
        <v>46</v>
      </c>
    </row>
    <row r="9" spans="1:13">
      <c r="D9" s="78" t="s">
        <v>96</v>
      </c>
      <c r="E9" s="78"/>
      <c r="F9" s="78"/>
    </row>
    <row r="10" spans="1:13">
      <c r="A10" s="1" t="s">
        <v>63</v>
      </c>
      <c r="B10" s="1" t="s">
        <v>71</v>
      </c>
      <c r="C10" s="1" t="s">
        <v>11</v>
      </c>
      <c r="D10" s="1" t="s">
        <v>2</v>
      </c>
      <c r="E10" s="1" t="s">
        <v>39</v>
      </c>
      <c r="F10" s="1" t="s">
        <v>17</v>
      </c>
      <c r="G10" s="1" t="s">
        <v>93</v>
      </c>
      <c r="H10" s="1" t="s">
        <v>94</v>
      </c>
      <c r="I10" s="1" t="s">
        <v>86</v>
      </c>
    </row>
    <row r="11" spans="1:13">
      <c r="A11" s="1">
        <v>5</v>
      </c>
      <c r="B11" s="1">
        <v>0</v>
      </c>
      <c r="C11" s="1">
        <v>0</v>
      </c>
      <c r="D11" s="1">
        <v>0</v>
      </c>
      <c r="E11" s="1" t="s">
        <v>87</v>
      </c>
      <c r="F11" s="1">
        <v>0</v>
      </c>
      <c r="G11" s="1">
        <v>-218.35485199999999</v>
      </c>
      <c r="H11" s="1">
        <v>-198.365432</v>
      </c>
      <c r="I11" s="3">
        <v>0</v>
      </c>
    </row>
    <row r="12" spans="1:13">
      <c r="A12" s="1">
        <v>10</v>
      </c>
      <c r="B12" s="1">
        <v>0</v>
      </c>
      <c r="C12" s="1">
        <v>0</v>
      </c>
      <c r="D12" s="1">
        <v>0</v>
      </c>
      <c r="E12" s="1" t="s">
        <v>88</v>
      </c>
      <c r="F12" s="1">
        <v>0</v>
      </c>
      <c r="G12" s="1">
        <v>-218.963548</v>
      </c>
      <c r="H12" s="1">
        <v>-200.65448799999999</v>
      </c>
      <c r="I12" s="3">
        <v>0</v>
      </c>
    </row>
    <row r="13" spans="1:13">
      <c r="A13" s="1">
        <v>15</v>
      </c>
      <c r="B13" s="1">
        <v>0</v>
      </c>
      <c r="C13" s="1">
        <v>0</v>
      </c>
      <c r="D13" s="1">
        <v>0</v>
      </c>
      <c r="E13" s="1" t="s">
        <v>89</v>
      </c>
      <c r="F13" s="1">
        <v>0</v>
      </c>
      <c r="G13" s="1">
        <v>-220.54715200000001</v>
      </c>
      <c r="H13" s="1">
        <v>-204.63646460000001</v>
      </c>
      <c r="I13" s="3">
        <v>0</v>
      </c>
    </row>
    <row r="14" spans="1:13">
      <c r="A14" s="1">
        <v>20</v>
      </c>
      <c r="B14" s="1">
        <v>0</v>
      </c>
      <c r="C14" s="1">
        <v>0</v>
      </c>
      <c r="D14" s="1">
        <v>0</v>
      </c>
      <c r="E14" s="1" t="s">
        <v>90</v>
      </c>
      <c r="F14" s="1">
        <v>0</v>
      </c>
      <c r="G14" s="1">
        <v>-222.35933199999999</v>
      </c>
      <c r="H14" s="1">
        <v>-207.64875219999999</v>
      </c>
      <c r="I14" s="3">
        <v>0</v>
      </c>
    </row>
    <row r="15" spans="1:13">
      <c r="A15" s="1">
        <v>35</v>
      </c>
      <c r="B15" s="1">
        <v>0</v>
      </c>
      <c r="C15" s="1">
        <v>0</v>
      </c>
      <c r="D15" s="1">
        <v>0</v>
      </c>
      <c r="E15" s="1" t="s">
        <v>91</v>
      </c>
      <c r="F15" s="1">
        <v>0</v>
      </c>
      <c r="G15" s="1">
        <v>-229.36548500000001</v>
      </c>
      <c r="H15" s="1">
        <v>-211.65652320000001</v>
      </c>
      <c r="I15" s="3">
        <v>0</v>
      </c>
    </row>
    <row r="16" spans="1:13">
      <c r="A16" s="1">
        <v>50</v>
      </c>
      <c r="B16" s="1">
        <v>0</v>
      </c>
      <c r="C16" s="1">
        <v>0</v>
      </c>
      <c r="D16" s="1">
        <v>0</v>
      </c>
      <c r="E16" s="1" t="s">
        <v>92</v>
      </c>
      <c r="F16" s="1">
        <v>0</v>
      </c>
      <c r="G16" s="1">
        <v>-231.66235499999999</v>
      </c>
      <c r="H16" s="1">
        <v>-219.64634340000001</v>
      </c>
      <c r="I16" s="3">
        <v>0</v>
      </c>
    </row>
    <row r="17" spans="1:13">
      <c r="D17" s="78" t="s">
        <v>95</v>
      </c>
      <c r="E17" s="78"/>
      <c r="F17" s="78"/>
    </row>
    <row r="18" spans="1:13">
      <c r="A18" s="1" t="s">
        <v>63</v>
      </c>
      <c r="B18" s="1" t="s">
        <v>71</v>
      </c>
      <c r="C18" s="1" t="s">
        <v>11</v>
      </c>
      <c r="D18" s="1" t="s">
        <v>2</v>
      </c>
      <c r="E18" s="1" t="s">
        <v>39</v>
      </c>
      <c r="F18" s="1" t="s">
        <v>16</v>
      </c>
      <c r="G18" s="1" t="s">
        <v>93</v>
      </c>
      <c r="H18" s="1" t="s">
        <v>94</v>
      </c>
      <c r="I18" s="1" t="s">
        <v>86</v>
      </c>
    </row>
    <row r="19" spans="1:13">
      <c r="A19" s="1">
        <v>5</v>
      </c>
      <c r="B19" s="1" t="s">
        <v>0</v>
      </c>
      <c r="C19" s="1">
        <v>0</v>
      </c>
      <c r="D19" s="1" t="s">
        <v>97</v>
      </c>
      <c r="E19" s="1" t="s">
        <v>108</v>
      </c>
      <c r="F19" s="1">
        <v>0</v>
      </c>
      <c r="G19" s="1">
        <v>-216.452021</v>
      </c>
      <c r="H19" s="1">
        <v>-52.542144399999998</v>
      </c>
      <c r="I19" s="2">
        <v>0.47149999999999997</v>
      </c>
    </row>
    <row r="20" spans="1:13">
      <c r="A20" s="1">
        <v>10</v>
      </c>
      <c r="B20" s="1" t="s">
        <v>0</v>
      </c>
      <c r="C20" s="1">
        <v>0</v>
      </c>
      <c r="D20" s="1" t="s">
        <v>98</v>
      </c>
      <c r="E20" s="1" t="s">
        <v>103</v>
      </c>
      <c r="F20" s="1">
        <v>0</v>
      </c>
      <c r="G20" s="1">
        <v>-219.36521500000001</v>
      </c>
      <c r="H20" s="1">
        <v>-51.554312099999997</v>
      </c>
      <c r="I20" s="2">
        <v>0.43209999999999998</v>
      </c>
    </row>
    <row r="21" spans="1:13">
      <c r="A21" s="1">
        <v>15</v>
      </c>
      <c r="B21" s="1" t="s">
        <v>0</v>
      </c>
      <c r="C21" s="1">
        <v>0</v>
      </c>
      <c r="D21" s="1" t="s">
        <v>99</v>
      </c>
      <c r="E21" s="1" t="s">
        <v>104</v>
      </c>
      <c r="F21" s="1">
        <v>0</v>
      </c>
      <c r="G21" s="1">
        <v>-221.65821099999999</v>
      </c>
      <c r="H21" s="1">
        <v>-53.677463500000002</v>
      </c>
      <c r="I21" s="2">
        <v>0.39140000000000003</v>
      </c>
    </row>
    <row r="22" spans="1:13">
      <c r="A22" s="1">
        <v>20</v>
      </c>
      <c r="B22" s="1" t="s">
        <v>0</v>
      </c>
      <c r="C22" s="1">
        <v>0</v>
      </c>
      <c r="D22" s="1" t="s">
        <v>101</v>
      </c>
      <c r="E22" s="1" t="s">
        <v>105</v>
      </c>
      <c r="F22" s="1">
        <v>0</v>
      </c>
      <c r="G22" s="1">
        <v>-228.654021</v>
      </c>
      <c r="H22" s="1">
        <v>-52.658244619999998</v>
      </c>
      <c r="I22" s="2">
        <v>0.36209999999999998</v>
      </c>
    </row>
    <row r="23" spans="1:13">
      <c r="A23" s="1">
        <v>35</v>
      </c>
      <c r="B23" s="1" t="s">
        <v>0</v>
      </c>
      <c r="C23" s="1">
        <v>0</v>
      </c>
      <c r="D23" s="1" t="s">
        <v>100</v>
      </c>
      <c r="E23" s="1" t="s">
        <v>106</v>
      </c>
      <c r="F23" s="1">
        <v>0</v>
      </c>
      <c r="G23" s="1">
        <v>-237.65454099999999</v>
      </c>
      <c r="H23" s="1">
        <v>-53.561662099999999</v>
      </c>
      <c r="I23" s="2">
        <v>0.29909999999999998</v>
      </c>
    </row>
    <row r="24" spans="1:13">
      <c r="A24" s="1">
        <v>50</v>
      </c>
      <c r="B24" s="1" t="s">
        <v>0</v>
      </c>
      <c r="C24" s="1">
        <v>0</v>
      </c>
      <c r="D24" s="1" t="s">
        <v>102</v>
      </c>
      <c r="E24" s="1" t="s">
        <v>107</v>
      </c>
      <c r="F24" s="1">
        <v>0</v>
      </c>
      <c r="G24" s="1">
        <v>-239.38537400000001</v>
      </c>
      <c r="H24" s="1">
        <v>-54.859665700000001</v>
      </c>
      <c r="I24" s="2">
        <v>0.21740000000000001</v>
      </c>
    </row>
    <row r="26" spans="1:13">
      <c r="A26" s="78" t="s">
        <v>14</v>
      </c>
      <c r="B26" s="78"/>
      <c r="C26" s="78"/>
      <c r="D26" s="78"/>
      <c r="E26" s="78"/>
      <c r="F26" s="78"/>
      <c r="G26" s="78"/>
    </row>
    <row r="27" spans="1:13">
      <c r="A27" s="1" t="s">
        <v>63</v>
      </c>
      <c r="B27" s="1" t="s">
        <v>71</v>
      </c>
      <c r="C27" s="1" t="s">
        <v>11</v>
      </c>
      <c r="D27" s="1" t="s">
        <v>2</v>
      </c>
      <c r="E27" s="1" t="s">
        <v>16</v>
      </c>
      <c r="F27" s="1" t="s">
        <v>17</v>
      </c>
      <c r="G27" s="1" t="s">
        <v>4</v>
      </c>
      <c r="H27" s="1" t="s">
        <v>3</v>
      </c>
      <c r="I27" s="1" t="s">
        <v>6</v>
      </c>
      <c r="J27" s="1" t="s">
        <v>5</v>
      </c>
      <c r="K27" s="1" t="s">
        <v>39</v>
      </c>
      <c r="L27" s="1" t="s">
        <v>86</v>
      </c>
      <c r="M27" s="1" t="s">
        <v>9</v>
      </c>
    </row>
    <row r="28" spans="1:13">
      <c r="A28" s="1">
        <v>5</v>
      </c>
      <c r="B28" s="1" t="s">
        <v>0</v>
      </c>
      <c r="C28" s="1" t="s">
        <v>18</v>
      </c>
      <c r="D28" s="1" t="s">
        <v>53</v>
      </c>
      <c r="E28" s="4" t="s">
        <v>78</v>
      </c>
      <c r="F28" s="1" t="s">
        <v>10</v>
      </c>
      <c r="G28" s="1">
        <v>-98.168599</v>
      </c>
      <c r="H28" s="1">
        <v>-47.560135000000002</v>
      </c>
      <c r="I28" s="1">
        <v>-96.254155999999995</v>
      </c>
      <c r="J28" s="1">
        <v>-45.578935000000001</v>
      </c>
      <c r="K28" s="1" t="s">
        <v>52</v>
      </c>
      <c r="L28" s="2">
        <v>0.99099999999999999</v>
      </c>
      <c r="M28" s="1" t="s">
        <v>1</v>
      </c>
    </row>
    <row r="29" spans="1:13">
      <c r="A29" s="1">
        <v>10</v>
      </c>
      <c r="B29" s="1" t="s">
        <v>0</v>
      </c>
      <c r="C29" s="1" t="s">
        <v>76</v>
      </c>
      <c r="D29" s="1" t="s">
        <v>55</v>
      </c>
      <c r="E29" s="4" t="s">
        <v>79</v>
      </c>
      <c r="F29" s="1" t="s">
        <v>12</v>
      </c>
      <c r="G29" s="1">
        <v>-101.325453</v>
      </c>
      <c r="H29" s="1">
        <v>-47.954484000000001</v>
      </c>
      <c r="I29" s="1">
        <v>-96.866532000000007</v>
      </c>
      <c r="J29" s="1">
        <v>-45.168542000000002</v>
      </c>
      <c r="K29" s="1" t="s">
        <v>54</v>
      </c>
      <c r="L29" s="2">
        <v>0.95299999999999996</v>
      </c>
      <c r="M29" s="1" t="s">
        <v>7</v>
      </c>
    </row>
    <row r="30" spans="1:13">
      <c r="A30" s="1">
        <v>15</v>
      </c>
      <c r="B30" s="1" t="s">
        <v>0</v>
      </c>
      <c r="C30" s="1" t="s">
        <v>72</v>
      </c>
      <c r="D30" s="1" t="s">
        <v>56</v>
      </c>
      <c r="E30" s="4" t="s">
        <v>80</v>
      </c>
      <c r="F30" s="1" t="s">
        <v>19</v>
      </c>
      <c r="G30" s="1">
        <v>-106.359537</v>
      </c>
      <c r="H30" s="1">
        <v>-48.123258</v>
      </c>
      <c r="I30" s="1">
        <v>-97.358425999999994</v>
      </c>
      <c r="J30" s="1">
        <v>-46.586244999999998</v>
      </c>
      <c r="K30" s="1" t="s">
        <v>57</v>
      </c>
      <c r="L30" s="2">
        <v>0.86799999999999999</v>
      </c>
      <c r="M30" s="1" t="s">
        <v>20</v>
      </c>
    </row>
    <row r="31" spans="1:13">
      <c r="A31" s="1">
        <v>20</v>
      </c>
      <c r="B31" s="1" t="s">
        <v>0</v>
      </c>
      <c r="C31" s="1" t="s">
        <v>75</v>
      </c>
      <c r="D31" s="1" t="s">
        <v>59</v>
      </c>
      <c r="E31" s="1" t="s">
        <v>81</v>
      </c>
      <c r="F31" s="1" t="s">
        <v>13</v>
      </c>
      <c r="G31" s="1">
        <v>-111.254852</v>
      </c>
      <c r="H31" s="1">
        <v>-49.254852</v>
      </c>
      <c r="I31" s="1">
        <v>-98.255662999999998</v>
      </c>
      <c r="J31" s="1">
        <v>-46.265225000000001</v>
      </c>
      <c r="K31" s="1" t="s">
        <v>58</v>
      </c>
      <c r="L31" s="2">
        <v>0.72599999999999998</v>
      </c>
      <c r="M31" s="1" t="s">
        <v>8</v>
      </c>
    </row>
    <row r="32" spans="1:13">
      <c r="A32" s="1">
        <v>35</v>
      </c>
      <c r="B32" s="1" t="s">
        <v>0</v>
      </c>
      <c r="C32" s="1" t="s">
        <v>73</v>
      </c>
      <c r="D32" s="1" t="s">
        <v>60</v>
      </c>
      <c r="E32" s="1" t="s">
        <v>82</v>
      </c>
      <c r="F32" s="1" t="s">
        <v>62</v>
      </c>
      <c r="G32" s="1">
        <v>-115.548563</v>
      </c>
      <c r="H32" s="1">
        <v>-50.354832999999999</v>
      </c>
      <c r="I32" s="1">
        <v>-98.965853999999993</v>
      </c>
      <c r="J32" s="1">
        <v>-47.635215000000002</v>
      </c>
      <c r="K32" s="1" t="s">
        <v>70</v>
      </c>
      <c r="L32" s="2">
        <v>0.53700000000000003</v>
      </c>
      <c r="M32" s="1" t="s">
        <v>61</v>
      </c>
    </row>
    <row r="33" spans="1:13">
      <c r="A33" s="1">
        <v>50</v>
      </c>
      <c r="B33" s="1" t="s">
        <v>0</v>
      </c>
      <c r="C33" s="1" t="s">
        <v>74</v>
      </c>
      <c r="D33" s="1" t="s">
        <v>77</v>
      </c>
      <c r="E33" s="1" t="s">
        <v>83</v>
      </c>
      <c r="F33" s="1" t="s">
        <v>84</v>
      </c>
      <c r="G33" s="1">
        <v>-118.482585</v>
      </c>
      <c r="H33" s="1">
        <v>-52.845463000000002</v>
      </c>
      <c r="I33" s="1">
        <v>-101.115425</v>
      </c>
      <c r="J33" s="1">
        <v>-48.854636999999997</v>
      </c>
      <c r="K33" s="1" t="s">
        <v>69</v>
      </c>
      <c r="L33" s="2">
        <v>0.51400000000000001</v>
      </c>
      <c r="M33" s="1" t="s">
        <v>85</v>
      </c>
    </row>
    <row r="35" spans="1:13">
      <c r="D35" s="78" t="s">
        <v>109</v>
      </c>
      <c r="E35" s="78"/>
      <c r="F35" s="78"/>
    </row>
    <row r="36" spans="1:13">
      <c r="A36" s="1" t="s">
        <v>63</v>
      </c>
      <c r="B36" s="1" t="s">
        <v>71</v>
      </c>
      <c r="C36" s="1" t="s">
        <v>11</v>
      </c>
      <c r="D36" s="1" t="s">
        <v>2</v>
      </c>
      <c r="E36" s="1" t="s">
        <v>39</v>
      </c>
      <c r="F36" s="1" t="s">
        <v>16</v>
      </c>
      <c r="G36" s="1" t="s">
        <v>93</v>
      </c>
      <c r="H36" s="1" t="s">
        <v>94</v>
      </c>
      <c r="I36" s="1" t="s">
        <v>86</v>
      </c>
    </row>
    <row r="37" spans="1:13">
      <c r="A37" s="1">
        <v>5</v>
      </c>
      <c r="B37" s="1" t="s">
        <v>0</v>
      </c>
      <c r="C37" s="1">
        <v>0</v>
      </c>
      <c r="D37" s="1" t="s">
        <v>110</v>
      </c>
      <c r="E37" s="1" t="s">
        <v>118</v>
      </c>
      <c r="F37" s="1">
        <v>0</v>
      </c>
      <c r="G37" s="1">
        <v>-216.452021</v>
      </c>
      <c r="H37" s="1">
        <v>-50.641822300000001</v>
      </c>
      <c r="I37" s="2">
        <v>0.41199999999999998</v>
      </c>
    </row>
    <row r="38" spans="1:13">
      <c r="A38" s="1">
        <v>10</v>
      </c>
      <c r="B38" s="1" t="s">
        <v>0</v>
      </c>
      <c r="C38" s="1">
        <v>0</v>
      </c>
      <c r="D38" s="1" t="s">
        <v>111</v>
      </c>
      <c r="E38" s="1" t="s">
        <v>117</v>
      </c>
      <c r="F38" s="1">
        <v>0</v>
      </c>
      <c r="G38" s="1">
        <v>-219.36521500000001</v>
      </c>
      <c r="H38" s="1">
        <v>-49.354628499999997</v>
      </c>
      <c r="I38" s="2">
        <v>0.375</v>
      </c>
    </row>
    <row r="39" spans="1:13">
      <c r="A39" s="1">
        <v>15</v>
      </c>
      <c r="B39" s="1" t="s">
        <v>0</v>
      </c>
      <c r="C39" s="1">
        <v>0</v>
      </c>
      <c r="D39" s="1" t="s">
        <v>112</v>
      </c>
      <c r="E39" s="1" t="s">
        <v>116</v>
      </c>
      <c r="F39" s="1">
        <v>0</v>
      </c>
      <c r="G39" s="1">
        <v>-221.65821099999999</v>
      </c>
      <c r="H39" s="1">
        <v>-54.664484100000003</v>
      </c>
      <c r="I39" s="2">
        <v>0.3947</v>
      </c>
    </row>
    <row r="40" spans="1:13">
      <c r="A40" s="1">
        <v>20</v>
      </c>
      <c r="B40" s="1" t="s">
        <v>0</v>
      </c>
      <c r="C40" s="1">
        <v>0</v>
      </c>
      <c r="D40" s="1" t="s">
        <v>113</v>
      </c>
      <c r="E40" s="1" t="s">
        <v>119</v>
      </c>
      <c r="F40" s="1">
        <v>0</v>
      </c>
      <c r="G40" s="1">
        <v>-228.654021</v>
      </c>
      <c r="H40" s="1">
        <v>-53.658541399999997</v>
      </c>
      <c r="I40" s="2">
        <v>0.32140000000000002</v>
      </c>
    </row>
    <row r="41" spans="1:13">
      <c r="A41" s="1">
        <v>35</v>
      </c>
      <c r="B41" s="1" t="s">
        <v>0</v>
      </c>
      <c r="C41" s="1">
        <v>0</v>
      </c>
      <c r="D41" s="1" t="s">
        <v>114</v>
      </c>
      <c r="E41" s="1" t="s">
        <v>120</v>
      </c>
      <c r="F41" s="1">
        <v>0</v>
      </c>
      <c r="G41" s="1">
        <v>-237.65454099999999</v>
      </c>
      <c r="H41" s="1">
        <v>-54.365251149999999</v>
      </c>
      <c r="I41" s="2">
        <v>0.24179999999999999</v>
      </c>
    </row>
    <row r="42" spans="1:13">
      <c r="A42" s="1">
        <v>50</v>
      </c>
      <c r="B42" s="1" t="s">
        <v>0</v>
      </c>
      <c r="C42" s="1">
        <v>0</v>
      </c>
      <c r="D42" s="1" t="s">
        <v>115</v>
      </c>
      <c r="E42" s="1" t="s">
        <v>121</v>
      </c>
      <c r="F42" s="1">
        <v>0</v>
      </c>
      <c r="G42" s="1">
        <v>-239.38537400000001</v>
      </c>
      <c r="H42" s="1">
        <v>-55.963352149999999</v>
      </c>
      <c r="I42" s="2">
        <v>0.1983</v>
      </c>
    </row>
  </sheetData>
  <mergeCells count="5">
    <mergeCell ref="D35:F35"/>
    <mergeCell ref="A1:G1"/>
    <mergeCell ref="A26:G26"/>
    <mergeCell ref="D9:F9"/>
    <mergeCell ref="D17:F1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dimension ref="A1:L51"/>
  <sheetViews>
    <sheetView workbookViewId="0">
      <selection activeCell="C6" sqref="C6"/>
    </sheetView>
  </sheetViews>
  <sheetFormatPr defaultRowHeight="15"/>
  <cols>
    <col min="1" max="1" width="9.140625" style="5"/>
    <col min="2" max="2" width="21" style="5" customWidth="1"/>
    <col min="3" max="4" width="19.7109375" style="5" customWidth="1"/>
    <col min="5" max="5" width="25.7109375" style="5" customWidth="1"/>
    <col min="6" max="6" width="15" style="5" customWidth="1"/>
    <col min="7" max="7" width="18" style="5" customWidth="1"/>
    <col min="8" max="16384" width="9.140625" style="5"/>
  </cols>
  <sheetData>
    <row r="1" spans="1:12">
      <c r="A1" s="79" t="s">
        <v>125</v>
      </c>
      <c r="B1" s="79"/>
      <c r="C1" s="79"/>
      <c r="D1" s="79"/>
      <c r="E1" s="79"/>
    </row>
    <row r="2" spans="1:12">
      <c r="A2" s="5" t="s">
        <v>124</v>
      </c>
      <c r="B2" s="5" t="s">
        <v>123</v>
      </c>
      <c r="C2" s="5" t="s">
        <v>122</v>
      </c>
      <c r="D2" s="5" t="s">
        <v>128</v>
      </c>
      <c r="E2" s="5" t="s">
        <v>126</v>
      </c>
      <c r="F2" s="5" t="s">
        <v>129</v>
      </c>
      <c r="G2" s="5" t="s">
        <v>127</v>
      </c>
      <c r="H2" s="5" t="s">
        <v>132</v>
      </c>
      <c r="I2" s="5" t="s">
        <v>130</v>
      </c>
      <c r="J2" s="5" t="s">
        <v>131</v>
      </c>
      <c r="K2" s="5" t="s">
        <v>133</v>
      </c>
      <c r="L2" s="5" t="s">
        <v>134</v>
      </c>
    </row>
    <row r="3" spans="1:12">
      <c r="A3" s="5">
        <v>1</v>
      </c>
      <c r="D3" s="5">
        <f t="shared" ref="D3:D34" si="0">F3/G3*100</f>
        <v>75.675675675675677</v>
      </c>
      <c r="E3" s="5">
        <v>332.4</v>
      </c>
      <c r="F3" s="5">
        <f>H3+I3+J3+K3+L3</f>
        <v>28</v>
      </c>
      <c r="G3" s="5">
        <v>37</v>
      </c>
      <c r="H3" s="5">
        <v>1</v>
      </c>
      <c r="I3" s="5">
        <v>15</v>
      </c>
      <c r="J3" s="5">
        <v>5</v>
      </c>
      <c r="K3" s="5">
        <v>4</v>
      </c>
      <c r="L3" s="5">
        <v>3</v>
      </c>
    </row>
    <row r="4" spans="1:12">
      <c r="A4" s="5">
        <v>2</v>
      </c>
      <c r="D4" s="5">
        <f t="shared" si="0"/>
        <v>65.853658536585371</v>
      </c>
      <c r="E4" s="5">
        <v>329.46</v>
      </c>
      <c r="F4" s="5">
        <f t="shared" ref="F4:F51" si="1">H4+I4+J4+K4+L4</f>
        <v>27</v>
      </c>
      <c r="G4" s="5">
        <v>41</v>
      </c>
      <c r="H4" s="5">
        <v>3</v>
      </c>
      <c r="I4" s="5">
        <v>4</v>
      </c>
      <c r="J4" s="5">
        <v>10</v>
      </c>
      <c r="K4" s="5">
        <v>1</v>
      </c>
      <c r="L4" s="5">
        <v>9</v>
      </c>
    </row>
    <row r="5" spans="1:12">
      <c r="A5" s="5">
        <v>3</v>
      </c>
      <c r="D5" s="5">
        <f t="shared" si="0"/>
        <v>86.79245283018868</v>
      </c>
      <c r="E5" s="5">
        <v>332.4</v>
      </c>
      <c r="F5" s="5">
        <f t="shared" si="1"/>
        <v>46</v>
      </c>
      <c r="G5" s="5">
        <v>53</v>
      </c>
      <c r="H5" s="5">
        <v>8</v>
      </c>
      <c r="I5" s="5">
        <v>11</v>
      </c>
      <c r="J5" s="5">
        <v>18</v>
      </c>
      <c r="K5" s="5">
        <v>4</v>
      </c>
      <c r="L5" s="5">
        <v>5</v>
      </c>
    </row>
    <row r="6" spans="1:12">
      <c r="A6" s="5">
        <v>4</v>
      </c>
      <c r="D6" s="5">
        <f t="shared" si="0"/>
        <v>69.767441860465112</v>
      </c>
      <c r="E6" s="5">
        <v>325.05</v>
      </c>
      <c r="F6" s="5">
        <f t="shared" si="1"/>
        <v>30</v>
      </c>
      <c r="G6" s="5">
        <v>43</v>
      </c>
      <c r="H6" s="5">
        <v>0</v>
      </c>
      <c r="I6" s="5">
        <v>14</v>
      </c>
      <c r="J6" s="5">
        <v>9</v>
      </c>
      <c r="K6" s="5">
        <v>1</v>
      </c>
      <c r="L6" s="5">
        <v>6</v>
      </c>
    </row>
    <row r="7" spans="1:12">
      <c r="A7" s="5">
        <v>5</v>
      </c>
      <c r="D7" s="5">
        <f t="shared" si="0"/>
        <v>88.888888888888886</v>
      </c>
      <c r="E7" s="5">
        <v>326.52</v>
      </c>
      <c r="F7" s="5">
        <f t="shared" si="1"/>
        <v>56</v>
      </c>
      <c r="G7" s="5">
        <v>63</v>
      </c>
      <c r="H7" s="5">
        <v>5</v>
      </c>
      <c r="I7" s="5">
        <v>7</v>
      </c>
      <c r="J7" s="5">
        <v>36</v>
      </c>
      <c r="K7" s="5">
        <v>5</v>
      </c>
      <c r="L7" s="5">
        <v>3</v>
      </c>
    </row>
    <row r="8" spans="1:12">
      <c r="A8" s="5">
        <v>6</v>
      </c>
      <c r="D8" s="5">
        <f t="shared" si="0"/>
        <v>82.35294117647058</v>
      </c>
      <c r="E8" s="5">
        <v>326.52</v>
      </c>
      <c r="F8" s="5">
        <f t="shared" si="1"/>
        <v>42</v>
      </c>
      <c r="G8" s="5">
        <v>51</v>
      </c>
      <c r="H8" s="5">
        <v>6</v>
      </c>
      <c r="I8" s="5">
        <v>24</v>
      </c>
      <c r="J8" s="5">
        <v>5</v>
      </c>
      <c r="K8" s="5">
        <v>0</v>
      </c>
      <c r="L8" s="5">
        <v>7</v>
      </c>
    </row>
    <row r="9" spans="1:12">
      <c r="A9" s="5">
        <v>7</v>
      </c>
      <c r="D9" s="5">
        <f t="shared" si="0"/>
        <v>79.591836734693871</v>
      </c>
      <c r="E9" s="5">
        <v>325.05</v>
      </c>
      <c r="F9" s="5">
        <f t="shared" si="1"/>
        <v>39</v>
      </c>
      <c r="G9" s="5">
        <v>49</v>
      </c>
      <c r="H9" s="5">
        <v>12</v>
      </c>
      <c r="I9" s="5">
        <v>12</v>
      </c>
      <c r="J9" s="5">
        <v>5</v>
      </c>
      <c r="K9" s="5">
        <v>6</v>
      </c>
      <c r="L9" s="5">
        <v>4</v>
      </c>
    </row>
    <row r="10" spans="1:12">
      <c r="A10" s="5">
        <v>8</v>
      </c>
      <c r="D10" s="5">
        <f t="shared" si="0"/>
        <v>89.189189189189193</v>
      </c>
      <c r="E10" s="5">
        <v>325.05</v>
      </c>
      <c r="F10" s="5">
        <f t="shared" si="1"/>
        <v>33</v>
      </c>
      <c r="G10" s="5">
        <v>37</v>
      </c>
      <c r="H10" s="5">
        <v>16</v>
      </c>
      <c r="I10" s="5">
        <v>6</v>
      </c>
      <c r="J10" s="5">
        <v>7</v>
      </c>
      <c r="K10" s="5">
        <v>1</v>
      </c>
      <c r="L10" s="5">
        <v>3</v>
      </c>
    </row>
    <row r="11" spans="1:12">
      <c r="A11" s="5">
        <v>9</v>
      </c>
      <c r="D11" s="5">
        <f t="shared" si="0"/>
        <v>83.333333333333343</v>
      </c>
      <c r="E11" s="5">
        <v>314.76</v>
      </c>
      <c r="F11" s="5">
        <f t="shared" si="1"/>
        <v>35</v>
      </c>
      <c r="G11" s="5">
        <v>42</v>
      </c>
      <c r="H11" s="5">
        <v>5</v>
      </c>
      <c r="I11" s="5">
        <v>11</v>
      </c>
      <c r="J11" s="5">
        <v>16</v>
      </c>
      <c r="K11" s="5">
        <v>0</v>
      </c>
      <c r="L11" s="5">
        <v>3</v>
      </c>
    </row>
    <row r="12" spans="1:12">
      <c r="A12" s="5">
        <v>10</v>
      </c>
      <c r="D12" s="5">
        <f t="shared" si="0"/>
        <v>82.051282051282044</v>
      </c>
      <c r="E12" s="5">
        <v>313.29000000000002</v>
      </c>
      <c r="F12" s="5">
        <f t="shared" si="1"/>
        <v>32</v>
      </c>
      <c r="G12" s="5">
        <v>39</v>
      </c>
      <c r="H12" s="5">
        <v>0</v>
      </c>
      <c r="I12" s="5">
        <v>17</v>
      </c>
      <c r="J12" s="5">
        <v>10</v>
      </c>
      <c r="K12" s="5">
        <v>3</v>
      </c>
      <c r="L12" s="5">
        <v>2</v>
      </c>
    </row>
    <row r="13" spans="1:12">
      <c r="A13" s="5">
        <v>11</v>
      </c>
      <c r="D13" s="5">
        <f t="shared" si="0"/>
        <v>88.461538461538453</v>
      </c>
      <c r="E13" s="5">
        <v>317.7</v>
      </c>
      <c r="F13" s="5">
        <f t="shared" si="1"/>
        <v>23</v>
      </c>
      <c r="G13" s="5">
        <v>26</v>
      </c>
      <c r="H13" s="5">
        <v>12</v>
      </c>
      <c r="I13" s="5">
        <v>0</v>
      </c>
      <c r="J13" s="5">
        <v>9</v>
      </c>
      <c r="K13" s="5">
        <v>2</v>
      </c>
      <c r="L13" s="5">
        <v>0</v>
      </c>
    </row>
    <row r="14" spans="1:12">
      <c r="A14" s="5">
        <v>12</v>
      </c>
      <c r="D14" s="5">
        <f t="shared" si="0"/>
        <v>87.837837837837839</v>
      </c>
      <c r="E14" s="5">
        <v>329.46</v>
      </c>
      <c r="F14" s="5">
        <f t="shared" si="1"/>
        <v>65</v>
      </c>
      <c r="G14" s="5">
        <v>74</v>
      </c>
      <c r="H14" s="5">
        <v>3</v>
      </c>
      <c r="I14" s="5">
        <v>16</v>
      </c>
      <c r="J14" s="5">
        <v>44</v>
      </c>
      <c r="K14" s="5">
        <v>0</v>
      </c>
      <c r="L14" s="5">
        <v>2</v>
      </c>
    </row>
    <row r="15" spans="1:12">
      <c r="A15" s="5">
        <v>13</v>
      </c>
      <c r="D15" s="5">
        <f t="shared" si="0"/>
        <v>77.777777777777786</v>
      </c>
      <c r="E15" s="5">
        <v>313.29000000000002</v>
      </c>
      <c r="F15" s="5">
        <f t="shared" si="1"/>
        <v>28</v>
      </c>
      <c r="G15" s="5">
        <v>36</v>
      </c>
      <c r="H15" s="5">
        <v>10</v>
      </c>
      <c r="I15" s="5">
        <v>17</v>
      </c>
      <c r="J15" s="5">
        <v>1</v>
      </c>
      <c r="K15" s="5">
        <v>0</v>
      </c>
      <c r="L15" s="5">
        <v>0</v>
      </c>
    </row>
    <row r="16" spans="1:12">
      <c r="A16" s="5">
        <v>14</v>
      </c>
      <c r="D16" s="5">
        <f t="shared" si="0"/>
        <v>83.78378378378379</v>
      </c>
      <c r="E16" s="5">
        <v>326.52</v>
      </c>
      <c r="F16" s="5">
        <f t="shared" si="1"/>
        <v>31</v>
      </c>
      <c r="G16" s="5">
        <v>37</v>
      </c>
      <c r="H16" s="5">
        <v>12</v>
      </c>
      <c r="I16" s="5">
        <v>0</v>
      </c>
      <c r="J16" s="5">
        <v>18</v>
      </c>
      <c r="K16" s="5">
        <v>0</v>
      </c>
      <c r="L16" s="5">
        <v>1</v>
      </c>
    </row>
    <row r="17" spans="1:12">
      <c r="A17" s="5">
        <v>15</v>
      </c>
      <c r="D17" s="5">
        <f t="shared" si="0"/>
        <v>96.103896103896105</v>
      </c>
      <c r="E17" s="5">
        <v>329.46</v>
      </c>
      <c r="F17" s="5">
        <f t="shared" si="1"/>
        <v>74</v>
      </c>
      <c r="G17" s="5">
        <v>77</v>
      </c>
      <c r="H17" s="5">
        <v>21</v>
      </c>
      <c r="I17" s="5">
        <v>43</v>
      </c>
      <c r="J17" s="5">
        <v>10</v>
      </c>
      <c r="K17" s="5">
        <v>0</v>
      </c>
      <c r="L17" s="5">
        <v>0</v>
      </c>
    </row>
    <row r="18" spans="1:12">
      <c r="A18" s="5">
        <v>16</v>
      </c>
      <c r="D18" s="5">
        <f t="shared" si="0"/>
        <v>97.435897435897431</v>
      </c>
      <c r="E18" s="5">
        <v>319.17</v>
      </c>
      <c r="F18" s="5">
        <f t="shared" si="1"/>
        <v>38</v>
      </c>
      <c r="G18" s="5">
        <v>39</v>
      </c>
      <c r="H18" s="5">
        <v>8</v>
      </c>
      <c r="I18" s="5">
        <v>2</v>
      </c>
      <c r="J18" s="5">
        <v>16</v>
      </c>
      <c r="K18" s="5">
        <v>7</v>
      </c>
      <c r="L18" s="5">
        <v>5</v>
      </c>
    </row>
    <row r="19" spans="1:12">
      <c r="A19" s="5">
        <v>17</v>
      </c>
      <c r="D19" s="5">
        <f t="shared" si="0"/>
        <v>93.670886075949369</v>
      </c>
      <c r="E19" s="5">
        <v>329.46</v>
      </c>
      <c r="F19" s="5">
        <f t="shared" si="1"/>
        <v>74</v>
      </c>
      <c r="G19" s="5">
        <v>79</v>
      </c>
      <c r="H19" s="5">
        <v>2</v>
      </c>
      <c r="I19" s="5">
        <v>25</v>
      </c>
      <c r="J19" s="5">
        <v>42</v>
      </c>
      <c r="K19" s="5">
        <v>4</v>
      </c>
      <c r="L19" s="5">
        <v>1</v>
      </c>
    </row>
    <row r="20" spans="1:12">
      <c r="A20" s="5">
        <v>18</v>
      </c>
      <c r="D20" s="5">
        <f t="shared" si="0"/>
        <v>95.833333333333343</v>
      </c>
      <c r="E20" s="5">
        <v>319.17</v>
      </c>
      <c r="F20" s="5">
        <f t="shared" si="1"/>
        <v>23</v>
      </c>
      <c r="G20" s="5">
        <v>24</v>
      </c>
      <c r="H20" s="5">
        <v>16</v>
      </c>
      <c r="I20" s="5">
        <v>4</v>
      </c>
      <c r="J20" s="5">
        <v>0</v>
      </c>
      <c r="K20" s="5">
        <v>1</v>
      </c>
      <c r="L20" s="5">
        <v>2</v>
      </c>
    </row>
    <row r="21" spans="1:12">
      <c r="A21" s="5">
        <v>19</v>
      </c>
      <c r="D21" s="5">
        <f t="shared" si="0"/>
        <v>88.888888888888886</v>
      </c>
      <c r="E21" s="5">
        <v>311.82</v>
      </c>
      <c r="F21" s="5">
        <f t="shared" si="1"/>
        <v>24</v>
      </c>
      <c r="G21" s="5">
        <v>27</v>
      </c>
      <c r="H21" s="5">
        <v>6</v>
      </c>
      <c r="I21" s="5">
        <v>13</v>
      </c>
      <c r="J21" s="5">
        <v>0</v>
      </c>
      <c r="K21" s="5">
        <v>5</v>
      </c>
      <c r="L21" s="5">
        <v>0</v>
      </c>
    </row>
    <row r="22" spans="1:12">
      <c r="A22" s="5">
        <v>20</v>
      </c>
      <c r="D22" s="5">
        <f t="shared" si="0"/>
        <v>97.560975609756099</v>
      </c>
      <c r="E22" s="5">
        <v>314.76</v>
      </c>
      <c r="F22" s="5">
        <f t="shared" si="1"/>
        <v>40</v>
      </c>
      <c r="G22" s="5">
        <v>41</v>
      </c>
      <c r="H22" s="5">
        <v>8</v>
      </c>
      <c r="I22" s="5">
        <v>0</v>
      </c>
      <c r="J22" s="5">
        <v>27</v>
      </c>
      <c r="K22" s="5">
        <v>3</v>
      </c>
      <c r="L22" s="5">
        <v>2</v>
      </c>
    </row>
    <row r="23" spans="1:12">
      <c r="A23" s="5">
        <v>21</v>
      </c>
      <c r="D23" s="5">
        <f t="shared" si="0"/>
        <v>90.740740740740748</v>
      </c>
      <c r="E23" s="5">
        <v>314.76</v>
      </c>
      <c r="F23" s="5">
        <f t="shared" si="1"/>
        <v>49</v>
      </c>
      <c r="G23" s="5">
        <v>54</v>
      </c>
      <c r="H23" s="5">
        <v>2</v>
      </c>
      <c r="I23" s="5">
        <v>13</v>
      </c>
      <c r="J23" s="5">
        <v>28</v>
      </c>
      <c r="K23" s="5">
        <v>1</v>
      </c>
      <c r="L23" s="5">
        <v>5</v>
      </c>
    </row>
    <row r="24" spans="1:12">
      <c r="A24" s="5">
        <v>22</v>
      </c>
      <c r="D24" s="5">
        <f t="shared" si="0"/>
        <v>94</v>
      </c>
      <c r="E24" s="5">
        <v>307.41000000000003</v>
      </c>
      <c r="F24" s="5">
        <f t="shared" si="1"/>
        <v>47</v>
      </c>
      <c r="G24" s="5">
        <v>50</v>
      </c>
      <c r="H24" s="5">
        <v>0</v>
      </c>
      <c r="I24" s="5">
        <v>0</v>
      </c>
      <c r="J24" s="5">
        <v>42</v>
      </c>
      <c r="K24" s="5">
        <v>3</v>
      </c>
      <c r="L24" s="5">
        <v>2</v>
      </c>
    </row>
    <row r="25" spans="1:12">
      <c r="A25" s="5">
        <v>23</v>
      </c>
      <c r="D25" s="5">
        <f t="shared" si="0"/>
        <v>91.860465116279073</v>
      </c>
      <c r="E25" s="5">
        <v>317.7</v>
      </c>
      <c r="F25" s="5">
        <f t="shared" si="1"/>
        <v>79</v>
      </c>
      <c r="G25" s="5">
        <v>86</v>
      </c>
      <c r="H25" s="5">
        <v>29</v>
      </c>
      <c r="I25" s="5">
        <v>30</v>
      </c>
      <c r="J25" s="5">
        <v>19</v>
      </c>
      <c r="K25" s="5">
        <v>0</v>
      </c>
      <c r="L25" s="5">
        <v>1</v>
      </c>
    </row>
    <row r="26" spans="1:12">
      <c r="A26" s="5">
        <v>24</v>
      </c>
      <c r="D26" s="5">
        <f t="shared" si="0"/>
        <v>94.285714285714278</v>
      </c>
      <c r="E26" s="5">
        <v>310.35000000000002</v>
      </c>
      <c r="F26" s="5">
        <f t="shared" si="1"/>
        <v>99</v>
      </c>
      <c r="G26" s="5">
        <v>105</v>
      </c>
      <c r="H26" s="5">
        <v>31</v>
      </c>
      <c r="I26" s="5">
        <v>42</v>
      </c>
      <c r="J26" s="5">
        <v>6</v>
      </c>
      <c r="K26" s="5">
        <v>17</v>
      </c>
      <c r="L26" s="5">
        <v>3</v>
      </c>
    </row>
    <row r="27" spans="1:12">
      <c r="A27" s="5">
        <v>25</v>
      </c>
      <c r="D27" s="5">
        <f t="shared" si="0"/>
        <v>92.156862745098039</v>
      </c>
      <c r="E27" s="5">
        <v>311.82</v>
      </c>
      <c r="F27" s="5">
        <f t="shared" si="1"/>
        <v>47</v>
      </c>
      <c r="G27" s="5">
        <v>51</v>
      </c>
      <c r="H27" s="5">
        <v>1</v>
      </c>
      <c r="I27" s="5">
        <v>23</v>
      </c>
      <c r="J27" s="5">
        <v>4</v>
      </c>
      <c r="K27" s="5">
        <v>15</v>
      </c>
      <c r="L27" s="5">
        <v>4</v>
      </c>
    </row>
    <row r="28" spans="1:12">
      <c r="A28" s="5">
        <v>26</v>
      </c>
      <c r="D28" s="5">
        <f t="shared" si="0"/>
        <v>90.566037735849065</v>
      </c>
      <c r="E28" s="5">
        <v>316.23</v>
      </c>
      <c r="F28" s="5">
        <f t="shared" si="1"/>
        <v>48</v>
      </c>
      <c r="G28" s="5">
        <v>53</v>
      </c>
      <c r="H28" s="5">
        <v>21</v>
      </c>
      <c r="I28" s="5">
        <v>10</v>
      </c>
      <c r="J28" s="5">
        <v>12</v>
      </c>
      <c r="K28" s="5">
        <v>3</v>
      </c>
      <c r="L28" s="5">
        <v>2</v>
      </c>
    </row>
    <row r="29" spans="1:12">
      <c r="A29" s="5">
        <v>27</v>
      </c>
      <c r="D29" s="5">
        <f t="shared" si="0"/>
        <v>92.72727272727272</v>
      </c>
      <c r="E29" s="5">
        <v>317.7</v>
      </c>
      <c r="F29" s="5">
        <f t="shared" si="1"/>
        <v>51</v>
      </c>
      <c r="G29" s="5">
        <v>55</v>
      </c>
      <c r="H29" s="5">
        <v>19</v>
      </c>
      <c r="I29" s="5">
        <v>11</v>
      </c>
      <c r="J29" s="5">
        <v>10</v>
      </c>
      <c r="K29" s="5">
        <v>10</v>
      </c>
      <c r="L29" s="5">
        <v>1</v>
      </c>
    </row>
    <row r="30" spans="1:12">
      <c r="A30" s="5">
        <v>28</v>
      </c>
      <c r="D30" s="5">
        <f t="shared" si="0"/>
        <v>97.47899159663865</v>
      </c>
      <c r="E30" s="5">
        <v>316.23</v>
      </c>
      <c r="F30" s="5">
        <f t="shared" si="1"/>
        <v>116</v>
      </c>
      <c r="G30" s="5">
        <v>119</v>
      </c>
      <c r="H30" s="5">
        <v>26</v>
      </c>
      <c r="I30" s="5">
        <v>56</v>
      </c>
      <c r="J30" s="5">
        <v>19</v>
      </c>
      <c r="K30" s="5">
        <v>3</v>
      </c>
      <c r="L30" s="5">
        <v>12</v>
      </c>
    </row>
    <row r="31" spans="1:12">
      <c r="A31" s="5">
        <v>29</v>
      </c>
      <c r="D31" s="5">
        <f t="shared" si="0"/>
        <v>99.074074074074076</v>
      </c>
      <c r="E31" s="5">
        <v>313.29000000000002</v>
      </c>
      <c r="F31" s="5">
        <f t="shared" si="1"/>
        <v>107</v>
      </c>
      <c r="G31" s="5">
        <v>108</v>
      </c>
      <c r="H31" s="5">
        <v>37</v>
      </c>
      <c r="I31" s="5">
        <v>0</v>
      </c>
      <c r="J31" s="5">
        <v>46</v>
      </c>
      <c r="K31" s="5">
        <v>23</v>
      </c>
      <c r="L31" s="5">
        <v>1</v>
      </c>
    </row>
    <row r="32" spans="1:12">
      <c r="A32" s="5">
        <v>30</v>
      </c>
      <c r="D32" s="5">
        <f t="shared" si="0"/>
        <v>97.701149425287355</v>
      </c>
      <c r="E32" s="5">
        <v>314.76</v>
      </c>
      <c r="F32" s="5">
        <f t="shared" si="1"/>
        <v>85</v>
      </c>
      <c r="G32" s="5">
        <v>87</v>
      </c>
      <c r="H32" s="5">
        <v>1</v>
      </c>
      <c r="I32" s="5">
        <v>46</v>
      </c>
      <c r="J32" s="5">
        <v>31</v>
      </c>
      <c r="K32" s="5">
        <v>0</v>
      </c>
      <c r="L32" s="5">
        <v>7</v>
      </c>
    </row>
    <row r="33" spans="1:12">
      <c r="A33" s="5">
        <v>31</v>
      </c>
      <c r="D33" s="5">
        <f t="shared" si="0"/>
        <v>97.752808988764045</v>
      </c>
      <c r="E33" s="5">
        <v>294.18</v>
      </c>
      <c r="F33" s="5">
        <f t="shared" si="1"/>
        <v>87</v>
      </c>
      <c r="G33" s="5">
        <v>89</v>
      </c>
      <c r="H33" s="5">
        <v>35</v>
      </c>
      <c r="I33" s="5">
        <v>44</v>
      </c>
      <c r="J33" s="5">
        <v>6</v>
      </c>
      <c r="K33" s="5">
        <v>0</v>
      </c>
      <c r="L33" s="5">
        <v>2</v>
      </c>
    </row>
    <row r="34" spans="1:12">
      <c r="A34" s="5">
        <v>32</v>
      </c>
      <c r="D34" s="5">
        <f t="shared" si="0"/>
        <v>97.979797979797979</v>
      </c>
      <c r="E34" s="5">
        <v>316.23</v>
      </c>
      <c r="F34" s="5">
        <f t="shared" si="1"/>
        <v>97</v>
      </c>
      <c r="G34" s="5">
        <v>99</v>
      </c>
      <c r="H34" s="5">
        <v>53</v>
      </c>
      <c r="I34" s="5">
        <v>8</v>
      </c>
      <c r="J34" s="5">
        <v>6</v>
      </c>
      <c r="K34" s="5">
        <v>30</v>
      </c>
      <c r="L34" s="5">
        <v>0</v>
      </c>
    </row>
    <row r="35" spans="1:12">
      <c r="A35" s="5">
        <v>33</v>
      </c>
      <c r="D35" s="5">
        <f t="shared" ref="D35:D51" si="2">F35/G35*100</f>
        <v>99.038461538461547</v>
      </c>
      <c r="E35" s="5">
        <v>301.52999999999997</v>
      </c>
      <c r="F35" s="5">
        <f t="shared" si="1"/>
        <v>103</v>
      </c>
      <c r="G35" s="5">
        <v>104</v>
      </c>
      <c r="H35" s="5">
        <v>67</v>
      </c>
      <c r="I35" s="5">
        <v>35</v>
      </c>
      <c r="J35" s="5">
        <v>1</v>
      </c>
      <c r="K35" s="5">
        <v>0</v>
      </c>
      <c r="L35" s="5">
        <v>0</v>
      </c>
    </row>
    <row r="36" spans="1:12">
      <c r="A36" s="5">
        <v>34</v>
      </c>
      <c r="D36" s="5">
        <f t="shared" si="2"/>
        <v>98.387096774193552</v>
      </c>
      <c r="E36" s="5">
        <v>317.7</v>
      </c>
      <c r="F36" s="5">
        <f t="shared" si="1"/>
        <v>122</v>
      </c>
      <c r="G36" s="5">
        <v>124</v>
      </c>
      <c r="H36" s="5">
        <v>35</v>
      </c>
      <c r="I36" s="5">
        <v>52</v>
      </c>
      <c r="J36" s="5">
        <v>3</v>
      </c>
      <c r="K36" s="5">
        <v>32</v>
      </c>
      <c r="L36" s="5">
        <v>0</v>
      </c>
    </row>
    <row r="37" spans="1:12">
      <c r="A37" s="5">
        <v>35</v>
      </c>
      <c r="D37" s="5">
        <f t="shared" si="2"/>
        <v>93.814432989690715</v>
      </c>
      <c r="E37" s="5">
        <v>304.47000000000003</v>
      </c>
      <c r="F37" s="5">
        <f t="shared" si="1"/>
        <v>91</v>
      </c>
      <c r="G37" s="5">
        <v>97</v>
      </c>
      <c r="H37" s="5">
        <v>19</v>
      </c>
      <c r="I37" s="5">
        <v>54</v>
      </c>
      <c r="J37" s="5">
        <v>4</v>
      </c>
      <c r="K37" s="5">
        <v>7</v>
      </c>
      <c r="L37" s="5">
        <v>7</v>
      </c>
    </row>
    <row r="38" spans="1:12">
      <c r="A38" s="5">
        <v>36</v>
      </c>
      <c r="D38" s="5">
        <f t="shared" si="2"/>
        <v>98.165137614678898</v>
      </c>
      <c r="E38" s="5">
        <v>314.76</v>
      </c>
      <c r="F38" s="5">
        <f t="shared" si="1"/>
        <v>107</v>
      </c>
      <c r="G38" s="5">
        <v>109</v>
      </c>
      <c r="H38" s="5">
        <v>88</v>
      </c>
      <c r="I38" s="5">
        <v>2</v>
      </c>
      <c r="J38" s="5">
        <v>0</v>
      </c>
      <c r="K38" s="5">
        <v>14</v>
      </c>
      <c r="L38" s="5">
        <v>3</v>
      </c>
    </row>
    <row r="39" spans="1:12">
      <c r="A39" s="5">
        <v>37</v>
      </c>
      <c r="D39" s="5">
        <f t="shared" si="2"/>
        <v>95.522388059701484</v>
      </c>
      <c r="E39" s="5">
        <v>311.82</v>
      </c>
      <c r="F39" s="5">
        <f t="shared" si="1"/>
        <v>64</v>
      </c>
      <c r="G39" s="5">
        <v>67</v>
      </c>
      <c r="H39" s="5">
        <v>2</v>
      </c>
      <c r="I39" s="5">
        <v>3</v>
      </c>
      <c r="J39" s="5">
        <v>4</v>
      </c>
      <c r="K39" s="5">
        <v>32</v>
      </c>
      <c r="L39" s="5">
        <v>23</v>
      </c>
    </row>
    <row r="40" spans="1:12">
      <c r="A40" s="5">
        <v>38</v>
      </c>
      <c r="D40" s="5">
        <f t="shared" si="2"/>
        <v>97.297297297297305</v>
      </c>
      <c r="E40" s="5">
        <v>308.88</v>
      </c>
      <c r="F40" s="5">
        <f t="shared" si="1"/>
        <v>72</v>
      </c>
      <c r="G40" s="5">
        <v>74</v>
      </c>
      <c r="H40" s="5">
        <v>28</v>
      </c>
      <c r="I40" s="5">
        <v>4</v>
      </c>
      <c r="J40" s="5">
        <v>4</v>
      </c>
      <c r="K40" s="5">
        <v>30</v>
      </c>
      <c r="L40" s="5">
        <v>6</v>
      </c>
    </row>
    <row r="41" spans="1:12">
      <c r="A41" s="5">
        <v>39</v>
      </c>
      <c r="D41" s="5">
        <f t="shared" si="2"/>
        <v>95.918367346938766</v>
      </c>
      <c r="E41" s="5">
        <v>303</v>
      </c>
      <c r="F41" s="5">
        <f t="shared" si="1"/>
        <v>94</v>
      </c>
      <c r="G41" s="5">
        <v>98</v>
      </c>
      <c r="H41" s="5">
        <v>61</v>
      </c>
      <c r="I41" s="5">
        <v>1</v>
      </c>
      <c r="J41" s="5">
        <v>0</v>
      </c>
      <c r="K41" s="5">
        <v>32</v>
      </c>
      <c r="L41" s="5">
        <v>0</v>
      </c>
    </row>
    <row r="42" spans="1:12">
      <c r="A42" s="5">
        <v>40</v>
      </c>
      <c r="D42" s="5">
        <f t="shared" si="2"/>
        <v>97.222222222222214</v>
      </c>
      <c r="E42" s="5">
        <v>314.76</v>
      </c>
      <c r="F42" s="5">
        <f t="shared" si="1"/>
        <v>105</v>
      </c>
      <c r="G42" s="5">
        <v>108</v>
      </c>
      <c r="H42" s="5">
        <v>77</v>
      </c>
      <c r="I42" s="5">
        <v>0</v>
      </c>
      <c r="J42" s="5">
        <v>4</v>
      </c>
      <c r="K42" s="5">
        <v>24</v>
      </c>
      <c r="L42" s="5">
        <v>0</v>
      </c>
    </row>
    <row r="43" spans="1:12">
      <c r="A43" s="5">
        <v>41</v>
      </c>
      <c r="D43" s="5">
        <f t="shared" si="2"/>
        <v>95.918367346938766</v>
      </c>
      <c r="E43" s="5">
        <v>303</v>
      </c>
      <c r="F43" s="5">
        <f t="shared" si="1"/>
        <v>94</v>
      </c>
      <c r="G43" s="5">
        <v>98</v>
      </c>
      <c r="H43" s="5">
        <v>11</v>
      </c>
      <c r="I43" s="5">
        <v>6</v>
      </c>
      <c r="J43" s="5">
        <v>3</v>
      </c>
      <c r="K43" s="5">
        <v>42</v>
      </c>
      <c r="L43" s="5">
        <v>32</v>
      </c>
    </row>
    <row r="44" spans="1:12">
      <c r="A44" s="5">
        <v>42</v>
      </c>
      <c r="D44" s="5">
        <f t="shared" si="2"/>
        <v>94.565217391304344</v>
      </c>
      <c r="E44" s="5">
        <v>313.29000000000002</v>
      </c>
      <c r="F44" s="5">
        <f t="shared" si="1"/>
        <v>87</v>
      </c>
      <c r="G44" s="5">
        <v>92</v>
      </c>
      <c r="H44" s="5">
        <v>25</v>
      </c>
      <c r="I44" s="5">
        <v>8</v>
      </c>
      <c r="J44" s="5">
        <v>3</v>
      </c>
      <c r="K44" s="5">
        <v>20</v>
      </c>
      <c r="L44" s="5">
        <v>31</v>
      </c>
    </row>
    <row r="45" spans="1:12">
      <c r="A45" s="5">
        <v>43</v>
      </c>
      <c r="D45" s="5">
        <f t="shared" si="2"/>
        <v>94.73684210526315</v>
      </c>
      <c r="E45" s="5">
        <v>307.41000000000003</v>
      </c>
      <c r="F45" s="5">
        <f t="shared" si="1"/>
        <v>90</v>
      </c>
      <c r="G45" s="5">
        <v>95</v>
      </c>
      <c r="H45" s="5">
        <v>23</v>
      </c>
      <c r="I45" s="5">
        <v>3</v>
      </c>
      <c r="J45" s="5">
        <v>1</v>
      </c>
      <c r="K45" s="5">
        <v>63</v>
      </c>
      <c r="L45" s="5">
        <v>0</v>
      </c>
    </row>
    <row r="46" spans="1:12">
      <c r="A46" s="5">
        <v>44</v>
      </c>
      <c r="D46" s="5">
        <f t="shared" si="2"/>
        <v>100</v>
      </c>
      <c r="E46" s="5">
        <v>317.7</v>
      </c>
      <c r="F46" s="5">
        <f t="shared" si="1"/>
        <v>67</v>
      </c>
      <c r="G46" s="5">
        <v>67</v>
      </c>
      <c r="H46" s="5">
        <v>21</v>
      </c>
      <c r="I46" s="5">
        <v>0</v>
      </c>
      <c r="J46" s="5">
        <v>0</v>
      </c>
      <c r="K46" s="5">
        <v>32</v>
      </c>
      <c r="L46" s="5">
        <v>14</v>
      </c>
    </row>
    <row r="47" spans="1:12">
      <c r="A47" s="5">
        <v>45</v>
      </c>
      <c r="D47" s="5">
        <f t="shared" si="2"/>
        <v>95.918367346938766</v>
      </c>
      <c r="E47" s="5">
        <v>316.23</v>
      </c>
      <c r="F47" s="5">
        <f t="shared" si="1"/>
        <v>94</v>
      </c>
      <c r="G47" s="5">
        <v>98</v>
      </c>
      <c r="H47" s="5">
        <v>0</v>
      </c>
      <c r="I47" s="5">
        <v>6</v>
      </c>
      <c r="J47" s="5">
        <v>6</v>
      </c>
      <c r="K47" s="5">
        <v>70</v>
      </c>
      <c r="L47" s="5">
        <v>12</v>
      </c>
    </row>
    <row r="48" spans="1:12">
      <c r="A48" s="5">
        <v>46</v>
      </c>
      <c r="D48" s="5">
        <f t="shared" si="2"/>
        <v>89.361702127659569</v>
      </c>
      <c r="E48" s="5">
        <v>305</v>
      </c>
      <c r="F48" s="5">
        <f t="shared" si="1"/>
        <v>42</v>
      </c>
      <c r="G48" s="5">
        <v>47</v>
      </c>
      <c r="H48" s="5">
        <v>11</v>
      </c>
      <c r="I48" s="5">
        <v>0</v>
      </c>
      <c r="J48" s="5">
        <v>5</v>
      </c>
      <c r="K48" s="5">
        <v>19</v>
      </c>
      <c r="L48" s="5">
        <v>7</v>
      </c>
    </row>
    <row r="49" spans="1:12">
      <c r="A49" s="5">
        <v>47</v>
      </c>
      <c r="D49" s="5">
        <f t="shared" si="2"/>
        <v>92.424242424242422</v>
      </c>
      <c r="E49" s="5">
        <v>319.17</v>
      </c>
      <c r="F49" s="5">
        <f t="shared" si="1"/>
        <v>61</v>
      </c>
      <c r="G49" s="5">
        <v>66</v>
      </c>
      <c r="H49" s="5">
        <v>33</v>
      </c>
      <c r="I49" s="5">
        <v>12</v>
      </c>
      <c r="J49" s="5">
        <v>0</v>
      </c>
      <c r="K49" s="5">
        <v>16</v>
      </c>
      <c r="L49" s="5">
        <v>0</v>
      </c>
    </row>
    <row r="50" spans="1:12">
      <c r="A50" s="5">
        <v>48</v>
      </c>
      <c r="D50" s="5">
        <f t="shared" si="2"/>
        <v>87.804878048780495</v>
      </c>
      <c r="E50" s="5">
        <v>317.7</v>
      </c>
      <c r="F50" s="5">
        <f t="shared" si="1"/>
        <v>36</v>
      </c>
      <c r="G50" s="5">
        <v>41</v>
      </c>
      <c r="H50" s="5">
        <v>11</v>
      </c>
      <c r="I50" s="5">
        <v>1</v>
      </c>
      <c r="J50" s="5">
        <v>4</v>
      </c>
      <c r="K50" s="5">
        <v>17</v>
      </c>
      <c r="L50" s="5">
        <v>3</v>
      </c>
    </row>
    <row r="51" spans="1:12">
      <c r="A51" s="5">
        <v>49</v>
      </c>
      <c r="D51" s="5">
        <f t="shared" si="2"/>
        <v>96.428571428571431</v>
      </c>
      <c r="E51" s="5">
        <v>325.05</v>
      </c>
      <c r="F51" s="5">
        <f t="shared" si="1"/>
        <v>54</v>
      </c>
      <c r="G51" s="5">
        <v>56</v>
      </c>
      <c r="H51" s="5">
        <v>3</v>
      </c>
      <c r="I51" s="5">
        <v>7</v>
      </c>
      <c r="J51" s="5">
        <v>0</v>
      </c>
      <c r="K51" s="5">
        <v>10</v>
      </c>
      <c r="L51" s="5">
        <v>34</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AH291"/>
  <sheetViews>
    <sheetView topLeftCell="A25" workbookViewId="0">
      <selection activeCell="A2" sqref="A2"/>
    </sheetView>
  </sheetViews>
  <sheetFormatPr defaultColWidth="15.7109375" defaultRowHeight="15"/>
  <cols>
    <col min="1" max="1" width="6.5703125" style="9" customWidth="1"/>
    <col min="2" max="2" width="15.7109375" style="9" customWidth="1"/>
    <col min="3" max="18" width="15.7109375" style="9"/>
    <col min="19" max="19" width="15.7109375" style="9" customWidth="1"/>
    <col min="20" max="31" width="15.7109375" style="9"/>
    <col min="32" max="32" width="15.7109375" style="9" customWidth="1"/>
    <col min="33" max="16384" width="15.7109375" style="9"/>
  </cols>
  <sheetData>
    <row r="1" spans="1:34" ht="31.5" customHeight="1">
      <c r="A1" s="80" t="s">
        <v>1503</v>
      </c>
      <c r="B1" s="80"/>
      <c r="C1" s="80"/>
      <c r="D1" s="80"/>
      <c r="E1" s="80"/>
      <c r="F1" s="80"/>
      <c r="G1" s="80"/>
      <c r="H1" s="80"/>
      <c r="I1" s="80"/>
      <c r="J1" s="80"/>
      <c r="K1" s="80"/>
      <c r="L1" s="80"/>
      <c r="M1" s="80"/>
      <c r="N1"/>
      <c r="O1"/>
      <c r="P1"/>
      <c r="Q1"/>
      <c r="R1"/>
      <c r="S1"/>
      <c r="T1" s="81" t="s">
        <v>144</v>
      </c>
      <c r="U1" s="82"/>
      <c r="V1" s="82"/>
      <c r="W1" s="82"/>
      <c r="X1" s="82"/>
      <c r="Y1" s="82"/>
      <c r="Z1" s="82"/>
      <c r="AA1" s="82"/>
      <c r="AB1" s="82"/>
      <c r="AD1" s="83" t="s">
        <v>505</v>
      </c>
      <c r="AE1" s="83"/>
      <c r="AF1" s="83"/>
    </row>
    <row r="2" spans="1:34" s="10" customFormat="1" ht="30">
      <c r="A2" s="6" t="s">
        <v>135</v>
      </c>
      <c r="B2" s="7" t="s">
        <v>137</v>
      </c>
      <c r="C2" s="7" t="s">
        <v>151</v>
      </c>
      <c r="D2" s="6" t="s">
        <v>136</v>
      </c>
      <c r="E2" s="7" t="s">
        <v>138</v>
      </c>
      <c r="F2" s="6" t="s">
        <v>139</v>
      </c>
      <c r="G2" s="6" t="s">
        <v>158</v>
      </c>
      <c r="H2" s="7" t="s">
        <v>154</v>
      </c>
      <c r="I2" s="6" t="s">
        <v>153</v>
      </c>
      <c r="J2" s="6" t="s">
        <v>155</v>
      </c>
      <c r="K2" s="7" t="s">
        <v>156</v>
      </c>
      <c r="L2" s="6" t="s">
        <v>157</v>
      </c>
      <c r="M2" s="6" t="s">
        <v>159</v>
      </c>
      <c r="N2" s="7" t="s">
        <v>882</v>
      </c>
      <c r="O2" s="7" t="s">
        <v>152</v>
      </c>
      <c r="P2" s="7" t="s">
        <v>160</v>
      </c>
      <c r="Q2" s="7" t="s">
        <v>161</v>
      </c>
      <c r="R2" s="7" t="s">
        <v>162</v>
      </c>
      <c r="S2" s="21" t="s">
        <v>506</v>
      </c>
      <c r="T2" s="8" t="s">
        <v>140</v>
      </c>
      <c r="U2" s="8" t="s">
        <v>141</v>
      </c>
      <c r="V2" s="8" t="s">
        <v>142</v>
      </c>
      <c r="W2" s="8" t="s">
        <v>143</v>
      </c>
      <c r="X2" s="8" t="s">
        <v>145</v>
      </c>
      <c r="Y2" s="8" t="s">
        <v>146</v>
      </c>
      <c r="Z2" s="8" t="s">
        <v>147</v>
      </c>
      <c r="AA2" s="8" t="s">
        <v>148</v>
      </c>
      <c r="AB2" s="8" t="s">
        <v>149</v>
      </c>
      <c r="AC2" s="18"/>
      <c r="AD2" s="17" t="s">
        <v>163</v>
      </c>
      <c r="AE2" s="17" t="s">
        <v>485</v>
      </c>
      <c r="AF2" s="19" t="s">
        <v>486</v>
      </c>
    </row>
    <row r="3" spans="1:34">
      <c r="A3" s="9">
        <v>1</v>
      </c>
      <c r="B3" s="13">
        <v>10</v>
      </c>
      <c r="C3" s="13">
        <v>0</v>
      </c>
      <c r="D3" s="13">
        <f>C3/B3*100</f>
        <v>0</v>
      </c>
      <c r="E3" s="15">
        <v>0</v>
      </c>
      <c r="F3" s="11">
        <v>0</v>
      </c>
      <c r="G3" s="13">
        <v>0</v>
      </c>
      <c r="H3" s="13">
        <v>10</v>
      </c>
      <c r="I3" s="13">
        <v>0</v>
      </c>
      <c r="J3" s="13">
        <f>I3/H3*100</f>
        <v>0</v>
      </c>
      <c r="K3" s="18">
        <v>0</v>
      </c>
      <c r="L3" s="13">
        <v>0</v>
      </c>
      <c r="M3" s="11">
        <f>(L3+J3)/2</f>
        <v>0</v>
      </c>
      <c r="N3" s="9">
        <v>0</v>
      </c>
      <c r="O3" s="16">
        <v>0</v>
      </c>
      <c r="P3" s="16">
        <v>0</v>
      </c>
      <c r="Q3" s="16">
        <v>0</v>
      </c>
      <c r="R3" s="16">
        <v>0</v>
      </c>
      <c r="S3" s="22">
        <v>0</v>
      </c>
      <c r="T3" s="9" t="s">
        <v>150</v>
      </c>
      <c r="U3" s="9" t="s">
        <v>150</v>
      </c>
      <c r="V3" s="9" t="s">
        <v>150</v>
      </c>
      <c r="W3" s="9" t="s">
        <v>150</v>
      </c>
      <c r="X3" s="9" t="s">
        <v>150</v>
      </c>
      <c r="Y3" s="9" t="s">
        <v>150</v>
      </c>
      <c r="Z3" s="9" t="s">
        <v>150</v>
      </c>
      <c r="AA3" s="9" t="s">
        <v>150</v>
      </c>
      <c r="AB3" s="9" t="s">
        <v>150</v>
      </c>
      <c r="AC3" s="15"/>
      <c r="AD3" s="84" t="s">
        <v>484</v>
      </c>
      <c r="AE3" s="84"/>
      <c r="AF3" s="84"/>
      <c r="AG3" s="20"/>
      <c r="AH3" s="20"/>
    </row>
    <row r="4" spans="1:34">
      <c r="A4" s="9">
        <v>2</v>
      </c>
      <c r="B4" s="13">
        <v>10</v>
      </c>
      <c r="C4" s="13">
        <v>10</v>
      </c>
      <c r="D4" s="13">
        <f t="shared" ref="D4:D32" si="0">C4/B4*100</f>
        <v>100</v>
      </c>
      <c r="E4" s="47">
        <v>10</v>
      </c>
      <c r="F4" s="11">
        <f t="shared" ref="F4:F32" si="1">E4/C4*100</f>
        <v>100</v>
      </c>
      <c r="G4" s="13">
        <f t="shared" ref="G4:G32" si="2">(D4+F4)/2</f>
        <v>100</v>
      </c>
      <c r="H4" s="13">
        <v>10</v>
      </c>
      <c r="I4" s="13">
        <v>9</v>
      </c>
      <c r="J4" s="13">
        <f t="shared" ref="J4:J32" si="3">I4/H4*100</f>
        <v>90</v>
      </c>
      <c r="K4" s="18">
        <v>9</v>
      </c>
      <c r="L4" s="13">
        <f t="shared" ref="L4:L32" si="4">K4/I4*100</f>
        <v>100</v>
      </c>
      <c r="M4" s="11">
        <f t="shared" ref="M4:M32" si="5">(L4+J4)/2</f>
        <v>95</v>
      </c>
      <c r="N4" s="9">
        <v>24.78</v>
      </c>
      <c r="O4" s="25">
        <v>-69.894544033333304</v>
      </c>
      <c r="P4" s="18">
        <v>34.105455966666661</v>
      </c>
      <c r="Q4" s="18">
        <v>-70.698144888888891</v>
      </c>
      <c r="R4" s="9">
        <v>33.301855111111109</v>
      </c>
      <c r="S4" s="22">
        <v>1.2436666666666666E-4</v>
      </c>
      <c r="T4" s="9" t="s">
        <v>150</v>
      </c>
      <c r="U4" s="9" t="s">
        <v>150</v>
      </c>
      <c r="V4" s="9" t="s">
        <v>150</v>
      </c>
      <c r="W4" s="9" t="s">
        <v>150</v>
      </c>
      <c r="X4" s="9" t="s">
        <v>150</v>
      </c>
      <c r="Y4" s="9" t="s">
        <v>150</v>
      </c>
      <c r="Z4" s="9" t="s">
        <v>150</v>
      </c>
      <c r="AA4" s="9" t="s">
        <v>150</v>
      </c>
      <c r="AB4" s="9" t="s">
        <v>150</v>
      </c>
      <c r="AC4" s="18"/>
      <c r="AD4" s="12" t="s">
        <v>164</v>
      </c>
      <c r="AE4" s="9" t="s">
        <v>165</v>
      </c>
      <c r="AF4" s="9" t="s">
        <v>166</v>
      </c>
    </row>
    <row r="5" spans="1:34">
      <c r="A5" s="9">
        <v>3</v>
      </c>
      <c r="B5" s="13">
        <v>10</v>
      </c>
      <c r="C5" s="13">
        <v>10</v>
      </c>
      <c r="D5" s="13">
        <f t="shared" si="0"/>
        <v>100</v>
      </c>
      <c r="E5" s="47">
        <v>10</v>
      </c>
      <c r="F5" s="11">
        <f t="shared" si="1"/>
        <v>100</v>
      </c>
      <c r="G5" s="13">
        <f t="shared" si="2"/>
        <v>100</v>
      </c>
      <c r="H5" s="13">
        <v>10</v>
      </c>
      <c r="I5" s="13">
        <v>9</v>
      </c>
      <c r="J5" s="13">
        <f t="shared" si="3"/>
        <v>90</v>
      </c>
      <c r="K5" s="18">
        <v>7</v>
      </c>
      <c r="L5" s="13">
        <f t="shared" si="4"/>
        <v>77.777777777777786</v>
      </c>
      <c r="M5" s="11">
        <f t="shared" si="5"/>
        <v>83.888888888888886</v>
      </c>
      <c r="N5" s="14">
        <v>25.92</v>
      </c>
      <c r="O5" s="25">
        <v>-65.898511000000013</v>
      </c>
      <c r="P5" s="18">
        <v>38.101489000000008</v>
      </c>
      <c r="Q5" s="18">
        <v>-66.322657444444459</v>
      </c>
      <c r="R5" s="9">
        <v>37.677342555555555</v>
      </c>
      <c r="S5" s="22">
        <v>5.8766666666666668E-5</v>
      </c>
      <c r="T5" s="9" t="s">
        <v>150</v>
      </c>
      <c r="U5" s="9" t="s">
        <v>150</v>
      </c>
      <c r="V5" s="9" t="s">
        <v>150</v>
      </c>
      <c r="W5" s="9" t="s">
        <v>150</v>
      </c>
      <c r="X5" s="9" t="s">
        <v>150</v>
      </c>
      <c r="Y5" s="9" t="s">
        <v>150</v>
      </c>
      <c r="Z5" s="9" t="s">
        <v>150</v>
      </c>
      <c r="AA5" s="9" t="s">
        <v>150</v>
      </c>
      <c r="AB5" s="9" t="s">
        <v>150</v>
      </c>
      <c r="AC5" s="18"/>
      <c r="AD5" s="12" t="s">
        <v>167</v>
      </c>
      <c r="AE5" s="9" t="s">
        <v>165</v>
      </c>
      <c r="AF5" s="9" t="s">
        <v>168</v>
      </c>
    </row>
    <row r="6" spans="1:34">
      <c r="A6" s="9">
        <v>4</v>
      </c>
      <c r="B6" s="13">
        <v>10</v>
      </c>
      <c r="C6" s="13">
        <v>10</v>
      </c>
      <c r="D6" s="13">
        <f t="shared" si="0"/>
        <v>100</v>
      </c>
      <c r="E6" s="47">
        <v>10</v>
      </c>
      <c r="F6" s="11">
        <f t="shared" si="1"/>
        <v>100</v>
      </c>
      <c r="G6" s="13">
        <f t="shared" si="2"/>
        <v>100</v>
      </c>
      <c r="H6" s="13">
        <v>10</v>
      </c>
      <c r="I6" s="13">
        <v>10</v>
      </c>
      <c r="J6" s="13">
        <f t="shared" si="3"/>
        <v>100</v>
      </c>
      <c r="K6" s="18">
        <v>10</v>
      </c>
      <c r="L6" s="13">
        <f t="shared" si="4"/>
        <v>100</v>
      </c>
      <c r="M6" s="11">
        <f t="shared" si="5"/>
        <v>100</v>
      </c>
      <c r="N6" s="14">
        <v>25.92</v>
      </c>
      <c r="O6" s="25">
        <v>-67.274943499999992</v>
      </c>
      <c r="P6" s="18">
        <v>36.725056500000001</v>
      </c>
      <c r="Q6" s="18">
        <v>-67.584027888888897</v>
      </c>
      <c r="R6" s="9">
        <v>36.415972111111117</v>
      </c>
      <c r="S6" s="22">
        <v>7.8566666666666675E-5</v>
      </c>
      <c r="T6" s="9" t="s">
        <v>150</v>
      </c>
      <c r="U6" s="9" t="s">
        <v>150</v>
      </c>
      <c r="V6" s="9" t="s">
        <v>150</v>
      </c>
      <c r="W6" s="9" t="s">
        <v>150</v>
      </c>
      <c r="X6" s="9" t="s">
        <v>150</v>
      </c>
      <c r="Y6" s="9" t="s">
        <v>150</v>
      </c>
      <c r="Z6" s="9" t="s">
        <v>150</v>
      </c>
      <c r="AA6" s="9" t="s">
        <v>150</v>
      </c>
      <c r="AB6" s="9" t="s">
        <v>150</v>
      </c>
      <c r="AC6" s="18"/>
      <c r="AD6" s="12" t="s">
        <v>169</v>
      </c>
      <c r="AE6" s="9" t="s">
        <v>165</v>
      </c>
      <c r="AF6" s="9" t="s">
        <v>170</v>
      </c>
    </row>
    <row r="7" spans="1:34">
      <c r="A7" s="9">
        <v>5</v>
      </c>
      <c r="B7" s="13">
        <v>10</v>
      </c>
      <c r="C7" s="13">
        <v>10</v>
      </c>
      <c r="D7" s="13">
        <f t="shared" si="0"/>
        <v>100</v>
      </c>
      <c r="E7" s="47">
        <v>10</v>
      </c>
      <c r="F7" s="11">
        <f t="shared" si="1"/>
        <v>100</v>
      </c>
      <c r="G7" s="13">
        <f t="shared" si="2"/>
        <v>100</v>
      </c>
      <c r="H7" s="13">
        <v>10</v>
      </c>
      <c r="I7" s="13">
        <v>10</v>
      </c>
      <c r="J7" s="13">
        <f t="shared" si="3"/>
        <v>100</v>
      </c>
      <c r="K7" s="18">
        <v>9</v>
      </c>
      <c r="L7" s="13">
        <f t="shared" si="4"/>
        <v>90</v>
      </c>
      <c r="M7" s="11">
        <f t="shared" si="5"/>
        <v>95</v>
      </c>
      <c r="N7" s="14">
        <v>25.92</v>
      </c>
      <c r="O7" s="25">
        <v>-66.381292400000007</v>
      </c>
      <c r="P7" s="18">
        <v>37.6187076</v>
      </c>
      <c r="Q7" s="18">
        <v>-68.94821455555558</v>
      </c>
      <c r="R7" s="9">
        <v>35.051785444444448</v>
      </c>
      <c r="S7" s="22">
        <v>1.1729999999999996E-4</v>
      </c>
      <c r="T7" s="9" t="s">
        <v>150</v>
      </c>
      <c r="U7" s="9" t="s">
        <v>150</v>
      </c>
      <c r="V7" s="9" t="s">
        <v>150</v>
      </c>
      <c r="W7" s="9" t="s">
        <v>150</v>
      </c>
      <c r="X7" s="9" t="s">
        <v>150</v>
      </c>
      <c r="Y7" s="9" t="s">
        <v>150</v>
      </c>
      <c r="Z7" s="9" t="s">
        <v>150</v>
      </c>
      <c r="AA7" s="9" t="s">
        <v>150</v>
      </c>
      <c r="AB7" s="9" t="s">
        <v>150</v>
      </c>
      <c r="AC7" s="18"/>
      <c r="AD7" s="12" t="s">
        <v>171</v>
      </c>
      <c r="AE7" s="9" t="s">
        <v>165</v>
      </c>
      <c r="AF7" s="9" t="s">
        <v>172</v>
      </c>
    </row>
    <row r="8" spans="1:34">
      <c r="A8" s="9">
        <v>6</v>
      </c>
      <c r="B8" s="13">
        <v>10</v>
      </c>
      <c r="C8" s="13">
        <v>10</v>
      </c>
      <c r="D8" s="13">
        <f t="shared" si="0"/>
        <v>100</v>
      </c>
      <c r="E8" s="47">
        <v>10</v>
      </c>
      <c r="F8" s="11">
        <f t="shared" si="1"/>
        <v>100</v>
      </c>
      <c r="G8" s="13">
        <f t="shared" si="2"/>
        <v>100</v>
      </c>
      <c r="H8" s="13">
        <v>10</v>
      </c>
      <c r="I8" s="13">
        <v>10</v>
      </c>
      <c r="J8" s="13">
        <f t="shared" si="3"/>
        <v>100</v>
      </c>
      <c r="K8" s="18">
        <v>10</v>
      </c>
      <c r="L8" s="13">
        <f t="shared" si="4"/>
        <v>100</v>
      </c>
      <c r="M8" s="11">
        <f t="shared" si="5"/>
        <v>100</v>
      </c>
      <c r="N8" s="14">
        <v>25.35</v>
      </c>
      <c r="O8" s="25">
        <v>-67.541434766666669</v>
      </c>
      <c r="P8" s="18">
        <v>36.458565233333324</v>
      </c>
      <c r="Q8" s="18">
        <v>-65.717193666666674</v>
      </c>
      <c r="R8" s="9">
        <v>38.282806333333326</v>
      </c>
      <c r="S8" s="22">
        <v>5.2655172413793119E-5</v>
      </c>
      <c r="T8" s="9" t="s">
        <v>150</v>
      </c>
      <c r="U8" s="9" t="s">
        <v>150</v>
      </c>
      <c r="V8" s="9" t="s">
        <v>150</v>
      </c>
      <c r="W8" s="9" t="s">
        <v>150</v>
      </c>
      <c r="X8" s="9" t="s">
        <v>150</v>
      </c>
      <c r="Y8" s="9" t="s">
        <v>150</v>
      </c>
      <c r="Z8" s="9" t="s">
        <v>150</v>
      </c>
      <c r="AA8" s="9" t="s">
        <v>150</v>
      </c>
      <c r="AB8" s="9" t="s">
        <v>150</v>
      </c>
      <c r="AC8" s="18"/>
      <c r="AD8" s="12" t="s">
        <v>173</v>
      </c>
      <c r="AE8" s="9" t="s">
        <v>165</v>
      </c>
      <c r="AF8" s="9" t="s">
        <v>168</v>
      </c>
    </row>
    <row r="9" spans="1:34">
      <c r="A9" s="9">
        <v>7</v>
      </c>
      <c r="B9" s="13">
        <v>10</v>
      </c>
      <c r="C9" s="13">
        <v>10</v>
      </c>
      <c r="D9" s="13">
        <f t="shared" si="0"/>
        <v>100</v>
      </c>
      <c r="E9" s="47">
        <v>10</v>
      </c>
      <c r="F9" s="11">
        <f t="shared" si="1"/>
        <v>100</v>
      </c>
      <c r="G9" s="13">
        <f t="shared" si="2"/>
        <v>100</v>
      </c>
      <c r="H9" s="13">
        <v>10</v>
      </c>
      <c r="I9" s="13">
        <v>10</v>
      </c>
      <c r="J9" s="13">
        <f t="shared" si="3"/>
        <v>100</v>
      </c>
      <c r="K9" s="18">
        <v>10</v>
      </c>
      <c r="L9" s="13">
        <f t="shared" si="4"/>
        <v>100</v>
      </c>
      <c r="M9" s="11">
        <f t="shared" si="5"/>
        <v>100</v>
      </c>
      <c r="N9" s="14">
        <v>25.92</v>
      </c>
      <c r="O9" s="25">
        <v>-67.164053466666672</v>
      </c>
      <c r="P9" s="18">
        <v>36.835946533333335</v>
      </c>
      <c r="Q9" s="18">
        <v>-69.12537288888889</v>
      </c>
      <c r="R9" s="9">
        <v>34.87462711111111</v>
      </c>
      <c r="S9" s="22">
        <v>9.8733333333333312E-5</v>
      </c>
      <c r="T9" s="9" t="s">
        <v>150</v>
      </c>
      <c r="U9" s="9" t="s">
        <v>150</v>
      </c>
      <c r="V9" s="9" t="s">
        <v>150</v>
      </c>
      <c r="W9" s="9" t="s">
        <v>150</v>
      </c>
      <c r="X9" s="9" t="s">
        <v>150</v>
      </c>
      <c r="Y9" s="9" t="s">
        <v>150</v>
      </c>
      <c r="Z9" s="9" t="s">
        <v>150</v>
      </c>
      <c r="AA9" s="9" t="s">
        <v>150</v>
      </c>
      <c r="AB9" s="9" t="s">
        <v>150</v>
      </c>
      <c r="AC9" s="18"/>
      <c r="AD9" s="12" t="s">
        <v>174</v>
      </c>
      <c r="AE9" s="9" t="s">
        <v>165</v>
      </c>
      <c r="AF9" s="9" t="s">
        <v>175</v>
      </c>
    </row>
    <row r="10" spans="1:34">
      <c r="A10" s="9">
        <v>8</v>
      </c>
      <c r="B10" s="13">
        <v>10</v>
      </c>
      <c r="C10" s="13">
        <v>10</v>
      </c>
      <c r="D10" s="13">
        <f t="shared" si="0"/>
        <v>100</v>
      </c>
      <c r="E10" s="47">
        <v>10</v>
      </c>
      <c r="F10" s="11">
        <f t="shared" si="1"/>
        <v>100</v>
      </c>
      <c r="G10" s="13">
        <f t="shared" si="2"/>
        <v>100</v>
      </c>
      <c r="H10" s="13">
        <v>10</v>
      </c>
      <c r="I10" s="13">
        <v>10</v>
      </c>
      <c r="J10" s="13">
        <f t="shared" si="3"/>
        <v>100</v>
      </c>
      <c r="K10" s="18">
        <v>10</v>
      </c>
      <c r="L10" s="13">
        <f t="shared" si="4"/>
        <v>100</v>
      </c>
      <c r="M10" s="11">
        <f t="shared" si="5"/>
        <v>100</v>
      </c>
      <c r="N10" s="14">
        <v>25.92</v>
      </c>
      <c r="O10" s="25">
        <v>-66.741774700000008</v>
      </c>
      <c r="P10" s="18">
        <v>37.258225300000007</v>
      </c>
      <c r="Q10" s="18">
        <v>-62.519155333333337</v>
      </c>
      <c r="R10" s="9">
        <v>41.48084466666667</v>
      </c>
      <c r="S10" s="22">
        <v>1.0336666666666668E-4</v>
      </c>
      <c r="T10" s="9" t="s">
        <v>150</v>
      </c>
      <c r="U10" s="9" t="s">
        <v>150</v>
      </c>
      <c r="V10" s="9" t="s">
        <v>150</v>
      </c>
      <c r="W10" s="9" t="s">
        <v>150</v>
      </c>
      <c r="X10" s="9" t="s">
        <v>150</v>
      </c>
      <c r="Y10" s="9" t="s">
        <v>150</v>
      </c>
      <c r="Z10" s="9" t="s">
        <v>150</v>
      </c>
      <c r="AA10" s="9" t="s">
        <v>150</v>
      </c>
      <c r="AB10" s="9" t="s">
        <v>150</v>
      </c>
      <c r="AC10" s="18"/>
      <c r="AD10" s="12" t="s">
        <v>176</v>
      </c>
      <c r="AE10" s="9" t="s">
        <v>165</v>
      </c>
      <c r="AF10" s="9" t="s">
        <v>177</v>
      </c>
    </row>
    <row r="11" spans="1:34">
      <c r="A11" s="9">
        <v>9</v>
      </c>
      <c r="B11" s="13">
        <v>10</v>
      </c>
      <c r="C11" s="13">
        <v>10</v>
      </c>
      <c r="D11" s="13">
        <f t="shared" si="0"/>
        <v>100</v>
      </c>
      <c r="E11" s="47">
        <v>10</v>
      </c>
      <c r="F11" s="11">
        <f t="shared" si="1"/>
        <v>100</v>
      </c>
      <c r="G11" s="13">
        <f t="shared" si="2"/>
        <v>100</v>
      </c>
      <c r="H11" s="13">
        <v>10</v>
      </c>
      <c r="I11" s="13">
        <v>10</v>
      </c>
      <c r="J11" s="13">
        <f t="shared" si="3"/>
        <v>100</v>
      </c>
      <c r="K11" s="18">
        <v>9</v>
      </c>
      <c r="L11" s="13">
        <f t="shared" si="4"/>
        <v>90</v>
      </c>
      <c r="M11" s="11">
        <f t="shared" si="5"/>
        <v>95</v>
      </c>
      <c r="N11" s="14">
        <v>25.92</v>
      </c>
      <c r="O11" s="25">
        <v>-64.903782966666668</v>
      </c>
      <c r="P11" s="18">
        <v>39.096217033333332</v>
      </c>
      <c r="Q11" s="18">
        <v>-64.157163666666676</v>
      </c>
      <c r="R11" s="9">
        <v>39.842836333333331</v>
      </c>
      <c r="S11" s="22">
        <v>6.6700000000000009E-5</v>
      </c>
      <c r="T11" s="9" t="s">
        <v>150</v>
      </c>
      <c r="U11" s="9" t="s">
        <v>150</v>
      </c>
      <c r="V11" s="9" t="s">
        <v>150</v>
      </c>
      <c r="W11" s="9" t="s">
        <v>150</v>
      </c>
      <c r="X11" s="9" t="s">
        <v>150</v>
      </c>
      <c r="Y11" s="9" t="s">
        <v>150</v>
      </c>
      <c r="Z11" s="9" t="s">
        <v>150</v>
      </c>
      <c r="AA11" s="9" t="s">
        <v>150</v>
      </c>
      <c r="AB11" s="9" t="s">
        <v>150</v>
      </c>
      <c r="AC11" s="18"/>
      <c r="AD11" s="12" t="s">
        <v>178</v>
      </c>
      <c r="AE11" s="9" t="s">
        <v>165</v>
      </c>
      <c r="AF11" s="9" t="s">
        <v>179</v>
      </c>
    </row>
    <row r="12" spans="1:34">
      <c r="A12" s="9">
        <v>10</v>
      </c>
      <c r="B12" s="13">
        <v>10</v>
      </c>
      <c r="C12" s="13">
        <v>10</v>
      </c>
      <c r="D12" s="13">
        <f t="shared" si="0"/>
        <v>100</v>
      </c>
      <c r="E12" s="47">
        <v>8</v>
      </c>
      <c r="F12" s="11">
        <f t="shared" si="1"/>
        <v>80</v>
      </c>
      <c r="G12" s="13">
        <f t="shared" si="2"/>
        <v>90</v>
      </c>
      <c r="H12" s="13">
        <v>10</v>
      </c>
      <c r="I12" s="13">
        <v>10</v>
      </c>
      <c r="J12" s="13">
        <f t="shared" si="3"/>
        <v>100</v>
      </c>
      <c r="K12" s="18">
        <v>9</v>
      </c>
      <c r="L12" s="13">
        <f t="shared" si="4"/>
        <v>90</v>
      </c>
      <c r="M12" s="11">
        <f t="shared" si="5"/>
        <v>95</v>
      </c>
      <c r="N12" s="14">
        <v>23.64</v>
      </c>
      <c r="O12" s="25">
        <v>-64.62024453333332</v>
      </c>
      <c r="P12" s="18">
        <v>39.379755466666673</v>
      </c>
      <c r="Q12" s="18">
        <v>-68.123937666666677</v>
      </c>
      <c r="R12" s="9">
        <v>35.876062333333337</v>
      </c>
      <c r="S12" s="22">
        <v>8.8566666666666687E-5</v>
      </c>
      <c r="T12" s="9" t="s">
        <v>150</v>
      </c>
      <c r="U12" s="9" t="s">
        <v>150</v>
      </c>
      <c r="V12" s="9" t="s">
        <v>150</v>
      </c>
      <c r="W12" s="9" t="s">
        <v>150</v>
      </c>
      <c r="X12" s="9" t="s">
        <v>150</v>
      </c>
      <c r="Y12" s="9" t="s">
        <v>150</v>
      </c>
      <c r="Z12" s="9" t="s">
        <v>150</v>
      </c>
      <c r="AA12" s="9" t="s">
        <v>150</v>
      </c>
      <c r="AB12" s="9" t="s">
        <v>150</v>
      </c>
      <c r="AC12" s="18"/>
      <c r="AD12" s="12" t="s">
        <v>180</v>
      </c>
      <c r="AE12" s="9" t="s">
        <v>165</v>
      </c>
      <c r="AF12" s="9" t="s">
        <v>181</v>
      </c>
    </row>
    <row r="13" spans="1:34">
      <c r="A13" s="9">
        <v>11</v>
      </c>
      <c r="B13" s="13">
        <v>10</v>
      </c>
      <c r="C13" s="13">
        <v>10</v>
      </c>
      <c r="D13" s="13">
        <f t="shared" si="0"/>
        <v>100</v>
      </c>
      <c r="E13" s="47">
        <v>10</v>
      </c>
      <c r="F13" s="11">
        <f t="shared" si="1"/>
        <v>100</v>
      </c>
      <c r="G13" s="13">
        <f t="shared" si="2"/>
        <v>100</v>
      </c>
      <c r="H13" s="13">
        <v>10</v>
      </c>
      <c r="I13" s="13">
        <v>10</v>
      </c>
      <c r="J13" s="13">
        <f t="shared" si="3"/>
        <v>100</v>
      </c>
      <c r="K13" s="18">
        <v>10</v>
      </c>
      <c r="L13" s="13">
        <f t="shared" si="4"/>
        <v>100</v>
      </c>
      <c r="M13" s="11">
        <f t="shared" si="5"/>
        <v>100</v>
      </c>
      <c r="N13" s="14">
        <v>25.92</v>
      </c>
      <c r="O13" s="25">
        <v>-65.807828133333331</v>
      </c>
      <c r="P13" s="18">
        <v>38.192171866666669</v>
      </c>
      <c r="Q13" s="18">
        <v>-64.352737888888882</v>
      </c>
      <c r="R13" s="9">
        <v>39.647262111111111</v>
      </c>
      <c r="S13" s="22">
        <v>9.5433333333333327E-5</v>
      </c>
      <c r="T13" s="9" t="s">
        <v>150</v>
      </c>
      <c r="U13" s="9" t="s">
        <v>150</v>
      </c>
      <c r="V13" s="9" t="s">
        <v>150</v>
      </c>
      <c r="W13" s="9" t="s">
        <v>150</v>
      </c>
      <c r="X13" s="9" t="s">
        <v>150</v>
      </c>
      <c r="Y13" s="9" t="s">
        <v>150</v>
      </c>
      <c r="Z13" s="9" t="s">
        <v>150</v>
      </c>
      <c r="AA13" s="9" t="s">
        <v>150</v>
      </c>
      <c r="AB13" s="9" t="s">
        <v>150</v>
      </c>
      <c r="AC13" s="18"/>
      <c r="AD13" s="12" t="s">
        <v>182</v>
      </c>
      <c r="AE13" s="9" t="s">
        <v>165</v>
      </c>
      <c r="AF13" s="9" t="s">
        <v>183</v>
      </c>
    </row>
    <row r="14" spans="1:34">
      <c r="A14" s="9">
        <v>12</v>
      </c>
      <c r="B14" s="13">
        <v>10</v>
      </c>
      <c r="C14" s="13">
        <v>9</v>
      </c>
      <c r="D14" s="13">
        <f t="shared" si="0"/>
        <v>90</v>
      </c>
      <c r="E14" s="47">
        <v>9</v>
      </c>
      <c r="F14" s="11">
        <f t="shared" si="1"/>
        <v>100</v>
      </c>
      <c r="G14" s="13">
        <f t="shared" si="2"/>
        <v>95</v>
      </c>
      <c r="H14" s="13">
        <v>10</v>
      </c>
      <c r="I14" s="13">
        <v>10</v>
      </c>
      <c r="J14" s="13">
        <f t="shared" si="3"/>
        <v>100</v>
      </c>
      <c r="K14" s="18">
        <v>10</v>
      </c>
      <c r="L14" s="13">
        <f t="shared" si="4"/>
        <v>100</v>
      </c>
      <c r="M14" s="11">
        <f t="shared" si="5"/>
        <v>100</v>
      </c>
      <c r="N14" s="14">
        <v>24.78</v>
      </c>
      <c r="O14" s="25">
        <v>-63.520428433333336</v>
      </c>
      <c r="P14" s="18">
        <v>40.47957156666665</v>
      </c>
      <c r="Q14" s="18">
        <v>-67.760732000000004</v>
      </c>
      <c r="R14" s="9">
        <v>36.239268000000003</v>
      </c>
      <c r="S14" s="22">
        <v>7.2000000000000002E-5</v>
      </c>
      <c r="T14" s="9" t="s">
        <v>150</v>
      </c>
      <c r="U14" s="9" t="s">
        <v>150</v>
      </c>
      <c r="V14" s="9" t="s">
        <v>150</v>
      </c>
      <c r="W14" s="9" t="s">
        <v>150</v>
      </c>
      <c r="X14" s="9" t="s">
        <v>150</v>
      </c>
      <c r="Y14" s="9" t="s">
        <v>150</v>
      </c>
      <c r="Z14" s="9" t="s">
        <v>150</v>
      </c>
      <c r="AA14" s="9" t="s">
        <v>150</v>
      </c>
      <c r="AB14" s="9" t="s">
        <v>150</v>
      </c>
      <c r="AC14" s="18"/>
      <c r="AD14" s="12" t="s">
        <v>184</v>
      </c>
      <c r="AE14" s="9" t="s">
        <v>165</v>
      </c>
      <c r="AF14" s="9" t="s">
        <v>185</v>
      </c>
    </row>
    <row r="15" spans="1:34">
      <c r="A15" s="9">
        <v>13</v>
      </c>
      <c r="B15" s="13">
        <v>10</v>
      </c>
      <c r="C15" s="13">
        <v>10</v>
      </c>
      <c r="D15" s="13">
        <f t="shared" si="0"/>
        <v>100</v>
      </c>
      <c r="E15" s="47">
        <v>10</v>
      </c>
      <c r="F15" s="11">
        <f t="shared" si="1"/>
        <v>100</v>
      </c>
      <c r="G15" s="13">
        <f t="shared" si="2"/>
        <v>100</v>
      </c>
      <c r="H15" s="13">
        <v>10</v>
      </c>
      <c r="I15" s="13">
        <v>10</v>
      </c>
      <c r="J15" s="13">
        <f t="shared" si="3"/>
        <v>100</v>
      </c>
      <c r="K15" s="18">
        <v>9</v>
      </c>
      <c r="L15" s="13">
        <f t="shared" si="4"/>
        <v>90</v>
      </c>
      <c r="M15" s="11">
        <f t="shared" si="5"/>
        <v>95</v>
      </c>
      <c r="N15" s="14">
        <v>25.92</v>
      </c>
      <c r="O15" s="25">
        <v>-66.285606933333341</v>
      </c>
      <c r="P15" s="18">
        <v>37.71439306666668</v>
      </c>
      <c r="Q15" s="18">
        <v>-62.648141111111109</v>
      </c>
      <c r="R15" s="9">
        <v>41.351858888888898</v>
      </c>
      <c r="S15" s="22">
        <v>1.4168965517241379E-4</v>
      </c>
      <c r="T15" s="9" t="s">
        <v>150</v>
      </c>
      <c r="U15" s="9" t="s">
        <v>150</v>
      </c>
      <c r="V15" s="9" t="s">
        <v>150</v>
      </c>
      <c r="W15" s="9" t="s">
        <v>150</v>
      </c>
      <c r="X15" s="9" t="s">
        <v>150</v>
      </c>
      <c r="Y15" s="9" t="s">
        <v>150</v>
      </c>
      <c r="Z15" s="9" t="s">
        <v>150</v>
      </c>
      <c r="AA15" s="9" t="s">
        <v>150</v>
      </c>
      <c r="AB15" s="9" t="s">
        <v>150</v>
      </c>
      <c r="AC15" s="18"/>
      <c r="AD15" s="12" t="s">
        <v>186</v>
      </c>
      <c r="AE15" s="9" t="s">
        <v>165</v>
      </c>
      <c r="AF15" s="9" t="s">
        <v>187</v>
      </c>
    </row>
    <row r="16" spans="1:34">
      <c r="A16" s="9">
        <v>14</v>
      </c>
      <c r="B16" s="13">
        <v>10</v>
      </c>
      <c r="C16" s="13">
        <v>10</v>
      </c>
      <c r="D16" s="13">
        <f t="shared" si="0"/>
        <v>100</v>
      </c>
      <c r="E16" s="47">
        <v>10</v>
      </c>
      <c r="F16" s="11">
        <f t="shared" si="1"/>
        <v>100</v>
      </c>
      <c r="G16" s="13">
        <f t="shared" si="2"/>
        <v>100</v>
      </c>
      <c r="H16" s="13">
        <v>10</v>
      </c>
      <c r="I16" s="13">
        <v>10</v>
      </c>
      <c r="J16" s="13">
        <f t="shared" si="3"/>
        <v>100</v>
      </c>
      <c r="K16" s="18">
        <v>9</v>
      </c>
      <c r="L16" s="13">
        <f t="shared" si="4"/>
        <v>90</v>
      </c>
      <c r="M16" s="11">
        <f t="shared" si="5"/>
        <v>95</v>
      </c>
      <c r="N16" s="14">
        <v>25.92</v>
      </c>
      <c r="O16" s="25">
        <v>-67.715343533333325</v>
      </c>
      <c r="P16" s="18">
        <v>36.284656466666661</v>
      </c>
      <c r="Q16" s="18">
        <v>-66.085543888888878</v>
      </c>
      <c r="R16" s="9">
        <v>37.914456111111107</v>
      </c>
      <c r="S16" s="22">
        <v>9.1733333333333331E-5</v>
      </c>
      <c r="T16" s="9" t="s">
        <v>150</v>
      </c>
      <c r="U16" s="9" t="s">
        <v>150</v>
      </c>
      <c r="V16" s="9" t="s">
        <v>150</v>
      </c>
      <c r="W16" s="9" t="s">
        <v>150</v>
      </c>
      <c r="X16" s="9" t="s">
        <v>150</v>
      </c>
      <c r="Y16" s="9" t="s">
        <v>150</v>
      </c>
      <c r="Z16" s="9" t="s">
        <v>150</v>
      </c>
      <c r="AA16" s="9" t="s">
        <v>150</v>
      </c>
      <c r="AB16" s="9" t="s">
        <v>150</v>
      </c>
      <c r="AC16" s="18"/>
      <c r="AD16" s="12" t="s">
        <v>188</v>
      </c>
      <c r="AE16" s="9" t="s">
        <v>165</v>
      </c>
      <c r="AF16" s="9" t="s">
        <v>172</v>
      </c>
    </row>
    <row r="17" spans="1:32">
      <c r="A17" s="9">
        <v>15</v>
      </c>
      <c r="B17" s="13">
        <v>10</v>
      </c>
      <c r="C17" s="13">
        <v>10</v>
      </c>
      <c r="D17" s="13">
        <f t="shared" si="0"/>
        <v>100</v>
      </c>
      <c r="E17" s="47">
        <v>10</v>
      </c>
      <c r="F17" s="11">
        <f t="shared" si="1"/>
        <v>100</v>
      </c>
      <c r="G17" s="13">
        <f t="shared" si="2"/>
        <v>100</v>
      </c>
      <c r="H17" s="13">
        <v>10</v>
      </c>
      <c r="I17" s="13">
        <v>10</v>
      </c>
      <c r="J17" s="13">
        <f t="shared" si="3"/>
        <v>100</v>
      </c>
      <c r="K17" s="18">
        <v>10</v>
      </c>
      <c r="L17" s="13">
        <f t="shared" si="4"/>
        <v>100</v>
      </c>
      <c r="M17" s="11">
        <f t="shared" si="5"/>
        <v>100</v>
      </c>
      <c r="N17" s="14">
        <v>25.92</v>
      </c>
      <c r="O17" s="25">
        <v>-69.169959600000013</v>
      </c>
      <c r="P17" s="18">
        <v>34.830040399999994</v>
      </c>
      <c r="Q17" s="18">
        <v>-67.503685666666655</v>
      </c>
      <c r="R17" s="9">
        <v>36.496314333333338</v>
      </c>
      <c r="S17" s="22">
        <v>8.0699999999999996E-5</v>
      </c>
      <c r="T17" s="9" t="s">
        <v>150</v>
      </c>
      <c r="U17" s="9" t="s">
        <v>150</v>
      </c>
      <c r="V17" s="9" t="s">
        <v>150</v>
      </c>
      <c r="W17" s="9" t="s">
        <v>150</v>
      </c>
      <c r="X17" s="9" t="s">
        <v>150</v>
      </c>
      <c r="Y17" s="9" t="s">
        <v>150</v>
      </c>
      <c r="Z17" s="9" t="s">
        <v>150</v>
      </c>
      <c r="AA17" s="9" t="s">
        <v>150</v>
      </c>
      <c r="AB17" s="9" t="s">
        <v>150</v>
      </c>
      <c r="AC17" s="18"/>
      <c r="AD17" s="12" t="s">
        <v>189</v>
      </c>
      <c r="AE17" s="9" t="s">
        <v>165</v>
      </c>
      <c r="AF17" s="9" t="s">
        <v>190</v>
      </c>
    </row>
    <row r="18" spans="1:32">
      <c r="A18" s="9">
        <v>16</v>
      </c>
      <c r="B18" s="13">
        <v>10</v>
      </c>
      <c r="C18" s="13">
        <v>10</v>
      </c>
      <c r="D18" s="13">
        <f t="shared" si="0"/>
        <v>100</v>
      </c>
      <c r="E18" s="47">
        <v>8</v>
      </c>
      <c r="F18" s="11">
        <f t="shared" si="1"/>
        <v>80</v>
      </c>
      <c r="G18" s="13">
        <f t="shared" si="2"/>
        <v>90</v>
      </c>
      <c r="H18" s="13">
        <v>10</v>
      </c>
      <c r="I18" s="13">
        <v>10</v>
      </c>
      <c r="J18" s="13">
        <f t="shared" si="3"/>
        <v>100</v>
      </c>
      <c r="K18" s="18">
        <v>10</v>
      </c>
      <c r="L18" s="13">
        <f t="shared" si="4"/>
        <v>100</v>
      </c>
      <c r="M18" s="11">
        <f t="shared" si="5"/>
        <v>100</v>
      </c>
      <c r="N18" s="14">
        <v>23.64</v>
      </c>
      <c r="O18" s="25">
        <v>-68.235576999999992</v>
      </c>
      <c r="P18" s="18">
        <v>35.764422999999994</v>
      </c>
      <c r="Q18" s="18">
        <v>-66.732119666666648</v>
      </c>
      <c r="R18" s="9">
        <v>37.267880333333331</v>
      </c>
      <c r="S18" s="22">
        <v>7.0933333333333327E-5</v>
      </c>
      <c r="T18" s="9" t="s">
        <v>150</v>
      </c>
      <c r="U18" s="9" t="s">
        <v>150</v>
      </c>
      <c r="V18" s="9" t="s">
        <v>150</v>
      </c>
      <c r="W18" s="9" t="s">
        <v>150</v>
      </c>
      <c r="X18" s="9" t="s">
        <v>150</v>
      </c>
      <c r="Y18" s="9" t="s">
        <v>150</v>
      </c>
      <c r="Z18" s="9" t="s">
        <v>150</v>
      </c>
      <c r="AA18" s="9" t="s">
        <v>150</v>
      </c>
      <c r="AB18" s="9" t="s">
        <v>150</v>
      </c>
      <c r="AC18" s="18"/>
      <c r="AD18" s="12" t="s">
        <v>191</v>
      </c>
      <c r="AE18" s="9" t="s">
        <v>165</v>
      </c>
      <c r="AF18" s="9" t="s">
        <v>183</v>
      </c>
    </row>
    <row r="19" spans="1:32">
      <c r="A19" s="9">
        <v>17</v>
      </c>
      <c r="B19" s="13">
        <v>10</v>
      </c>
      <c r="C19" s="13">
        <v>10</v>
      </c>
      <c r="D19" s="13">
        <f t="shared" si="0"/>
        <v>100</v>
      </c>
      <c r="E19" s="47">
        <v>8</v>
      </c>
      <c r="F19" s="11">
        <f t="shared" si="1"/>
        <v>80</v>
      </c>
      <c r="G19" s="13">
        <f t="shared" si="2"/>
        <v>90</v>
      </c>
      <c r="H19" s="13">
        <v>10</v>
      </c>
      <c r="I19" s="13">
        <v>10</v>
      </c>
      <c r="J19" s="13">
        <f t="shared" si="3"/>
        <v>100</v>
      </c>
      <c r="K19" s="18">
        <v>10</v>
      </c>
      <c r="L19" s="13">
        <f t="shared" si="4"/>
        <v>100</v>
      </c>
      <c r="M19" s="11">
        <f t="shared" si="5"/>
        <v>100</v>
      </c>
      <c r="N19" s="14">
        <v>24.21</v>
      </c>
      <c r="O19" s="25">
        <v>-68.497975233333335</v>
      </c>
      <c r="P19" s="18">
        <v>35.502024766666658</v>
      </c>
      <c r="Q19" s="18">
        <v>-70.06494466666669</v>
      </c>
      <c r="R19" s="9">
        <v>33.935055333333338</v>
      </c>
      <c r="S19" s="22">
        <v>1.0160000000000002E-4</v>
      </c>
      <c r="T19" s="9" t="s">
        <v>150</v>
      </c>
      <c r="U19" s="9" t="s">
        <v>150</v>
      </c>
      <c r="V19" s="9" t="s">
        <v>150</v>
      </c>
      <c r="W19" s="9" t="s">
        <v>150</v>
      </c>
      <c r="X19" s="9" t="s">
        <v>150</v>
      </c>
      <c r="Y19" s="9" t="s">
        <v>150</v>
      </c>
      <c r="Z19" s="9" t="s">
        <v>150</v>
      </c>
      <c r="AA19" s="9" t="s">
        <v>150</v>
      </c>
      <c r="AB19" s="9" t="s">
        <v>150</v>
      </c>
      <c r="AC19" s="18"/>
      <c r="AD19" s="12" t="s">
        <v>192</v>
      </c>
      <c r="AE19" s="9" t="s">
        <v>165</v>
      </c>
      <c r="AF19" s="9" t="s">
        <v>187</v>
      </c>
    </row>
    <row r="20" spans="1:32">
      <c r="A20" s="9">
        <v>18</v>
      </c>
      <c r="B20" s="13">
        <v>10</v>
      </c>
      <c r="C20" s="13">
        <v>10</v>
      </c>
      <c r="D20" s="13">
        <f t="shared" si="0"/>
        <v>100</v>
      </c>
      <c r="E20" s="47">
        <v>9</v>
      </c>
      <c r="F20" s="11">
        <f t="shared" si="1"/>
        <v>90</v>
      </c>
      <c r="G20" s="13">
        <f t="shared" si="2"/>
        <v>95</v>
      </c>
      <c r="H20" s="13">
        <v>10</v>
      </c>
      <c r="I20" s="13">
        <v>10</v>
      </c>
      <c r="J20" s="13">
        <f t="shared" si="3"/>
        <v>100</v>
      </c>
      <c r="K20" s="18">
        <v>10</v>
      </c>
      <c r="L20" s="13">
        <f t="shared" si="4"/>
        <v>100</v>
      </c>
      <c r="M20" s="11">
        <f t="shared" si="5"/>
        <v>100</v>
      </c>
      <c r="N20" s="14">
        <v>24.78</v>
      </c>
      <c r="O20" s="25">
        <v>-69.102826866666661</v>
      </c>
      <c r="P20" s="18">
        <v>34.897173133333332</v>
      </c>
      <c r="Q20" s="18">
        <v>-69.00393055555557</v>
      </c>
      <c r="R20" s="9">
        <v>34.996069444444437</v>
      </c>
      <c r="S20" s="22">
        <v>1.1803333333333335E-4</v>
      </c>
      <c r="T20" s="9" t="s">
        <v>150</v>
      </c>
      <c r="U20" s="9" t="s">
        <v>150</v>
      </c>
      <c r="V20" s="9" t="s">
        <v>150</v>
      </c>
      <c r="W20" s="9" t="s">
        <v>150</v>
      </c>
      <c r="X20" s="9" t="s">
        <v>150</v>
      </c>
      <c r="Y20" s="9" t="s">
        <v>150</v>
      </c>
      <c r="Z20" s="9" t="s">
        <v>150</v>
      </c>
      <c r="AA20" s="9" t="s">
        <v>150</v>
      </c>
      <c r="AB20" s="9" t="s">
        <v>150</v>
      </c>
      <c r="AC20" s="18"/>
      <c r="AD20" s="12" t="s">
        <v>193</v>
      </c>
      <c r="AE20" s="9" t="s">
        <v>165</v>
      </c>
      <c r="AF20" s="9" t="s">
        <v>183</v>
      </c>
    </row>
    <row r="21" spans="1:32">
      <c r="A21" s="9">
        <v>19</v>
      </c>
      <c r="B21" s="13">
        <v>10</v>
      </c>
      <c r="C21" s="13">
        <v>10</v>
      </c>
      <c r="D21" s="13">
        <f t="shared" si="0"/>
        <v>100</v>
      </c>
      <c r="E21" s="47">
        <v>10</v>
      </c>
      <c r="F21" s="11">
        <f t="shared" si="1"/>
        <v>100</v>
      </c>
      <c r="G21" s="13">
        <f t="shared" si="2"/>
        <v>100</v>
      </c>
      <c r="H21" s="13">
        <v>10</v>
      </c>
      <c r="I21" s="13">
        <v>10</v>
      </c>
      <c r="J21" s="13">
        <f t="shared" si="3"/>
        <v>100</v>
      </c>
      <c r="K21" s="18">
        <v>10</v>
      </c>
      <c r="L21" s="13">
        <f t="shared" si="4"/>
        <v>100</v>
      </c>
      <c r="M21" s="11">
        <f t="shared" si="5"/>
        <v>100</v>
      </c>
      <c r="N21" s="14">
        <v>25.92</v>
      </c>
      <c r="O21" s="25">
        <v>-70.397711599999994</v>
      </c>
      <c r="P21" s="18">
        <v>33.602288399999992</v>
      </c>
      <c r="Q21" s="18">
        <v>-71.837233888888889</v>
      </c>
      <c r="R21" s="9">
        <v>32.162766111111104</v>
      </c>
      <c r="S21" s="22">
        <v>1.3676666666666667E-4</v>
      </c>
      <c r="T21" s="9" t="s">
        <v>150</v>
      </c>
      <c r="U21" s="9" t="s">
        <v>150</v>
      </c>
      <c r="V21" s="9" t="s">
        <v>150</v>
      </c>
      <c r="W21" s="9" t="s">
        <v>150</v>
      </c>
      <c r="X21" s="9" t="s">
        <v>150</v>
      </c>
      <c r="Y21" s="9" t="s">
        <v>150</v>
      </c>
      <c r="Z21" s="9" t="s">
        <v>150</v>
      </c>
      <c r="AA21" s="9" t="s">
        <v>150</v>
      </c>
      <c r="AB21" s="9" t="s">
        <v>150</v>
      </c>
      <c r="AC21" s="18"/>
      <c r="AD21" s="12" t="s">
        <v>194</v>
      </c>
      <c r="AE21" s="9" t="s">
        <v>165</v>
      </c>
      <c r="AF21" s="9" t="s">
        <v>187</v>
      </c>
    </row>
    <row r="22" spans="1:32">
      <c r="A22" s="9">
        <v>20</v>
      </c>
      <c r="B22" s="13">
        <v>10</v>
      </c>
      <c r="C22" s="13">
        <v>10</v>
      </c>
      <c r="D22" s="13">
        <f t="shared" si="0"/>
        <v>100</v>
      </c>
      <c r="E22" s="47">
        <v>10</v>
      </c>
      <c r="F22" s="11">
        <f t="shared" si="1"/>
        <v>100</v>
      </c>
      <c r="G22" s="13">
        <f t="shared" si="2"/>
        <v>100</v>
      </c>
      <c r="H22" s="13">
        <v>10</v>
      </c>
      <c r="I22" s="13">
        <v>10</v>
      </c>
      <c r="J22" s="13">
        <f t="shared" si="3"/>
        <v>100</v>
      </c>
      <c r="K22" s="18">
        <v>8</v>
      </c>
      <c r="L22" s="13">
        <f t="shared" si="4"/>
        <v>80</v>
      </c>
      <c r="M22" s="11">
        <f t="shared" si="5"/>
        <v>90</v>
      </c>
      <c r="N22" s="14">
        <v>25.92</v>
      </c>
      <c r="O22" s="25">
        <v>-72.841712966666663</v>
      </c>
      <c r="P22" s="18">
        <v>31.15828703333333</v>
      </c>
      <c r="Q22" s="18">
        <v>-71.955864777777776</v>
      </c>
      <c r="R22" s="9">
        <v>32.044135222222216</v>
      </c>
      <c r="S22" s="22">
        <v>9.6068965517241369E-5</v>
      </c>
      <c r="T22" s="9" t="s">
        <v>150</v>
      </c>
      <c r="U22" s="9" t="s">
        <v>150</v>
      </c>
      <c r="V22" s="9" t="s">
        <v>150</v>
      </c>
      <c r="W22" s="9" t="s">
        <v>150</v>
      </c>
      <c r="X22" s="9" t="s">
        <v>150</v>
      </c>
      <c r="Y22" s="9" t="s">
        <v>150</v>
      </c>
      <c r="Z22" s="9" t="s">
        <v>150</v>
      </c>
      <c r="AA22" s="9" t="s">
        <v>150</v>
      </c>
      <c r="AB22" s="9" t="s">
        <v>150</v>
      </c>
      <c r="AC22" s="18"/>
      <c r="AD22" s="12" t="s">
        <v>195</v>
      </c>
      <c r="AE22" s="9" t="s">
        <v>165</v>
      </c>
      <c r="AF22" s="9" t="s">
        <v>183</v>
      </c>
    </row>
    <row r="23" spans="1:32">
      <c r="A23" s="9">
        <v>21</v>
      </c>
      <c r="B23" s="13">
        <v>10</v>
      </c>
      <c r="C23" s="13">
        <v>10</v>
      </c>
      <c r="D23" s="13">
        <f t="shared" si="0"/>
        <v>100</v>
      </c>
      <c r="E23" s="47">
        <v>9</v>
      </c>
      <c r="F23" s="11">
        <f t="shared" si="1"/>
        <v>90</v>
      </c>
      <c r="G23" s="13">
        <f t="shared" si="2"/>
        <v>95</v>
      </c>
      <c r="H23" s="13">
        <v>10</v>
      </c>
      <c r="I23" s="13">
        <v>10</v>
      </c>
      <c r="J23" s="13">
        <f t="shared" si="3"/>
        <v>100</v>
      </c>
      <c r="K23" s="18">
        <v>9</v>
      </c>
      <c r="L23" s="13">
        <f t="shared" si="4"/>
        <v>90</v>
      </c>
      <c r="M23" s="11">
        <f t="shared" si="5"/>
        <v>95</v>
      </c>
      <c r="N23" s="14">
        <v>24.78</v>
      </c>
      <c r="O23" s="25">
        <v>-72.272559000000015</v>
      </c>
      <c r="P23" s="18">
        <v>31.727441000000002</v>
      </c>
      <c r="Q23" s="18">
        <v>-70.595416000000014</v>
      </c>
      <c r="R23" s="9">
        <v>33.404584</v>
      </c>
      <c r="S23" s="22">
        <v>1.2339999999999999E-4</v>
      </c>
      <c r="T23" s="9" t="s">
        <v>150</v>
      </c>
      <c r="U23" s="9" t="s">
        <v>150</v>
      </c>
      <c r="V23" s="9" t="s">
        <v>150</v>
      </c>
      <c r="W23" s="9" t="s">
        <v>150</v>
      </c>
      <c r="X23" s="9" t="s">
        <v>150</v>
      </c>
      <c r="Y23" s="9" t="s">
        <v>150</v>
      </c>
      <c r="Z23" s="9" t="s">
        <v>150</v>
      </c>
      <c r="AA23" s="9" t="s">
        <v>150</v>
      </c>
      <c r="AB23" s="9" t="s">
        <v>150</v>
      </c>
      <c r="AC23" s="18"/>
      <c r="AD23" s="12" t="s">
        <v>196</v>
      </c>
      <c r="AE23" s="9" t="s">
        <v>165</v>
      </c>
      <c r="AF23" s="9" t="s">
        <v>197</v>
      </c>
    </row>
    <row r="24" spans="1:32">
      <c r="A24" s="9">
        <v>22</v>
      </c>
      <c r="B24" s="13">
        <v>10</v>
      </c>
      <c r="C24" s="13">
        <v>10</v>
      </c>
      <c r="D24" s="13">
        <f t="shared" si="0"/>
        <v>100</v>
      </c>
      <c r="E24" s="47">
        <v>9</v>
      </c>
      <c r="F24" s="11">
        <f t="shared" si="1"/>
        <v>90</v>
      </c>
      <c r="G24" s="13">
        <f t="shared" si="2"/>
        <v>95</v>
      </c>
      <c r="H24" s="13">
        <v>10</v>
      </c>
      <c r="I24" s="13">
        <v>10</v>
      </c>
      <c r="J24" s="13">
        <f t="shared" si="3"/>
        <v>100</v>
      </c>
      <c r="K24" s="18">
        <v>8</v>
      </c>
      <c r="L24" s="13">
        <f t="shared" si="4"/>
        <v>80</v>
      </c>
      <c r="M24" s="11">
        <f t="shared" si="5"/>
        <v>90</v>
      </c>
      <c r="N24" s="14">
        <v>24.78</v>
      </c>
      <c r="O24" s="25">
        <v>-72.082036599999995</v>
      </c>
      <c r="P24" s="18">
        <v>31.917963400000009</v>
      </c>
      <c r="Q24" s="18">
        <v>-73.593758666666673</v>
      </c>
      <c r="R24" s="9">
        <v>30.40624133333333</v>
      </c>
      <c r="S24" s="22">
        <v>8.2199999999999979E-5</v>
      </c>
      <c r="T24" s="9" t="s">
        <v>150</v>
      </c>
      <c r="U24" s="9" t="s">
        <v>150</v>
      </c>
      <c r="V24" s="9" t="s">
        <v>150</v>
      </c>
      <c r="W24" s="9" t="s">
        <v>150</v>
      </c>
      <c r="X24" s="9" t="s">
        <v>150</v>
      </c>
      <c r="Y24" s="9" t="s">
        <v>150</v>
      </c>
      <c r="Z24" s="9" t="s">
        <v>150</v>
      </c>
      <c r="AA24" s="9" t="s">
        <v>150</v>
      </c>
      <c r="AB24" s="9" t="s">
        <v>150</v>
      </c>
      <c r="AC24" s="18"/>
      <c r="AD24" s="12" t="s">
        <v>198</v>
      </c>
      <c r="AE24" s="9" t="s">
        <v>165</v>
      </c>
      <c r="AF24" s="9" t="s">
        <v>187</v>
      </c>
    </row>
    <row r="25" spans="1:32">
      <c r="A25" s="9">
        <v>23</v>
      </c>
      <c r="B25" s="13">
        <v>10</v>
      </c>
      <c r="C25" s="13">
        <v>10</v>
      </c>
      <c r="D25" s="13">
        <f t="shared" si="0"/>
        <v>100</v>
      </c>
      <c r="E25" s="47">
        <v>8</v>
      </c>
      <c r="F25" s="11">
        <f t="shared" si="1"/>
        <v>80</v>
      </c>
      <c r="G25" s="13">
        <f t="shared" si="2"/>
        <v>90</v>
      </c>
      <c r="H25" s="13">
        <v>10</v>
      </c>
      <c r="I25" s="13">
        <v>10</v>
      </c>
      <c r="J25" s="13">
        <f t="shared" si="3"/>
        <v>100</v>
      </c>
      <c r="K25" s="18">
        <v>8</v>
      </c>
      <c r="L25" s="13">
        <f t="shared" si="4"/>
        <v>80</v>
      </c>
      <c r="M25" s="11">
        <f t="shared" si="5"/>
        <v>90</v>
      </c>
      <c r="N25" s="14">
        <v>21.93</v>
      </c>
      <c r="O25" s="25">
        <v>-74.306089066666644</v>
      </c>
      <c r="P25" s="18">
        <v>29.693910933333328</v>
      </c>
      <c r="Q25" s="18">
        <v>-73.045472666666669</v>
      </c>
      <c r="R25" s="9">
        <v>30.954527333333331</v>
      </c>
      <c r="S25" s="22">
        <v>1.2183333333333333E-4</v>
      </c>
      <c r="T25" s="9" t="s">
        <v>150</v>
      </c>
      <c r="U25" s="9" t="s">
        <v>150</v>
      </c>
      <c r="V25" s="9" t="s">
        <v>150</v>
      </c>
      <c r="W25" s="9" t="s">
        <v>150</v>
      </c>
      <c r="X25" s="9" t="s">
        <v>150</v>
      </c>
      <c r="Y25" s="9" t="s">
        <v>150</v>
      </c>
      <c r="Z25" s="9" t="s">
        <v>150</v>
      </c>
      <c r="AA25" s="9" t="s">
        <v>150</v>
      </c>
      <c r="AB25" s="9" t="s">
        <v>150</v>
      </c>
      <c r="AC25" s="18"/>
      <c r="AD25" s="12" t="s">
        <v>199</v>
      </c>
      <c r="AE25" s="9" t="s">
        <v>165</v>
      </c>
      <c r="AF25" s="9" t="s">
        <v>200</v>
      </c>
    </row>
    <row r="26" spans="1:32">
      <c r="A26" s="9">
        <v>24</v>
      </c>
      <c r="B26" s="13">
        <v>10</v>
      </c>
      <c r="C26" s="13">
        <v>10</v>
      </c>
      <c r="D26" s="13">
        <f t="shared" si="0"/>
        <v>100</v>
      </c>
      <c r="E26" s="47">
        <v>10</v>
      </c>
      <c r="F26" s="11">
        <f t="shared" si="1"/>
        <v>100</v>
      </c>
      <c r="G26" s="13">
        <f t="shared" si="2"/>
        <v>100</v>
      </c>
      <c r="H26" s="13">
        <v>10</v>
      </c>
      <c r="I26" s="13">
        <v>8</v>
      </c>
      <c r="J26" s="13">
        <f t="shared" si="3"/>
        <v>80</v>
      </c>
      <c r="K26" s="18">
        <v>8</v>
      </c>
      <c r="L26" s="13">
        <f t="shared" si="4"/>
        <v>100</v>
      </c>
      <c r="M26" s="11">
        <f t="shared" si="5"/>
        <v>90</v>
      </c>
      <c r="N26" s="14">
        <v>22.1</v>
      </c>
      <c r="O26" s="25">
        <v>-76.352154999999996</v>
      </c>
      <c r="P26" s="18">
        <v>29.364545400000001</v>
      </c>
      <c r="Q26" s="18">
        <v>-71.088061888888888</v>
      </c>
      <c r="R26" s="9">
        <v>32.91193811111112</v>
      </c>
      <c r="S26" s="22">
        <v>1.361333333333333E-4</v>
      </c>
      <c r="T26" s="9" t="s">
        <v>150</v>
      </c>
      <c r="U26" s="9" t="s">
        <v>150</v>
      </c>
      <c r="V26" s="9" t="s">
        <v>150</v>
      </c>
      <c r="W26" s="9" t="s">
        <v>150</v>
      </c>
      <c r="X26" s="9" t="s">
        <v>150</v>
      </c>
      <c r="Y26" s="9" t="s">
        <v>150</v>
      </c>
      <c r="Z26" s="9" t="s">
        <v>150</v>
      </c>
      <c r="AA26" s="9" t="s">
        <v>150</v>
      </c>
      <c r="AB26" s="9" t="s">
        <v>150</v>
      </c>
      <c r="AC26" s="18"/>
      <c r="AD26" s="12" t="s">
        <v>201</v>
      </c>
      <c r="AE26" s="9" t="s">
        <v>165</v>
      </c>
      <c r="AF26" s="9" t="s">
        <v>202</v>
      </c>
    </row>
    <row r="27" spans="1:32">
      <c r="A27" s="9">
        <v>25</v>
      </c>
      <c r="B27" s="13">
        <v>10</v>
      </c>
      <c r="C27" s="13">
        <v>9</v>
      </c>
      <c r="D27" s="13">
        <f t="shared" si="0"/>
        <v>90</v>
      </c>
      <c r="E27" s="47">
        <v>8</v>
      </c>
      <c r="F27" s="11">
        <f t="shared" si="1"/>
        <v>88.888888888888886</v>
      </c>
      <c r="G27" s="13">
        <f t="shared" si="2"/>
        <v>89.444444444444443</v>
      </c>
      <c r="H27" s="13">
        <v>10</v>
      </c>
      <c r="I27" s="13">
        <v>10</v>
      </c>
      <c r="J27" s="13">
        <f t="shared" si="3"/>
        <v>100</v>
      </c>
      <c r="K27" s="18">
        <v>9</v>
      </c>
      <c r="L27" s="13">
        <f t="shared" si="4"/>
        <v>90</v>
      </c>
      <c r="M27" s="11">
        <f t="shared" si="5"/>
        <v>95</v>
      </c>
      <c r="N27" s="14">
        <v>23.1</v>
      </c>
      <c r="O27" s="25">
        <v>-74.376218299999977</v>
      </c>
      <c r="P27" s="18">
        <v>30.545641100000001</v>
      </c>
      <c r="Q27" s="18">
        <v>-71.429020888888886</v>
      </c>
      <c r="R27" s="9">
        <v>32.570979111111114</v>
      </c>
      <c r="S27" s="22">
        <v>1.1053333333333334E-4</v>
      </c>
      <c r="T27" s="9" t="s">
        <v>150</v>
      </c>
      <c r="U27" s="9" t="s">
        <v>150</v>
      </c>
      <c r="V27" s="9" t="s">
        <v>150</v>
      </c>
      <c r="W27" s="9" t="s">
        <v>150</v>
      </c>
      <c r="X27" s="9" t="s">
        <v>150</v>
      </c>
      <c r="Y27" s="9" t="s">
        <v>150</v>
      </c>
      <c r="Z27" s="9" t="s">
        <v>150</v>
      </c>
      <c r="AA27" s="9" t="s">
        <v>150</v>
      </c>
      <c r="AB27" s="9" t="s">
        <v>150</v>
      </c>
      <c r="AC27" s="18"/>
      <c r="AD27" s="12" t="s">
        <v>203</v>
      </c>
      <c r="AE27" s="9" t="s">
        <v>165</v>
      </c>
      <c r="AF27" s="9" t="s">
        <v>170</v>
      </c>
    </row>
    <row r="28" spans="1:32">
      <c r="A28" s="9">
        <v>26</v>
      </c>
      <c r="B28" s="13">
        <v>10</v>
      </c>
      <c r="C28" s="13">
        <v>10</v>
      </c>
      <c r="D28" s="13">
        <f t="shared" si="0"/>
        <v>100</v>
      </c>
      <c r="E28" s="47">
        <v>7</v>
      </c>
      <c r="F28" s="11">
        <f t="shared" si="1"/>
        <v>70</v>
      </c>
      <c r="G28" s="13">
        <f t="shared" si="2"/>
        <v>85</v>
      </c>
      <c r="H28" s="13">
        <v>10</v>
      </c>
      <c r="I28" s="13">
        <v>10</v>
      </c>
      <c r="J28" s="13">
        <f t="shared" si="3"/>
        <v>100</v>
      </c>
      <c r="K28" s="18">
        <v>7</v>
      </c>
      <c r="L28" s="13">
        <f t="shared" si="4"/>
        <v>70</v>
      </c>
      <c r="M28" s="11">
        <f t="shared" si="5"/>
        <v>85</v>
      </c>
      <c r="N28" s="14">
        <v>20.55</v>
      </c>
      <c r="O28" s="25">
        <v>-77.625541999999996</v>
      </c>
      <c r="P28" s="18">
        <v>28.648412</v>
      </c>
      <c r="Q28" s="18">
        <v>-69.02309133333334</v>
      </c>
      <c r="R28" s="9">
        <v>34.976908666666674</v>
      </c>
      <c r="S28" s="22">
        <v>1.1326666666666669E-4</v>
      </c>
      <c r="T28" s="9" t="s">
        <v>150</v>
      </c>
      <c r="U28" s="9" t="s">
        <v>150</v>
      </c>
      <c r="V28" s="9" t="s">
        <v>150</v>
      </c>
      <c r="W28" s="9" t="s">
        <v>150</v>
      </c>
      <c r="X28" s="9" t="s">
        <v>150</v>
      </c>
      <c r="Y28" s="9" t="s">
        <v>150</v>
      </c>
      <c r="Z28" s="9" t="s">
        <v>150</v>
      </c>
      <c r="AA28" s="9" t="s">
        <v>150</v>
      </c>
      <c r="AB28" s="9" t="s">
        <v>150</v>
      </c>
      <c r="AC28" s="18"/>
      <c r="AD28" s="12" t="s">
        <v>204</v>
      </c>
      <c r="AE28" s="9" t="s">
        <v>165</v>
      </c>
      <c r="AF28" s="9" t="s">
        <v>177</v>
      </c>
    </row>
    <row r="29" spans="1:32">
      <c r="A29" s="9">
        <v>27</v>
      </c>
      <c r="B29" s="13">
        <v>10</v>
      </c>
      <c r="C29" s="13">
        <v>10</v>
      </c>
      <c r="D29" s="13">
        <f t="shared" si="0"/>
        <v>100</v>
      </c>
      <c r="E29" s="47">
        <v>9</v>
      </c>
      <c r="F29" s="11">
        <f t="shared" si="1"/>
        <v>90</v>
      </c>
      <c r="G29" s="13">
        <f t="shared" si="2"/>
        <v>95</v>
      </c>
      <c r="H29" s="13">
        <v>10</v>
      </c>
      <c r="I29" s="13">
        <v>9</v>
      </c>
      <c r="J29" s="13">
        <f t="shared" si="3"/>
        <v>90</v>
      </c>
      <c r="K29" s="18">
        <v>7</v>
      </c>
      <c r="L29" s="13">
        <f t="shared" si="4"/>
        <v>77.777777777777786</v>
      </c>
      <c r="M29" s="11">
        <f t="shared" si="5"/>
        <v>83.888888888888886</v>
      </c>
      <c r="N29" s="14">
        <v>20.55</v>
      </c>
      <c r="O29" s="25">
        <v>-77.963149999999999</v>
      </c>
      <c r="P29" s="18">
        <v>27.564651000000001</v>
      </c>
      <c r="Q29" s="18">
        <v>-73.130532888888908</v>
      </c>
      <c r="R29" s="9">
        <v>30.869467111111117</v>
      </c>
      <c r="S29" s="22">
        <v>1.079310344827586E-4</v>
      </c>
      <c r="T29" s="9" t="s">
        <v>150</v>
      </c>
      <c r="U29" s="9" t="s">
        <v>150</v>
      </c>
      <c r="V29" s="9" t="s">
        <v>150</v>
      </c>
      <c r="W29" s="9" t="s">
        <v>150</v>
      </c>
      <c r="X29" s="9" t="s">
        <v>150</v>
      </c>
      <c r="Y29" s="9" t="s">
        <v>150</v>
      </c>
      <c r="Z29" s="9" t="s">
        <v>150</v>
      </c>
      <c r="AA29" s="9" t="s">
        <v>150</v>
      </c>
      <c r="AB29" s="9" t="s">
        <v>150</v>
      </c>
      <c r="AC29" s="18"/>
      <c r="AD29" s="12" t="s">
        <v>205</v>
      </c>
      <c r="AE29" s="9" t="s">
        <v>165</v>
      </c>
      <c r="AF29" s="9" t="s">
        <v>206</v>
      </c>
    </row>
    <row r="30" spans="1:32">
      <c r="A30" s="9">
        <v>28</v>
      </c>
      <c r="B30" s="13">
        <v>10</v>
      </c>
      <c r="C30" s="13">
        <v>10</v>
      </c>
      <c r="D30" s="13">
        <f t="shared" si="0"/>
        <v>100</v>
      </c>
      <c r="E30" s="47">
        <v>10</v>
      </c>
      <c r="F30" s="11">
        <f t="shared" si="1"/>
        <v>100</v>
      </c>
      <c r="G30" s="13">
        <f t="shared" si="2"/>
        <v>100</v>
      </c>
      <c r="H30" s="13">
        <v>10</v>
      </c>
      <c r="I30" s="13">
        <v>10</v>
      </c>
      <c r="J30" s="13">
        <f t="shared" si="3"/>
        <v>100</v>
      </c>
      <c r="K30" s="18">
        <v>9</v>
      </c>
      <c r="L30" s="13">
        <f t="shared" si="4"/>
        <v>90</v>
      </c>
      <c r="M30" s="11">
        <f t="shared" si="5"/>
        <v>95</v>
      </c>
      <c r="N30" s="14">
        <v>22.52</v>
      </c>
      <c r="O30" s="25">
        <v>-80.05189</v>
      </c>
      <c r="P30" s="18">
        <v>28.368711099999999</v>
      </c>
      <c r="Q30" s="18">
        <v>-75.677282333333338</v>
      </c>
      <c r="R30" s="9">
        <v>28.322717666666666</v>
      </c>
      <c r="S30" s="22">
        <v>1.5993333333333334E-4</v>
      </c>
      <c r="T30" s="9" t="s">
        <v>150</v>
      </c>
      <c r="U30" s="9" t="s">
        <v>150</v>
      </c>
      <c r="V30" s="9" t="s">
        <v>150</v>
      </c>
      <c r="W30" s="9" t="s">
        <v>150</v>
      </c>
      <c r="X30" s="9" t="s">
        <v>150</v>
      </c>
      <c r="Y30" s="9" t="s">
        <v>150</v>
      </c>
      <c r="Z30" s="9" t="s">
        <v>150</v>
      </c>
      <c r="AA30" s="9" t="s">
        <v>150</v>
      </c>
      <c r="AB30" s="9" t="s">
        <v>150</v>
      </c>
      <c r="AC30" s="18"/>
      <c r="AD30" s="12" t="s">
        <v>207</v>
      </c>
      <c r="AE30" s="9" t="s">
        <v>165</v>
      </c>
      <c r="AF30" s="9" t="s">
        <v>197</v>
      </c>
    </row>
    <row r="31" spans="1:32">
      <c r="A31" s="9">
        <v>29</v>
      </c>
      <c r="B31" s="13">
        <v>10</v>
      </c>
      <c r="C31" s="13">
        <v>10</v>
      </c>
      <c r="D31" s="13">
        <f t="shared" si="0"/>
        <v>100</v>
      </c>
      <c r="E31" s="47">
        <v>10</v>
      </c>
      <c r="F31" s="11">
        <f t="shared" si="1"/>
        <v>100</v>
      </c>
      <c r="G31" s="13">
        <f t="shared" si="2"/>
        <v>100</v>
      </c>
      <c r="H31" s="13">
        <v>10</v>
      </c>
      <c r="I31" s="13">
        <v>9</v>
      </c>
      <c r="J31" s="13">
        <f t="shared" si="3"/>
        <v>90</v>
      </c>
      <c r="K31" s="18">
        <v>7</v>
      </c>
      <c r="L31" s="13">
        <f t="shared" si="4"/>
        <v>77.777777777777786</v>
      </c>
      <c r="M31" s="11">
        <f t="shared" si="5"/>
        <v>83.888888888888886</v>
      </c>
      <c r="N31" s="14">
        <v>19.75</v>
      </c>
      <c r="O31" s="25">
        <v>-79.326644999999999</v>
      </c>
      <c r="P31" s="18">
        <v>25.165465409999999</v>
      </c>
      <c r="Q31" s="18">
        <v>-69.646982444444447</v>
      </c>
      <c r="R31" s="9">
        <v>34.35301755555556</v>
      </c>
      <c r="S31" s="22">
        <v>1.8336666666666663E-4</v>
      </c>
      <c r="T31" s="9" t="s">
        <v>150</v>
      </c>
      <c r="U31" s="9" t="s">
        <v>150</v>
      </c>
      <c r="V31" s="9" t="s">
        <v>150</v>
      </c>
      <c r="W31" s="9" t="s">
        <v>150</v>
      </c>
      <c r="X31" s="9" t="s">
        <v>150</v>
      </c>
      <c r="Y31" s="9" t="s">
        <v>150</v>
      </c>
      <c r="Z31" s="9" t="s">
        <v>150</v>
      </c>
      <c r="AA31" s="9" t="s">
        <v>150</v>
      </c>
      <c r="AB31" s="9" t="s">
        <v>150</v>
      </c>
      <c r="AC31" s="18"/>
      <c r="AD31" s="12" t="s">
        <v>208</v>
      </c>
      <c r="AE31" s="9" t="s">
        <v>165</v>
      </c>
      <c r="AF31" s="9" t="s">
        <v>209</v>
      </c>
    </row>
    <row r="32" spans="1:32">
      <c r="A32" s="9">
        <v>30</v>
      </c>
      <c r="B32" s="13">
        <v>10</v>
      </c>
      <c r="C32" s="13">
        <v>10</v>
      </c>
      <c r="D32" s="13">
        <f t="shared" si="0"/>
        <v>100</v>
      </c>
      <c r="E32" s="13">
        <v>10</v>
      </c>
      <c r="F32" s="11">
        <f t="shared" si="1"/>
        <v>100</v>
      </c>
      <c r="G32" s="13">
        <f t="shared" si="2"/>
        <v>100</v>
      </c>
      <c r="H32" s="13">
        <v>10</v>
      </c>
      <c r="I32" s="13">
        <v>8</v>
      </c>
      <c r="J32" s="13">
        <f t="shared" si="3"/>
        <v>80</v>
      </c>
      <c r="K32" s="18">
        <v>7</v>
      </c>
      <c r="L32" s="13">
        <f t="shared" si="4"/>
        <v>87.5</v>
      </c>
      <c r="M32" s="11">
        <f t="shared" si="5"/>
        <v>83.75</v>
      </c>
      <c r="N32" s="14">
        <v>18.91</v>
      </c>
      <c r="O32" s="25">
        <v>-81.356549999999999</v>
      </c>
      <c r="P32" s="18">
        <v>22.644841379999999</v>
      </c>
      <c r="Q32" s="18">
        <v>-70.193410777777771</v>
      </c>
      <c r="R32" s="9">
        <v>33.806589222222222</v>
      </c>
      <c r="S32" s="22">
        <v>2.2573333333333328E-4</v>
      </c>
      <c r="T32" s="9" t="s">
        <v>150</v>
      </c>
      <c r="U32" s="9" t="s">
        <v>150</v>
      </c>
      <c r="V32" s="9" t="s">
        <v>150</v>
      </c>
      <c r="W32" s="9" t="s">
        <v>150</v>
      </c>
      <c r="X32" s="9" t="s">
        <v>150</v>
      </c>
      <c r="Y32" s="9" t="s">
        <v>150</v>
      </c>
      <c r="Z32" s="9" t="s">
        <v>150</v>
      </c>
      <c r="AA32" s="9" t="s">
        <v>150</v>
      </c>
      <c r="AB32" s="9" t="s">
        <v>150</v>
      </c>
      <c r="AC32" s="18"/>
      <c r="AD32" s="12" t="s">
        <v>210</v>
      </c>
      <c r="AE32" s="9" t="s">
        <v>165</v>
      </c>
      <c r="AF32" s="9" t="s">
        <v>206</v>
      </c>
    </row>
    <row r="33" spans="1:32">
      <c r="B33" s="11"/>
      <c r="C33" s="11"/>
      <c r="D33" s="11"/>
      <c r="E33" s="11"/>
      <c r="F33" s="76">
        <f>AVERAGE(F4:F32)</f>
        <v>94.444444444444443</v>
      </c>
      <c r="G33" s="76">
        <f>AVERAGE(G4:G32)</f>
        <v>96.877394636015325</v>
      </c>
      <c r="L33" s="76">
        <f>AVERAGE(L4:L32)</f>
        <v>91.408045977011497</v>
      </c>
      <c r="M33" s="76">
        <f>AVERAGE(M4:M32)</f>
        <v>94.32471264367814</v>
      </c>
      <c r="O33" s="25"/>
      <c r="AC33" s="18"/>
      <c r="AD33" s="9" t="s">
        <v>211</v>
      </c>
      <c r="AE33" s="9" t="s">
        <v>165</v>
      </c>
      <c r="AF33" s="9" t="s">
        <v>200</v>
      </c>
    </row>
    <row r="34" spans="1:32">
      <c r="A34" s="11"/>
      <c r="X34" s="23"/>
      <c r="Y34" s="23"/>
      <c r="Z34" s="23"/>
      <c r="AA34" s="23"/>
      <c r="AC34" s="18"/>
      <c r="AD34" s="9" t="s">
        <v>212</v>
      </c>
      <c r="AE34" s="9" t="s">
        <v>165</v>
      </c>
      <c r="AF34" s="9" t="s">
        <v>175</v>
      </c>
    </row>
    <row r="35" spans="1:32">
      <c r="A35" s="11"/>
      <c r="G35" s="18"/>
      <c r="H35" s="18"/>
      <c r="K35" s="18"/>
      <c r="L35" s="18"/>
      <c r="M35" s="18"/>
      <c r="N35" s="18"/>
      <c r="X35" s="23"/>
      <c r="Y35" s="23"/>
      <c r="Z35" s="23"/>
      <c r="AA35" s="23"/>
      <c r="AC35" s="18"/>
      <c r="AD35" s="9" t="s">
        <v>213</v>
      </c>
      <c r="AE35" s="9" t="s">
        <v>165</v>
      </c>
      <c r="AF35" s="9" t="s">
        <v>197</v>
      </c>
    </row>
    <row r="36" spans="1:32">
      <c r="A36" s="11"/>
      <c r="G36" s="18"/>
      <c r="H36" s="18"/>
      <c r="K36" s="18"/>
      <c r="L36" s="18"/>
      <c r="M36" s="18"/>
      <c r="N36" s="18"/>
      <c r="O36" s="18"/>
      <c r="X36" s="23"/>
      <c r="Y36" s="23"/>
      <c r="Z36" s="23"/>
      <c r="AA36" s="23"/>
      <c r="AC36" s="18"/>
      <c r="AD36" s="9" t="s">
        <v>214</v>
      </c>
      <c r="AE36" s="9" t="s">
        <v>165</v>
      </c>
      <c r="AF36" s="9" t="s">
        <v>215</v>
      </c>
    </row>
    <row r="37" spans="1:32">
      <c r="A37" s="11"/>
      <c r="G37" s="18"/>
      <c r="H37" s="18"/>
      <c r="K37" s="18"/>
      <c r="L37" s="18"/>
      <c r="M37" s="18"/>
      <c r="N37" s="18"/>
      <c r="O37" s="18"/>
      <c r="X37" s="23"/>
      <c r="Y37" s="23"/>
      <c r="Z37" s="23"/>
      <c r="AA37" s="23"/>
      <c r="AC37" s="18"/>
      <c r="AD37" s="9" t="s">
        <v>216</v>
      </c>
      <c r="AE37" s="9" t="s">
        <v>165</v>
      </c>
      <c r="AF37" s="9" t="s">
        <v>200</v>
      </c>
    </row>
    <row r="38" spans="1:32">
      <c r="A38" s="11"/>
      <c r="G38" s="18"/>
      <c r="H38" s="18"/>
      <c r="K38" s="18"/>
      <c r="L38" s="18"/>
      <c r="M38" s="18"/>
      <c r="N38" s="18"/>
      <c r="O38" s="18"/>
      <c r="X38" s="23"/>
      <c r="Y38" s="23"/>
      <c r="Z38" s="23"/>
      <c r="AA38" s="23"/>
      <c r="AC38" s="18"/>
      <c r="AD38" s="9" t="s">
        <v>217</v>
      </c>
      <c r="AE38" s="9" t="s">
        <v>165</v>
      </c>
      <c r="AF38" s="9" t="s">
        <v>187</v>
      </c>
    </row>
    <row r="39" spans="1:32">
      <c r="A39" s="11"/>
      <c r="G39" s="18"/>
      <c r="H39" s="18"/>
      <c r="K39" s="18"/>
      <c r="L39" s="18"/>
      <c r="M39" s="18"/>
      <c r="N39" s="18"/>
      <c r="O39" s="18"/>
      <c r="X39" s="23"/>
      <c r="Y39" s="23"/>
      <c r="Z39" s="23"/>
      <c r="AA39" s="23"/>
      <c r="AC39" s="18"/>
      <c r="AD39" s="9" t="s">
        <v>218</v>
      </c>
      <c r="AE39" s="9" t="s">
        <v>165</v>
      </c>
      <c r="AF39" s="9" t="s">
        <v>219</v>
      </c>
    </row>
    <row r="40" spans="1:32">
      <c r="A40" s="11"/>
      <c r="G40" s="18"/>
      <c r="H40" s="18"/>
      <c r="K40" s="18"/>
      <c r="L40" s="18"/>
      <c r="M40" s="18"/>
      <c r="N40" s="18"/>
      <c r="O40" s="18"/>
      <c r="X40" s="23"/>
      <c r="Y40" s="23"/>
      <c r="Z40" s="23"/>
      <c r="AA40" s="23"/>
      <c r="AC40" s="18"/>
      <c r="AD40" s="9" t="s">
        <v>220</v>
      </c>
      <c r="AE40" s="9" t="s">
        <v>165</v>
      </c>
      <c r="AF40" s="9" t="s">
        <v>221</v>
      </c>
    </row>
    <row r="41" spans="1:32">
      <c r="A41" s="11"/>
      <c r="G41" s="18"/>
      <c r="H41" s="18"/>
      <c r="K41" s="18"/>
      <c r="L41" s="18"/>
      <c r="M41" s="18"/>
      <c r="N41" s="18"/>
      <c r="O41" s="18"/>
      <c r="X41" s="23"/>
      <c r="Y41" s="23"/>
      <c r="Z41" s="23"/>
      <c r="AA41" s="23"/>
      <c r="AC41" s="18"/>
      <c r="AD41" s="9" t="s">
        <v>222</v>
      </c>
      <c r="AE41" s="9" t="s">
        <v>165</v>
      </c>
      <c r="AF41" s="9" t="s">
        <v>183</v>
      </c>
    </row>
    <row r="42" spans="1:32">
      <c r="A42" s="11"/>
      <c r="G42" s="18"/>
      <c r="H42" s="18"/>
      <c r="K42" s="18"/>
      <c r="L42" s="18"/>
      <c r="M42" s="18"/>
      <c r="N42" s="18"/>
      <c r="O42" s="18"/>
      <c r="X42" s="23"/>
      <c r="Y42" s="23"/>
      <c r="Z42" s="23"/>
      <c r="AA42" s="23"/>
      <c r="AC42" s="18"/>
      <c r="AD42" s="9" t="s">
        <v>223</v>
      </c>
      <c r="AE42" s="9" t="s">
        <v>165</v>
      </c>
      <c r="AF42" s="9" t="s">
        <v>172</v>
      </c>
    </row>
    <row r="43" spans="1:32">
      <c r="A43" s="11"/>
      <c r="G43" s="18"/>
      <c r="H43" s="18"/>
      <c r="K43" s="18"/>
      <c r="L43" s="18"/>
      <c r="M43" s="18"/>
      <c r="N43" s="18"/>
      <c r="O43" s="18"/>
      <c r="X43" s="23"/>
      <c r="Y43" s="23"/>
      <c r="Z43" s="23"/>
      <c r="AA43" s="23"/>
      <c r="AC43" s="18"/>
      <c r="AD43" s="9" t="s">
        <v>224</v>
      </c>
      <c r="AE43" s="9" t="s">
        <v>165</v>
      </c>
      <c r="AF43" s="9" t="s">
        <v>177</v>
      </c>
    </row>
    <row r="44" spans="1:32">
      <c r="A44" s="11"/>
      <c r="G44" s="18"/>
      <c r="H44" s="18"/>
      <c r="K44" s="18"/>
      <c r="L44" s="18"/>
      <c r="M44" s="18"/>
      <c r="N44" s="18"/>
      <c r="O44" s="18"/>
      <c r="X44" s="23"/>
      <c r="Y44" s="23"/>
      <c r="Z44" s="23"/>
      <c r="AA44" s="23"/>
      <c r="AC44" s="18"/>
      <c r="AD44" s="9" t="s">
        <v>225</v>
      </c>
      <c r="AE44" s="9" t="s">
        <v>165</v>
      </c>
      <c r="AF44" s="9" t="s">
        <v>166</v>
      </c>
    </row>
    <row r="45" spans="1:32">
      <c r="A45" s="11"/>
      <c r="G45" s="18"/>
      <c r="H45" s="18"/>
      <c r="K45" s="18"/>
      <c r="L45" s="18"/>
      <c r="M45" s="18"/>
      <c r="N45" s="18"/>
      <c r="O45" s="18"/>
      <c r="X45" s="23"/>
      <c r="Y45" s="23"/>
      <c r="Z45" s="23"/>
      <c r="AA45" s="23"/>
      <c r="AC45" s="18"/>
      <c r="AD45" s="9" t="s">
        <v>226</v>
      </c>
      <c r="AE45" s="9" t="s">
        <v>165</v>
      </c>
      <c r="AF45" s="9" t="s">
        <v>215</v>
      </c>
    </row>
    <row r="46" spans="1:32">
      <c r="A46" s="11"/>
      <c r="G46" s="18"/>
      <c r="H46" s="18"/>
      <c r="K46" s="18"/>
      <c r="L46" s="18"/>
      <c r="M46" s="18"/>
      <c r="N46" s="18"/>
      <c r="O46" s="18"/>
      <c r="X46" s="23"/>
      <c r="Y46" s="23"/>
      <c r="Z46" s="23"/>
      <c r="AA46" s="23"/>
      <c r="AC46" s="18"/>
      <c r="AD46" s="9" t="s">
        <v>227</v>
      </c>
      <c r="AE46" s="9" t="s">
        <v>165</v>
      </c>
      <c r="AF46" s="9" t="s">
        <v>228</v>
      </c>
    </row>
    <row r="47" spans="1:32">
      <c r="A47" s="11"/>
      <c r="G47" s="18"/>
      <c r="H47" s="18"/>
      <c r="K47" s="18"/>
      <c r="L47" s="18"/>
      <c r="M47" s="18"/>
      <c r="N47" s="18"/>
      <c r="O47" s="18"/>
      <c r="X47" s="23"/>
      <c r="Y47" s="23"/>
      <c r="Z47" s="23"/>
      <c r="AA47" s="23"/>
      <c r="AC47" s="18"/>
      <c r="AD47" s="9" t="s">
        <v>229</v>
      </c>
      <c r="AE47" s="9" t="s">
        <v>165</v>
      </c>
      <c r="AF47" s="9" t="s">
        <v>221</v>
      </c>
    </row>
    <row r="48" spans="1:32">
      <c r="A48" s="11"/>
      <c r="G48" s="18"/>
      <c r="H48" s="18"/>
      <c r="K48" s="18"/>
      <c r="L48" s="18"/>
      <c r="M48" s="18"/>
      <c r="N48" s="18"/>
      <c r="O48" s="18"/>
      <c r="X48" s="23"/>
      <c r="Y48" s="23"/>
      <c r="Z48" s="23"/>
      <c r="AA48" s="23"/>
      <c r="AC48" s="18"/>
      <c r="AD48" s="9" t="s">
        <v>230</v>
      </c>
      <c r="AE48" s="9" t="s">
        <v>165</v>
      </c>
      <c r="AF48" s="9" t="s">
        <v>219</v>
      </c>
    </row>
    <row r="49" spans="1:32">
      <c r="A49" s="11"/>
      <c r="B49" s="24" t="s">
        <v>507</v>
      </c>
      <c r="G49" s="24" t="s">
        <v>508</v>
      </c>
      <c r="H49" s="18"/>
      <c r="K49" s="18"/>
      <c r="L49" s="24" t="s">
        <v>509</v>
      </c>
      <c r="M49" s="18"/>
      <c r="N49" s="18"/>
      <c r="O49" s="18"/>
      <c r="Q49" s="24" t="s">
        <v>510</v>
      </c>
      <c r="X49" s="23"/>
      <c r="Y49" s="23"/>
      <c r="Z49" s="23"/>
      <c r="AA49" s="23"/>
      <c r="AC49" s="18"/>
      <c r="AD49" s="9" t="s">
        <v>231</v>
      </c>
      <c r="AE49" s="9" t="s">
        <v>165</v>
      </c>
      <c r="AF49" s="9" t="s">
        <v>183</v>
      </c>
    </row>
    <row r="50" spans="1:32">
      <c r="A50" s="11"/>
      <c r="G50" s="18"/>
      <c r="H50" s="18"/>
      <c r="K50" s="18"/>
      <c r="L50" s="18"/>
      <c r="M50" s="18"/>
      <c r="N50" s="18"/>
      <c r="O50" s="18"/>
      <c r="X50" s="23"/>
      <c r="Y50" s="23"/>
      <c r="Z50" s="23"/>
      <c r="AA50" s="23"/>
      <c r="AC50" s="18"/>
      <c r="AD50" s="9" t="s">
        <v>232</v>
      </c>
      <c r="AE50" s="9" t="s">
        <v>165</v>
      </c>
      <c r="AF50" s="9" t="s">
        <v>185</v>
      </c>
    </row>
    <row r="51" spans="1:32">
      <c r="A51" s="11"/>
      <c r="G51" s="18"/>
      <c r="H51" s="18"/>
      <c r="K51" s="18"/>
      <c r="L51" s="18"/>
      <c r="M51" s="18"/>
      <c r="N51" s="18"/>
      <c r="O51" s="18"/>
      <c r="X51" s="23"/>
      <c r="Y51" s="23"/>
      <c r="Z51" s="23"/>
      <c r="AA51" s="23"/>
      <c r="AC51" s="18"/>
      <c r="AD51" s="9" t="s">
        <v>233</v>
      </c>
      <c r="AE51" s="9" t="s">
        <v>165</v>
      </c>
      <c r="AF51" s="9" t="s">
        <v>183</v>
      </c>
    </row>
    <row r="52" spans="1:32">
      <c r="G52" s="18"/>
      <c r="H52" s="18"/>
      <c r="K52" s="18"/>
      <c r="L52" s="18"/>
      <c r="M52" s="18"/>
      <c r="N52" s="18"/>
      <c r="O52" s="18"/>
      <c r="X52" s="23"/>
      <c r="Y52" s="23"/>
      <c r="Z52" s="23"/>
      <c r="AA52" s="23"/>
      <c r="AC52" s="18"/>
      <c r="AD52" s="9" t="s">
        <v>234</v>
      </c>
      <c r="AE52" s="9" t="s">
        <v>165</v>
      </c>
      <c r="AF52" s="9" t="s">
        <v>219</v>
      </c>
    </row>
    <row r="53" spans="1:32">
      <c r="G53" s="18"/>
      <c r="H53" s="18"/>
      <c r="K53" s="18"/>
      <c r="L53" s="18"/>
      <c r="M53" s="18"/>
      <c r="N53" s="18"/>
      <c r="O53" s="18"/>
      <c r="X53" s="23"/>
      <c r="Y53" s="23"/>
      <c r="Z53" s="23"/>
      <c r="AA53" s="23"/>
      <c r="AC53" s="18"/>
      <c r="AD53" s="9" t="s">
        <v>235</v>
      </c>
      <c r="AE53" s="9" t="s">
        <v>165</v>
      </c>
      <c r="AF53" s="9" t="s">
        <v>215</v>
      </c>
    </row>
    <row r="54" spans="1:32">
      <c r="G54" s="18"/>
      <c r="H54" s="18"/>
      <c r="K54" s="18"/>
      <c r="L54" s="18"/>
      <c r="M54" s="18"/>
      <c r="N54" s="18"/>
      <c r="O54" s="18"/>
      <c r="X54" s="23"/>
      <c r="Y54" s="23"/>
      <c r="Z54" s="23"/>
      <c r="AA54" s="23"/>
      <c r="AC54" s="18"/>
      <c r="AD54" s="9" t="s">
        <v>236</v>
      </c>
      <c r="AE54" s="9" t="s">
        <v>165</v>
      </c>
      <c r="AF54" s="9" t="s">
        <v>183</v>
      </c>
    </row>
    <row r="55" spans="1:32">
      <c r="G55" s="18"/>
      <c r="H55" s="18"/>
      <c r="K55" s="18"/>
      <c r="L55" s="18"/>
      <c r="M55" s="18"/>
      <c r="N55" s="18"/>
      <c r="O55" s="18"/>
      <c r="X55" s="23"/>
      <c r="Y55" s="23"/>
      <c r="Z55" s="23"/>
      <c r="AA55" s="23"/>
      <c r="AC55" s="18"/>
      <c r="AD55" s="9" t="s">
        <v>237</v>
      </c>
      <c r="AE55" s="9" t="s">
        <v>165</v>
      </c>
      <c r="AF55" s="9" t="s">
        <v>183</v>
      </c>
    </row>
    <row r="56" spans="1:32">
      <c r="G56" s="18"/>
      <c r="H56" s="18"/>
      <c r="K56" s="18"/>
      <c r="L56" s="18"/>
      <c r="M56" s="18"/>
      <c r="N56" s="18"/>
      <c r="O56" s="18"/>
      <c r="X56" s="23"/>
      <c r="Y56" s="23"/>
      <c r="Z56" s="23"/>
      <c r="AA56" s="23"/>
      <c r="AC56" s="18"/>
      <c r="AD56" s="9" t="s">
        <v>238</v>
      </c>
      <c r="AE56" s="9" t="s">
        <v>165</v>
      </c>
      <c r="AF56" s="9" t="s">
        <v>175</v>
      </c>
    </row>
    <row r="57" spans="1:32">
      <c r="G57" s="18"/>
      <c r="H57" s="18"/>
      <c r="K57" s="18"/>
      <c r="L57" s="18"/>
      <c r="M57" s="18"/>
      <c r="N57" s="18"/>
      <c r="O57" s="18"/>
      <c r="X57" s="23"/>
      <c r="Y57" s="23"/>
      <c r="Z57" s="23"/>
      <c r="AA57" s="23"/>
      <c r="AC57" s="18"/>
      <c r="AD57" s="9" t="s">
        <v>239</v>
      </c>
      <c r="AE57" s="9" t="s">
        <v>165</v>
      </c>
      <c r="AF57" s="9" t="s">
        <v>190</v>
      </c>
    </row>
    <row r="58" spans="1:32">
      <c r="G58" s="18"/>
      <c r="H58" s="18"/>
      <c r="K58" s="18"/>
      <c r="L58" s="18"/>
      <c r="M58" s="18"/>
      <c r="N58" s="18"/>
      <c r="O58" s="18"/>
      <c r="X58" s="23"/>
      <c r="Y58" s="23"/>
      <c r="Z58" s="23"/>
      <c r="AA58" s="23"/>
      <c r="AC58" s="18"/>
      <c r="AD58" s="9" t="s">
        <v>240</v>
      </c>
      <c r="AE58" s="9" t="s">
        <v>165</v>
      </c>
      <c r="AF58" s="9" t="s">
        <v>172</v>
      </c>
    </row>
    <row r="59" spans="1:32">
      <c r="G59" s="18"/>
      <c r="H59" s="18"/>
      <c r="K59" s="18"/>
      <c r="L59" s="18"/>
      <c r="M59" s="18"/>
      <c r="N59" s="18"/>
      <c r="O59" s="18"/>
      <c r="X59" s="23"/>
      <c r="Y59" s="23"/>
      <c r="Z59" s="23"/>
      <c r="AA59" s="23"/>
      <c r="AC59" s="18"/>
      <c r="AD59" s="9" t="s">
        <v>241</v>
      </c>
      <c r="AE59" s="9" t="s">
        <v>165</v>
      </c>
      <c r="AF59" s="9" t="s">
        <v>168</v>
      </c>
    </row>
    <row r="60" spans="1:32">
      <c r="G60" s="18"/>
      <c r="H60" s="18"/>
      <c r="K60" s="18"/>
      <c r="L60" s="18"/>
      <c r="M60" s="18"/>
      <c r="N60" s="18"/>
      <c r="O60" s="18"/>
      <c r="X60" s="23"/>
      <c r="Y60" s="23"/>
      <c r="Z60" s="23"/>
      <c r="AA60" s="23"/>
      <c r="AC60" s="18"/>
      <c r="AD60" s="9" t="s">
        <v>242</v>
      </c>
      <c r="AE60" s="9" t="s">
        <v>165</v>
      </c>
      <c r="AF60" s="9" t="s">
        <v>190</v>
      </c>
    </row>
    <row r="61" spans="1:32">
      <c r="G61" s="18"/>
      <c r="H61" s="18"/>
      <c r="K61" s="18"/>
      <c r="L61" s="18"/>
      <c r="M61" s="18"/>
      <c r="N61" s="18"/>
      <c r="O61" s="18"/>
      <c r="X61" s="23"/>
      <c r="Y61" s="23"/>
      <c r="Z61" s="23"/>
      <c r="AA61" s="23"/>
      <c r="AC61" s="18"/>
      <c r="AD61" s="9" t="s">
        <v>243</v>
      </c>
      <c r="AE61" s="9" t="s">
        <v>165</v>
      </c>
      <c r="AF61" s="9" t="s">
        <v>206</v>
      </c>
    </row>
    <row r="62" spans="1:32">
      <c r="G62" s="18"/>
      <c r="H62" s="18"/>
      <c r="K62" s="18"/>
      <c r="L62" s="18"/>
      <c r="M62" s="18"/>
      <c r="N62" s="18"/>
      <c r="O62" s="18"/>
      <c r="X62" s="23"/>
      <c r="Y62" s="23"/>
      <c r="Z62" s="23"/>
      <c r="AA62" s="23"/>
      <c r="AC62" s="18"/>
      <c r="AD62" s="9" t="s">
        <v>244</v>
      </c>
      <c r="AE62" s="9" t="s">
        <v>165</v>
      </c>
      <c r="AF62" s="9" t="s">
        <v>221</v>
      </c>
    </row>
    <row r="63" spans="1:32">
      <c r="G63" s="18"/>
      <c r="H63" s="18"/>
      <c r="K63" s="18"/>
      <c r="L63" s="18"/>
      <c r="M63" s="18"/>
      <c r="N63" s="18"/>
      <c r="O63" s="18"/>
      <c r="X63" s="23"/>
      <c r="Y63" s="23"/>
      <c r="Z63" s="23"/>
      <c r="AA63" s="23"/>
      <c r="AC63" s="18"/>
      <c r="AD63" s="9" t="s">
        <v>245</v>
      </c>
      <c r="AE63" s="9" t="s">
        <v>165</v>
      </c>
      <c r="AF63" s="9" t="s">
        <v>206</v>
      </c>
    </row>
    <row r="64" spans="1:32">
      <c r="G64" s="18"/>
      <c r="H64" s="18"/>
      <c r="K64" s="18"/>
      <c r="L64" s="18"/>
      <c r="M64" s="18"/>
      <c r="N64" s="18"/>
      <c r="O64" s="18"/>
      <c r="X64" s="23"/>
      <c r="Y64" s="23"/>
      <c r="Z64" s="23"/>
      <c r="AA64" s="23"/>
      <c r="AC64" s="18"/>
      <c r="AD64" s="9" t="s">
        <v>246</v>
      </c>
      <c r="AE64" s="9" t="s">
        <v>165</v>
      </c>
      <c r="AF64" s="9" t="s">
        <v>215</v>
      </c>
    </row>
    <row r="65" spans="2:32">
      <c r="X65" s="23"/>
      <c r="Y65" s="23"/>
      <c r="Z65" s="23"/>
      <c r="AA65" s="23"/>
      <c r="AC65" s="18"/>
      <c r="AD65" s="9" t="s">
        <v>247</v>
      </c>
      <c r="AE65" s="9" t="s">
        <v>165</v>
      </c>
      <c r="AF65" s="9" t="s">
        <v>209</v>
      </c>
    </row>
    <row r="66" spans="2:32">
      <c r="X66" s="23"/>
      <c r="Y66" s="23"/>
      <c r="Z66" s="23"/>
      <c r="AA66" s="23"/>
      <c r="AC66" s="18"/>
      <c r="AD66" s="9" t="s">
        <v>248</v>
      </c>
      <c r="AE66" s="9" t="s">
        <v>165</v>
      </c>
      <c r="AF66" s="9" t="s">
        <v>249</v>
      </c>
    </row>
    <row r="67" spans="2:32">
      <c r="B67" s="24" t="s">
        <v>511</v>
      </c>
      <c r="G67" s="24" t="s">
        <v>512</v>
      </c>
      <c r="L67" s="24" t="s">
        <v>513</v>
      </c>
      <c r="Q67" s="24" t="s">
        <v>514</v>
      </c>
      <c r="X67" s="23"/>
      <c r="Y67" s="23"/>
      <c r="Z67" s="23"/>
      <c r="AA67" s="23"/>
      <c r="AC67" s="18"/>
      <c r="AD67" s="9" t="s">
        <v>250</v>
      </c>
      <c r="AE67" s="9" t="s">
        <v>165</v>
      </c>
      <c r="AF67" s="9" t="s">
        <v>172</v>
      </c>
    </row>
    <row r="68" spans="2:32">
      <c r="AC68" s="18"/>
      <c r="AD68" s="9" t="s">
        <v>251</v>
      </c>
      <c r="AE68" s="9" t="s">
        <v>165</v>
      </c>
      <c r="AF68" s="9" t="s">
        <v>200</v>
      </c>
    </row>
    <row r="69" spans="2:32">
      <c r="AC69" s="18"/>
      <c r="AD69" s="9" t="s">
        <v>252</v>
      </c>
      <c r="AE69" s="9" t="s">
        <v>165</v>
      </c>
      <c r="AF69" s="9" t="s">
        <v>168</v>
      </c>
    </row>
    <row r="70" spans="2:32">
      <c r="AC70" s="18"/>
      <c r="AD70" s="9" t="s">
        <v>253</v>
      </c>
      <c r="AE70" s="9" t="s">
        <v>165</v>
      </c>
      <c r="AF70" s="9" t="s">
        <v>170</v>
      </c>
    </row>
    <row r="71" spans="2:32">
      <c r="AC71" s="18"/>
      <c r="AD71" s="9" t="s">
        <v>254</v>
      </c>
      <c r="AE71" s="9" t="s">
        <v>165</v>
      </c>
      <c r="AF71" s="9" t="s">
        <v>200</v>
      </c>
    </row>
    <row r="72" spans="2:32">
      <c r="AC72" s="18"/>
      <c r="AD72" s="9" t="s">
        <v>255</v>
      </c>
      <c r="AE72" s="9" t="s">
        <v>165</v>
      </c>
      <c r="AF72" s="9" t="s">
        <v>256</v>
      </c>
    </row>
    <row r="73" spans="2:32">
      <c r="AC73" s="18"/>
      <c r="AD73" s="9" t="s">
        <v>257</v>
      </c>
      <c r="AE73" s="9" t="s">
        <v>165</v>
      </c>
      <c r="AF73" s="9" t="s">
        <v>183</v>
      </c>
    </row>
    <row r="74" spans="2:32">
      <c r="AC74" s="18"/>
      <c r="AD74" s="9" t="s">
        <v>258</v>
      </c>
      <c r="AE74" s="9" t="s">
        <v>165</v>
      </c>
      <c r="AF74" s="9" t="s">
        <v>172</v>
      </c>
    </row>
    <row r="75" spans="2:32">
      <c r="AC75" s="18"/>
      <c r="AD75" s="9" t="s">
        <v>259</v>
      </c>
      <c r="AE75" s="9" t="s">
        <v>165</v>
      </c>
      <c r="AF75" s="9" t="s">
        <v>175</v>
      </c>
    </row>
    <row r="76" spans="2:32">
      <c r="AC76" s="18"/>
      <c r="AD76" s="9" t="s">
        <v>260</v>
      </c>
      <c r="AE76" s="9" t="s">
        <v>165</v>
      </c>
      <c r="AF76" s="9" t="s">
        <v>221</v>
      </c>
    </row>
    <row r="77" spans="2:32">
      <c r="AC77" s="18"/>
      <c r="AD77" s="9" t="s">
        <v>261</v>
      </c>
      <c r="AE77" s="9" t="s">
        <v>165</v>
      </c>
      <c r="AF77" s="9" t="s">
        <v>170</v>
      </c>
    </row>
    <row r="78" spans="2:32">
      <c r="AC78" s="18"/>
      <c r="AD78" s="9" t="s">
        <v>262</v>
      </c>
      <c r="AE78" s="9" t="s">
        <v>165</v>
      </c>
      <c r="AF78" s="9" t="s">
        <v>209</v>
      </c>
    </row>
    <row r="79" spans="2:32">
      <c r="AC79" s="18"/>
      <c r="AD79" s="9" t="s">
        <v>263</v>
      </c>
      <c r="AE79" s="9" t="s">
        <v>165</v>
      </c>
      <c r="AF79" s="9" t="s">
        <v>200</v>
      </c>
    </row>
    <row r="80" spans="2:32">
      <c r="AC80" s="18"/>
      <c r="AD80" s="9" t="s">
        <v>264</v>
      </c>
      <c r="AE80" s="9" t="s">
        <v>165</v>
      </c>
      <c r="AF80" s="9" t="s">
        <v>256</v>
      </c>
    </row>
    <row r="81" spans="29:32">
      <c r="AC81" s="18"/>
      <c r="AD81" s="9" t="s">
        <v>265</v>
      </c>
      <c r="AE81" s="9" t="s">
        <v>165</v>
      </c>
      <c r="AF81" s="9" t="s">
        <v>172</v>
      </c>
    </row>
    <row r="82" spans="29:32">
      <c r="AC82" s="18"/>
      <c r="AD82" s="9" t="s">
        <v>266</v>
      </c>
      <c r="AE82" s="9" t="s">
        <v>165</v>
      </c>
      <c r="AF82" s="9" t="s">
        <v>177</v>
      </c>
    </row>
    <row r="83" spans="29:32">
      <c r="AC83" s="18"/>
      <c r="AD83" s="9" t="s">
        <v>267</v>
      </c>
      <c r="AE83" s="9" t="s">
        <v>165</v>
      </c>
      <c r="AF83" s="9" t="s">
        <v>166</v>
      </c>
    </row>
    <row r="84" spans="29:32">
      <c r="AC84" s="18"/>
      <c r="AD84" s="9" t="s">
        <v>268</v>
      </c>
      <c r="AE84" s="9" t="s">
        <v>165</v>
      </c>
      <c r="AF84" s="9" t="s">
        <v>206</v>
      </c>
    </row>
    <row r="85" spans="29:32">
      <c r="AC85" s="18"/>
      <c r="AD85" s="9" t="s">
        <v>269</v>
      </c>
      <c r="AE85" s="9" t="s">
        <v>165</v>
      </c>
      <c r="AF85" s="9" t="s">
        <v>256</v>
      </c>
    </row>
    <row r="86" spans="29:32">
      <c r="AC86" s="18"/>
      <c r="AD86" s="9" t="s">
        <v>270</v>
      </c>
      <c r="AE86" s="9" t="s">
        <v>165</v>
      </c>
      <c r="AF86" s="9" t="s">
        <v>271</v>
      </c>
    </row>
    <row r="87" spans="29:32">
      <c r="AC87" s="18"/>
      <c r="AD87" s="9" t="s">
        <v>272</v>
      </c>
      <c r="AE87" s="9" t="s">
        <v>165</v>
      </c>
      <c r="AF87" s="9" t="s">
        <v>215</v>
      </c>
    </row>
    <row r="88" spans="29:32">
      <c r="AC88" s="18"/>
      <c r="AD88" s="9" t="s">
        <v>273</v>
      </c>
      <c r="AE88" s="9" t="s">
        <v>165</v>
      </c>
      <c r="AF88" s="9" t="s">
        <v>221</v>
      </c>
    </row>
    <row r="89" spans="29:32">
      <c r="AC89" s="18"/>
      <c r="AD89" s="85" t="s">
        <v>487</v>
      </c>
      <c r="AE89" s="85"/>
      <c r="AF89" s="85"/>
    </row>
    <row r="90" spans="29:32">
      <c r="AC90" s="18"/>
      <c r="AD90" s="9" t="s">
        <v>274</v>
      </c>
      <c r="AE90" s="9" t="s">
        <v>165</v>
      </c>
      <c r="AF90" s="9" t="s">
        <v>172</v>
      </c>
    </row>
    <row r="91" spans="29:32">
      <c r="AC91" s="18"/>
      <c r="AD91" s="85" t="s">
        <v>491</v>
      </c>
      <c r="AE91" s="85"/>
      <c r="AF91" s="85"/>
    </row>
    <row r="92" spans="29:32">
      <c r="AC92" s="18"/>
      <c r="AD92" s="9" t="s">
        <v>275</v>
      </c>
      <c r="AE92" s="9" t="s">
        <v>165</v>
      </c>
      <c r="AF92" s="9" t="s">
        <v>187</v>
      </c>
    </row>
    <row r="93" spans="29:32">
      <c r="AC93" s="18"/>
      <c r="AD93" s="9" t="s">
        <v>276</v>
      </c>
      <c r="AE93" s="9" t="s">
        <v>165</v>
      </c>
      <c r="AF93" s="9" t="s">
        <v>256</v>
      </c>
    </row>
    <row r="94" spans="29:32">
      <c r="AC94" s="18"/>
      <c r="AD94" s="9" t="s">
        <v>277</v>
      </c>
      <c r="AE94" s="9" t="s">
        <v>165</v>
      </c>
      <c r="AF94" s="9" t="s">
        <v>187</v>
      </c>
    </row>
    <row r="95" spans="29:32">
      <c r="AC95" s="18"/>
      <c r="AD95" s="9" t="s">
        <v>278</v>
      </c>
      <c r="AE95" s="9" t="s">
        <v>165</v>
      </c>
      <c r="AF95" s="9" t="s">
        <v>166</v>
      </c>
    </row>
    <row r="96" spans="29:32">
      <c r="AC96" s="18"/>
      <c r="AD96" s="9" t="s">
        <v>279</v>
      </c>
      <c r="AE96" s="9" t="s">
        <v>165</v>
      </c>
      <c r="AF96" s="9" t="s">
        <v>183</v>
      </c>
    </row>
    <row r="97" spans="29:32">
      <c r="AC97" s="18"/>
      <c r="AD97" s="9" t="s">
        <v>280</v>
      </c>
      <c r="AE97" s="9" t="s">
        <v>165</v>
      </c>
      <c r="AF97" s="9" t="s">
        <v>177</v>
      </c>
    </row>
    <row r="98" spans="29:32">
      <c r="AC98" s="18"/>
      <c r="AD98" s="9" t="s">
        <v>281</v>
      </c>
      <c r="AE98" s="9" t="s">
        <v>165</v>
      </c>
      <c r="AF98" s="9" t="s">
        <v>228</v>
      </c>
    </row>
    <row r="99" spans="29:32">
      <c r="AC99" s="18"/>
      <c r="AD99" s="9" t="s">
        <v>282</v>
      </c>
      <c r="AE99" s="9" t="s">
        <v>165</v>
      </c>
      <c r="AF99" s="9" t="s">
        <v>271</v>
      </c>
    </row>
    <row r="100" spans="29:32">
      <c r="AC100" s="18"/>
      <c r="AD100" s="9" t="s">
        <v>283</v>
      </c>
      <c r="AE100" s="9" t="s">
        <v>165</v>
      </c>
      <c r="AF100" s="9" t="s">
        <v>215</v>
      </c>
    </row>
    <row r="101" spans="29:32">
      <c r="AC101" s="18"/>
      <c r="AD101" s="9" t="s">
        <v>284</v>
      </c>
      <c r="AE101" s="9" t="s">
        <v>165</v>
      </c>
      <c r="AF101" s="9" t="s">
        <v>183</v>
      </c>
    </row>
    <row r="102" spans="29:32">
      <c r="AC102" s="18"/>
      <c r="AD102" s="9" t="s">
        <v>285</v>
      </c>
      <c r="AE102" s="9" t="s">
        <v>165</v>
      </c>
      <c r="AF102" s="9" t="s">
        <v>209</v>
      </c>
    </row>
    <row r="103" spans="29:32">
      <c r="AC103" s="18"/>
      <c r="AD103" s="9" t="s">
        <v>286</v>
      </c>
      <c r="AE103" s="9" t="s">
        <v>165</v>
      </c>
      <c r="AF103" s="9" t="s">
        <v>197</v>
      </c>
    </row>
    <row r="104" spans="29:32">
      <c r="AC104" s="18"/>
      <c r="AD104" s="9" t="s">
        <v>287</v>
      </c>
      <c r="AE104" s="9" t="s">
        <v>165</v>
      </c>
      <c r="AF104" s="9" t="s">
        <v>197</v>
      </c>
    </row>
    <row r="105" spans="29:32">
      <c r="AC105" s="18"/>
      <c r="AD105" s="85" t="s">
        <v>490</v>
      </c>
      <c r="AE105" s="85"/>
      <c r="AF105" s="85"/>
    </row>
    <row r="106" spans="29:32">
      <c r="AC106" s="18"/>
      <c r="AD106" s="9" t="s">
        <v>288</v>
      </c>
      <c r="AE106" s="9" t="s">
        <v>165</v>
      </c>
      <c r="AF106" s="9" t="s">
        <v>183</v>
      </c>
    </row>
    <row r="107" spans="29:32">
      <c r="AC107" s="18"/>
      <c r="AD107" s="9" t="s">
        <v>289</v>
      </c>
      <c r="AE107" s="9" t="s">
        <v>165</v>
      </c>
      <c r="AF107" s="9" t="s">
        <v>249</v>
      </c>
    </row>
    <row r="108" spans="29:32">
      <c r="AC108" s="18"/>
      <c r="AD108" s="9" t="s">
        <v>290</v>
      </c>
      <c r="AE108" s="9" t="s">
        <v>165</v>
      </c>
      <c r="AF108" s="9" t="s">
        <v>175</v>
      </c>
    </row>
    <row r="109" spans="29:32">
      <c r="AC109" s="18"/>
      <c r="AD109" s="9" t="s">
        <v>291</v>
      </c>
      <c r="AE109" s="9" t="s">
        <v>165</v>
      </c>
      <c r="AF109" s="9" t="s">
        <v>249</v>
      </c>
    </row>
    <row r="110" spans="29:32">
      <c r="AC110" s="18"/>
      <c r="AD110" s="9" t="s">
        <v>292</v>
      </c>
      <c r="AE110" s="9" t="s">
        <v>165</v>
      </c>
      <c r="AF110" s="9" t="s">
        <v>183</v>
      </c>
    </row>
    <row r="111" spans="29:32">
      <c r="AC111" s="18"/>
      <c r="AD111" s="9" t="s">
        <v>293</v>
      </c>
      <c r="AE111" s="9" t="s">
        <v>165</v>
      </c>
      <c r="AF111" s="9" t="s">
        <v>209</v>
      </c>
    </row>
    <row r="112" spans="29:32">
      <c r="AC112" s="18"/>
      <c r="AD112" s="9" t="s">
        <v>294</v>
      </c>
      <c r="AE112" s="9" t="s">
        <v>165</v>
      </c>
      <c r="AF112" s="9" t="s">
        <v>249</v>
      </c>
    </row>
    <row r="113" spans="29:32">
      <c r="AC113" s="18"/>
      <c r="AD113" s="9" t="s">
        <v>295</v>
      </c>
      <c r="AE113" s="9" t="s">
        <v>165</v>
      </c>
      <c r="AF113" s="9" t="s">
        <v>190</v>
      </c>
    </row>
    <row r="114" spans="29:32">
      <c r="AC114" s="18"/>
      <c r="AD114" s="9" t="s">
        <v>296</v>
      </c>
      <c r="AE114" s="9" t="s">
        <v>165</v>
      </c>
      <c r="AF114" s="9" t="s">
        <v>187</v>
      </c>
    </row>
    <row r="115" spans="29:32">
      <c r="AC115" s="18"/>
      <c r="AD115" s="9" t="s">
        <v>297</v>
      </c>
      <c r="AE115" s="9" t="s">
        <v>165</v>
      </c>
      <c r="AF115" s="9" t="s">
        <v>249</v>
      </c>
    </row>
    <row r="116" spans="29:32">
      <c r="AC116" s="18"/>
      <c r="AD116" s="9" t="s">
        <v>298</v>
      </c>
      <c r="AE116" s="9" t="s">
        <v>165</v>
      </c>
      <c r="AF116" s="9" t="s">
        <v>190</v>
      </c>
    </row>
    <row r="117" spans="29:32">
      <c r="AC117" s="18"/>
      <c r="AD117" s="9" t="s">
        <v>299</v>
      </c>
      <c r="AE117" s="9" t="s">
        <v>165</v>
      </c>
      <c r="AF117" s="9" t="s">
        <v>206</v>
      </c>
    </row>
    <row r="118" spans="29:32">
      <c r="AC118" s="18"/>
      <c r="AD118" s="9" t="s">
        <v>300</v>
      </c>
      <c r="AE118" s="9" t="s">
        <v>165</v>
      </c>
      <c r="AF118" s="9" t="s">
        <v>221</v>
      </c>
    </row>
    <row r="119" spans="29:32">
      <c r="AC119" s="18"/>
      <c r="AD119" s="9" t="s">
        <v>301</v>
      </c>
      <c r="AE119" s="9" t="s">
        <v>165</v>
      </c>
      <c r="AF119" s="9" t="s">
        <v>215</v>
      </c>
    </row>
    <row r="120" spans="29:32">
      <c r="AC120" s="18"/>
      <c r="AD120" s="9" t="s">
        <v>302</v>
      </c>
      <c r="AE120" s="9" t="s">
        <v>165</v>
      </c>
      <c r="AF120" s="9" t="s">
        <v>215</v>
      </c>
    </row>
    <row r="121" spans="29:32">
      <c r="AC121" s="18"/>
      <c r="AD121" s="9" t="s">
        <v>303</v>
      </c>
      <c r="AE121" s="9" t="s">
        <v>165</v>
      </c>
      <c r="AF121" s="9" t="s">
        <v>206</v>
      </c>
    </row>
    <row r="122" spans="29:32">
      <c r="AC122" s="18"/>
      <c r="AD122" s="9" t="s">
        <v>304</v>
      </c>
      <c r="AE122" s="9" t="s">
        <v>165</v>
      </c>
      <c r="AF122" s="9" t="s">
        <v>206</v>
      </c>
    </row>
    <row r="123" spans="29:32">
      <c r="AC123" s="18"/>
      <c r="AD123" s="9" t="s">
        <v>305</v>
      </c>
      <c r="AE123" s="9" t="s">
        <v>165</v>
      </c>
      <c r="AF123" s="9" t="s">
        <v>183</v>
      </c>
    </row>
    <row r="124" spans="29:32">
      <c r="AC124" s="18"/>
      <c r="AD124" s="9" t="s">
        <v>306</v>
      </c>
      <c r="AE124" s="9" t="s">
        <v>165</v>
      </c>
      <c r="AF124" s="9" t="s">
        <v>206</v>
      </c>
    </row>
    <row r="125" spans="29:32">
      <c r="AC125" s="18"/>
      <c r="AD125" s="9" t="s">
        <v>307</v>
      </c>
      <c r="AE125" s="9" t="s">
        <v>165</v>
      </c>
      <c r="AF125" s="9" t="s">
        <v>228</v>
      </c>
    </row>
    <row r="126" spans="29:32">
      <c r="AC126" s="18"/>
      <c r="AD126" s="9" t="s">
        <v>308</v>
      </c>
      <c r="AE126" s="9" t="s">
        <v>165</v>
      </c>
      <c r="AF126" s="9" t="s">
        <v>172</v>
      </c>
    </row>
    <row r="127" spans="29:32">
      <c r="AC127" s="18"/>
      <c r="AD127" s="9" t="s">
        <v>309</v>
      </c>
      <c r="AE127" s="9" t="s">
        <v>165</v>
      </c>
      <c r="AF127" s="9" t="s">
        <v>190</v>
      </c>
    </row>
    <row r="128" spans="29:32">
      <c r="AC128" s="18"/>
      <c r="AD128" s="9" t="s">
        <v>310</v>
      </c>
      <c r="AE128" s="9" t="s">
        <v>165</v>
      </c>
      <c r="AF128" s="9" t="s">
        <v>185</v>
      </c>
    </row>
    <row r="129" spans="29:32">
      <c r="AC129" s="18"/>
      <c r="AD129" s="9" t="s">
        <v>311</v>
      </c>
      <c r="AE129" s="9" t="s">
        <v>165</v>
      </c>
      <c r="AF129" s="9" t="s">
        <v>177</v>
      </c>
    </row>
    <row r="130" spans="29:32">
      <c r="AC130" s="18"/>
      <c r="AD130" s="9" t="s">
        <v>312</v>
      </c>
      <c r="AE130" s="9" t="s">
        <v>165</v>
      </c>
      <c r="AF130" s="9" t="s">
        <v>249</v>
      </c>
    </row>
    <row r="131" spans="29:32">
      <c r="AC131" s="18"/>
      <c r="AD131" s="9" t="s">
        <v>313</v>
      </c>
      <c r="AE131" s="9" t="s">
        <v>165</v>
      </c>
      <c r="AF131" s="9" t="s">
        <v>170</v>
      </c>
    </row>
    <row r="132" spans="29:32">
      <c r="AC132" s="18"/>
      <c r="AD132" s="9" t="s">
        <v>314</v>
      </c>
      <c r="AE132" s="9" t="s">
        <v>165</v>
      </c>
      <c r="AF132" s="9" t="s">
        <v>170</v>
      </c>
    </row>
    <row r="133" spans="29:32">
      <c r="AC133" s="18"/>
      <c r="AD133" s="9" t="s">
        <v>315</v>
      </c>
      <c r="AE133" s="9" t="s">
        <v>165</v>
      </c>
      <c r="AF133" s="9" t="s">
        <v>190</v>
      </c>
    </row>
    <row r="134" spans="29:32">
      <c r="AC134" s="18"/>
      <c r="AD134" s="9" t="s">
        <v>316</v>
      </c>
      <c r="AE134" s="9" t="s">
        <v>165</v>
      </c>
      <c r="AF134" s="9" t="s">
        <v>197</v>
      </c>
    </row>
    <row r="135" spans="29:32">
      <c r="AC135" s="18"/>
      <c r="AD135" s="9" t="s">
        <v>317</v>
      </c>
      <c r="AE135" s="9" t="s">
        <v>165</v>
      </c>
      <c r="AF135" s="9" t="s">
        <v>181</v>
      </c>
    </row>
    <row r="136" spans="29:32">
      <c r="AC136" s="18"/>
      <c r="AD136" s="9" t="s">
        <v>318</v>
      </c>
      <c r="AE136" s="9" t="s">
        <v>165</v>
      </c>
      <c r="AF136" s="9" t="s">
        <v>209</v>
      </c>
    </row>
    <row r="137" spans="29:32">
      <c r="AC137" s="18"/>
      <c r="AD137" s="9" t="s">
        <v>319</v>
      </c>
      <c r="AE137" s="9" t="s">
        <v>165</v>
      </c>
      <c r="AF137" s="9" t="s">
        <v>215</v>
      </c>
    </row>
    <row r="138" spans="29:32">
      <c r="AC138" s="18"/>
      <c r="AD138" s="9" t="s">
        <v>320</v>
      </c>
      <c r="AE138" s="9" t="s">
        <v>165</v>
      </c>
      <c r="AF138" s="9" t="s">
        <v>271</v>
      </c>
    </row>
    <row r="139" spans="29:32">
      <c r="AC139" s="18"/>
      <c r="AD139" s="9" t="s">
        <v>321</v>
      </c>
      <c r="AE139" s="9" t="s">
        <v>165</v>
      </c>
      <c r="AF139" s="9" t="s">
        <v>168</v>
      </c>
    </row>
    <row r="140" spans="29:32">
      <c r="AC140" s="18"/>
      <c r="AD140" s="9" t="s">
        <v>322</v>
      </c>
      <c r="AE140" s="9" t="s">
        <v>165</v>
      </c>
      <c r="AF140" s="9" t="s">
        <v>249</v>
      </c>
    </row>
    <row r="141" spans="29:32">
      <c r="AC141" s="18"/>
      <c r="AD141" s="9" t="s">
        <v>323</v>
      </c>
      <c r="AE141" s="9" t="s">
        <v>165</v>
      </c>
      <c r="AF141" s="9" t="s">
        <v>185</v>
      </c>
    </row>
    <row r="142" spans="29:32">
      <c r="AC142" s="18"/>
      <c r="AD142" s="9" t="s">
        <v>324</v>
      </c>
      <c r="AE142" s="9" t="s">
        <v>165</v>
      </c>
      <c r="AF142" s="9" t="s">
        <v>168</v>
      </c>
    </row>
    <row r="143" spans="29:32">
      <c r="AC143" s="18"/>
      <c r="AD143" s="9" t="s">
        <v>325</v>
      </c>
      <c r="AE143" s="9" t="s">
        <v>165</v>
      </c>
      <c r="AF143" s="9" t="s">
        <v>185</v>
      </c>
    </row>
    <row r="144" spans="29:32">
      <c r="AC144" s="18"/>
      <c r="AD144" s="9" t="s">
        <v>326</v>
      </c>
      <c r="AE144" s="9" t="s">
        <v>165</v>
      </c>
      <c r="AF144" s="9" t="s">
        <v>170</v>
      </c>
    </row>
    <row r="145" spans="29:32">
      <c r="AC145" s="18"/>
      <c r="AD145" s="9" t="s">
        <v>327</v>
      </c>
      <c r="AE145" s="9" t="s">
        <v>165</v>
      </c>
      <c r="AF145" s="9" t="s">
        <v>271</v>
      </c>
    </row>
    <row r="146" spans="29:32">
      <c r="AC146" s="18"/>
      <c r="AD146" s="9" t="s">
        <v>328</v>
      </c>
      <c r="AE146" s="9" t="s">
        <v>165</v>
      </c>
      <c r="AF146" s="9" t="s">
        <v>228</v>
      </c>
    </row>
    <row r="147" spans="29:32">
      <c r="AC147" s="18"/>
      <c r="AD147" s="9" t="s">
        <v>329</v>
      </c>
      <c r="AE147" s="9" t="s">
        <v>165</v>
      </c>
      <c r="AF147" s="9" t="s">
        <v>175</v>
      </c>
    </row>
    <row r="148" spans="29:32">
      <c r="AC148" s="18"/>
      <c r="AD148" s="9" t="s">
        <v>330</v>
      </c>
      <c r="AE148" s="9" t="s">
        <v>165</v>
      </c>
      <c r="AF148" s="9" t="s">
        <v>168</v>
      </c>
    </row>
    <row r="149" spans="29:32">
      <c r="AC149" s="18"/>
      <c r="AD149" s="85" t="s">
        <v>489</v>
      </c>
      <c r="AE149" s="85"/>
      <c r="AF149" s="85"/>
    </row>
    <row r="150" spans="29:32">
      <c r="AC150" s="18"/>
      <c r="AD150" s="9" t="s">
        <v>331</v>
      </c>
      <c r="AE150" s="9" t="s">
        <v>165</v>
      </c>
      <c r="AF150" s="9" t="s">
        <v>187</v>
      </c>
    </row>
    <row r="151" spans="29:32">
      <c r="AC151" s="18"/>
      <c r="AD151" s="85" t="s">
        <v>488</v>
      </c>
      <c r="AE151" s="85"/>
      <c r="AF151" s="85"/>
    </row>
    <row r="152" spans="29:32">
      <c r="AC152" s="18"/>
      <c r="AD152" s="9" t="s">
        <v>332</v>
      </c>
      <c r="AE152" s="9" t="s">
        <v>165</v>
      </c>
      <c r="AF152" s="9" t="s">
        <v>172</v>
      </c>
    </row>
    <row r="153" spans="29:32">
      <c r="AC153" s="18"/>
      <c r="AD153" s="9" t="s">
        <v>333</v>
      </c>
      <c r="AE153" s="9" t="s">
        <v>165</v>
      </c>
      <c r="AF153" s="9" t="s">
        <v>228</v>
      </c>
    </row>
    <row r="154" spans="29:32">
      <c r="AC154" s="18"/>
      <c r="AD154" s="9" t="s">
        <v>334</v>
      </c>
      <c r="AE154" s="9" t="s">
        <v>165</v>
      </c>
      <c r="AF154" s="9" t="s">
        <v>215</v>
      </c>
    </row>
    <row r="155" spans="29:32">
      <c r="AC155" s="18"/>
      <c r="AD155" s="9" t="s">
        <v>335</v>
      </c>
      <c r="AE155" s="9" t="s">
        <v>165</v>
      </c>
      <c r="AF155" s="9" t="s">
        <v>219</v>
      </c>
    </row>
    <row r="156" spans="29:32">
      <c r="AC156" s="18"/>
      <c r="AD156" s="9" t="s">
        <v>336</v>
      </c>
      <c r="AE156" s="9" t="s">
        <v>165</v>
      </c>
      <c r="AF156" s="9" t="s">
        <v>337</v>
      </c>
    </row>
    <row r="157" spans="29:32">
      <c r="AC157" s="18"/>
      <c r="AD157" s="9" t="s">
        <v>338</v>
      </c>
      <c r="AE157" s="9" t="s">
        <v>165</v>
      </c>
      <c r="AF157" s="9" t="s">
        <v>339</v>
      </c>
    </row>
    <row r="158" spans="29:32">
      <c r="AC158" s="18"/>
      <c r="AD158" s="9" t="s">
        <v>340</v>
      </c>
      <c r="AE158" s="9" t="s">
        <v>165</v>
      </c>
      <c r="AF158" s="9" t="s">
        <v>341</v>
      </c>
    </row>
    <row r="159" spans="29:32">
      <c r="AC159" s="18"/>
      <c r="AD159" s="9" t="s">
        <v>342</v>
      </c>
      <c r="AE159" s="9" t="s">
        <v>165</v>
      </c>
      <c r="AF159" s="9" t="s">
        <v>343</v>
      </c>
    </row>
    <row r="160" spans="29:32">
      <c r="AC160" s="18"/>
      <c r="AD160" s="85" t="s">
        <v>492</v>
      </c>
      <c r="AE160" s="85"/>
      <c r="AF160" s="85"/>
    </row>
    <row r="161" spans="29:32">
      <c r="AC161" s="18"/>
      <c r="AD161" s="9" t="s">
        <v>344</v>
      </c>
      <c r="AE161" s="9" t="s">
        <v>165</v>
      </c>
      <c r="AF161" s="9" t="s">
        <v>345</v>
      </c>
    </row>
    <row r="162" spans="29:32">
      <c r="AC162" s="18"/>
      <c r="AD162" s="85" t="s">
        <v>493</v>
      </c>
      <c r="AE162" s="85"/>
      <c r="AF162" s="85"/>
    </row>
    <row r="163" spans="29:32">
      <c r="AC163" s="18"/>
      <c r="AD163" s="9" t="s">
        <v>346</v>
      </c>
      <c r="AE163" s="9" t="s">
        <v>165</v>
      </c>
      <c r="AF163" s="9" t="s">
        <v>347</v>
      </c>
    </row>
    <row r="164" spans="29:32">
      <c r="AC164" s="18"/>
      <c r="AD164" s="85" t="s">
        <v>494</v>
      </c>
      <c r="AE164" s="85"/>
      <c r="AF164" s="85"/>
    </row>
    <row r="165" spans="29:32">
      <c r="AC165" s="18"/>
      <c r="AD165" s="9" t="s">
        <v>348</v>
      </c>
      <c r="AE165" s="9" t="s">
        <v>165</v>
      </c>
      <c r="AF165" s="9" t="s">
        <v>349</v>
      </c>
    </row>
    <row r="166" spans="29:32">
      <c r="AC166" s="18"/>
      <c r="AD166" s="9" t="s">
        <v>350</v>
      </c>
      <c r="AE166" s="9" t="s">
        <v>165</v>
      </c>
      <c r="AF166" s="9" t="s">
        <v>341</v>
      </c>
    </row>
    <row r="167" spans="29:32">
      <c r="AC167" s="18"/>
      <c r="AD167" s="9" t="s">
        <v>351</v>
      </c>
      <c r="AE167" s="9" t="s">
        <v>165</v>
      </c>
      <c r="AF167" s="9" t="s">
        <v>352</v>
      </c>
    </row>
    <row r="168" spans="29:32">
      <c r="AC168" s="18"/>
      <c r="AD168" s="9" t="s">
        <v>353</v>
      </c>
      <c r="AE168" s="9" t="s">
        <v>165</v>
      </c>
      <c r="AF168" s="9" t="s">
        <v>349</v>
      </c>
    </row>
    <row r="169" spans="29:32">
      <c r="AC169" s="18"/>
      <c r="AD169" s="9" t="s">
        <v>354</v>
      </c>
      <c r="AE169" s="9" t="s">
        <v>165</v>
      </c>
      <c r="AF169" s="9" t="s">
        <v>345</v>
      </c>
    </row>
    <row r="170" spans="29:32">
      <c r="AC170" s="18"/>
      <c r="AD170" s="9" t="s">
        <v>355</v>
      </c>
      <c r="AE170" s="9" t="s">
        <v>165</v>
      </c>
      <c r="AF170" s="9" t="s">
        <v>356</v>
      </c>
    </row>
    <row r="171" spans="29:32">
      <c r="AC171" s="18"/>
      <c r="AD171" s="9" t="s">
        <v>357</v>
      </c>
      <c r="AE171" s="9" t="s">
        <v>165</v>
      </c>
      <c r="AF171" s="9" t="s">
        <v>358</v>
      </c>
    </row>
    <row r="172" spans="29:32">
      <c r="AC172" s="18"/>
      <c r="AD172" s="9" t="s">
        <v>359</v>
      </c>
      <c r="AE172" s="9" t="s">
        <v>165</v>
      </c>
      <c r="AF172" s="9" t="s">
        <v>356</v>
      </c>
    </row>
    <row r="173" spans="29:32">
      <c r="AC173" s="18"/>
      <c r="AD173" s="9" t="s">
        <v>360</v>
      </c>
      <c r="AE173" s="9" t="s">
        <v>165</v>
      </c>
      <c r="AF173" s="9" t="s">
        <v>358</v>
      </c>
    </row>
    <row r="174" spans="29:32">
      <c r="AC174" s="18"/>
      <c r="AD174" s="9" t="s">
        <v>361</v>
      </c>
      <c r="AE174" s="9" t="s">
        <v>165</v>
      </c>
      <c r="AF174" s="9" t="s">
        <v>349</v>
      </c>
    </row>
    <row r="175" spans="29:32">
      <c r="AC175" s="18"/>
      <c r="AD175" s="9" t="s">
        <v>362</v>
      </c>
      <c r="AE175" s="9" t="s">
        <v>165</v>
      </c>
      <c r="AF175" s="9" t="s">
        <v>345</v>
      </c>
    </row>
    <row r="176" spans="29:32">
      <c r="AC176" s="18"/>
      <c r="AD176" s="9" t="s">
        <v>363</v>
      </c>
      <c r="AE176" s="9" t="s">
        <v>165</v>
      </c>
      <c r="AF176" s="9" t="s">
        <v>364</v>
      </c>
    </row>
    <row r="177" spans="29:32">
      <c r="AC177" s="18"/>
      <c r="AD177" s="9" t="s">
        <v>365</v>
      </c>
      <c r="AE177" s="9" t="s">
        <v>165</v>
      </c>
      <c r="AF177" s="9" t="s">
        <v>343</v>
      </c>
    </row>
    <row r="178" spans="29:32">
      <c r="AC178" s="18"/>
      <c r="AD178" s="9" t="s">
        <v>366</v>
      </c>
      <c r="AE178" s="9" t="s">
        <v>165</v>
      </c>
      <c r="AF178" s="9" t="s">
        <v>347</v>
      </c>
    </row>
    <row r="179" spans="29:32">
      <c r="AC179" s="18"/>
      <c r="AD179" s="9" t="s">
        <v>367</v>
      </c>
      <c r="AE179" s="9" t="s">
        <v>165</v>
      </c>
      <c r="AF179" s="9" t="s">
        <v>349</v>
      </c>
    </row>
    <row r="180" spans="29:32">
      <c r="AC180" s="18"/>
      <c r="AD180" s="9" t="s">
        <v>368</v>
      </c>
      <c r="AE180" s="9" t="s">
        <v>165</v>
      </c>
      <c r="AF180" s="9" t="s">
        <v>364</v>
      </c>
    </row>
    <row r="181" spans="29:32">
      <c r="AC181" s="18"/>
      <c r="AD181" s="9" t="s">
        <v>369</v>
      </c>
      <c r="AE181" s="9" t="s">
        <v>165</v>
      </c>
      <c r="AF181" s="9" t="s">
        <v>352</v>
      </c>
    </row>
    <row r="182" spans="29:32">
      <c r="AC182" s="18"/>
      <c r="AD182" s="9" t="s">
        <v>370</v>
      </c>
      <c r="AE182" s="9" t="s">
        <v>165</v>
      </c>
      <c r="AF182" s="9" t="s">
        <v>371</v>
      </c>
    </row>
    <row r="183" spans="29:32">
      <c r="AC183" s="18"/>
      <c r="AD183" s="9" t="s">
        <v>372</v>
      </c>
      <c r="AE183" s="9" t="s">
        <v>165</v>
      </c>
      <c r="AF183" s="9" t="s">
        <v>373</v>
      </c>
    </row>
    <row r="184" spans="29:32">
      <c r="AC184" s="18"/>
      <c r="AD184" s="9" t="s">
        <v>374</v>
      </c>
      <c r="AE184" s="9" t="s">
        <v>165</v>
      </c>
      <c r="AF184" s="9" t="s">
        <v>375</v>
      </c>
    </row>
    <row r="185" spans="29:32">
      <c r="AC185" s="18"/>
      <c r="AD185" s="9" t="s">
        <v>376</v>
      </c>
      <c r="AE185" s="9" t="s">
        <v>165</v>
      </c>
      <c r="AF185" s="9" t="s">
        <v>356</v>
      </c>
    </row>
    <row r="186" spans="29:32">
      <c r="AC186" s="18"/>
      <c r="AD186" s="9" t="s">
        <v>377</v>
      </c>
      <c r="AE186" s="9" t="s">
        <v>165</v>
      </c>
      <c r="AF186" s="9" t="s">
        <v>378</v>
      </c>
    </row>
    <row r="187" spans="29:32">
      <c r="AC187" s="18"/>
      <c r="AD187" s="9" t="s">
        <v>379</v>
      </c>
      <c r="AE187" s="9" t="s">
        <v>165</v>
      </c>
      <c r="AF187" s="9" t="s">
        <v>343</v>
      </c>
    </row>
    <row r="188" spans="29:32">
      <c r="AC188" s="18"/>
      <c r="AD188" s="9" t="s">
        <v>380</v>
      </c>
      <c r="AE188" s="9" t="s">
        <v>165</v>
      </c>
      <c r="AF188" s="9" t="s">
        <v>381</v>
      </c>
    </row>
    <row r="189" spans="29:32">
      <c r="AC189" s="18"/>
      <c r="AD189" s="9" t="s">
        <v>382</v>
      </c>
      <c r="AE189" s="9" t="s">
        <v>165</v>
      </c>
      <c r="AF189" s="9" t="s">
        <v>383</v>
      </c>
    </row>
    <row r="190" spans="29:32">
      <c r="AC190" s="18"/>
      <c r="AD190" s="9" t="s">
        <v>384</v>
      </c>
      <c r="AE190" s="9" t="s">
        <v>165</v>
      </c>
      <c r="AF190" s="9" t="s">
        <v>358</v>
      </c>
    </row>
    <row r="191" spans="29:32">
      <c r="AC191" s="18"/>
      <c r="AD191" s="9" t="s">
        <v>385</v>
      </c>
      <c r="AE191" s="9" t="s">
        <v>165</v>
      </c>
      <c r="AF191" s="9" t="s">
        <v>339</v>
      </c>
    </row>
    <row r="192" spans="29:32">
      <c r="AC192" s="18"/>
      <c r="AD192" s="9" t="s">
        <v>386</v>
      </c>
      <c r="AE192" s="9" t="s">
        <v>165</v>
      </c>
      <c r="AF192" s="9" t="s">
        <v>349</v>
      </c>
    </row>
    <row r="193" spans="29:32">
      <c r="AC193" s="18"/>
      <c r="AD193" s="9" t="s">
        <v>387</v>
      </c>
      <c r="AE193" s="9" t="s">
        <v>165</v>
      </c>
      <c r="AF193" s="9" t="s">
        <v>356</v>
      </c>
    </row>
    <row r="194" spans="29:32">
      <c r="AC194" s="18"/>
      <c r="AD194" s="9" t="s">
        <v>388</v>
      </c>
      <c r="AE194" s="9" t="s">
        <v>165</v>
      </c>
      <c r="AF194" s="9" t="s">
        <v>389</v>
      </c>
    </row>
    <row r="195" spans="29:32">
      <c r="AC195" s="18"/>
      <c r="AD195" s="9" t="s">
        <v>390</v>
      </c>
      <c r="AE195" s="9" t="s">
        <v>165</v>
      </c>
      <c r="AF195" s="9" t="s">
        <v>358</v>
      </c>
    </row>
    <row r="196" spans="29:32">
      <c r="AC196" s="18"/>
      <c r="AD196" s="9" t="s">
        <v>391</v>
      </c>
      <c r="AE196" s="9" t="s">
        <v>165</v>
      </c>
      <c r="AF196" s="9" t="s">
        <v>392</v>
      </c>
    </row>
    <row r="197" spans="29:32">
      <c r="AC197" s="18"/>
      <c r="AD197" s="9" t="s">
        <v>393</v>
      </c>
      <c r="AE197" s="9" t="s">
        <v>165</v>
      </c>
      <c r="AF197" s="9" t="s">
        <v>349</v>
      </c>
    </row>
    <row r="198" spans="29:32">
      <c r="AC198" s="18"/>
      <c r="AD198" s="9" t="s">
        <v>394</v>
      </c>
      <c r="AE198" s="9" t="s">
        <v>165</v>
      </c>
      <c r="AF198" s="9" t="s">
        <v>337</v>
      </c>
    </row>
    <row r="199" spans="29:32">
      <c r="AC199" s="18"/>
      <c r="AD199" s="85" t="s">
        <v>495</v>
      </c>
      <c r="AE199" s="85"/>
      <c r="AF199" s="85"/>
    </row>
    <row r="200" spans="29:32">
      <c r="AC200" s="18"/>
      <c r="AD200" s="9" t="s">
        <v>395</v>
      </c>
      <c r="AE200" s="9" t="s">
        <v>165</v>
      </c>
      <c r="AF200" s="9" t="s">
        <v>392</v>
      </c>
    </row>
    <row r="201" spans="29:32">
      <c r="AC201" s="18"/>
      <c r="AD201" s="9" t="s">
        <v>396</v>
      </c>
      <c r="AE201" s="9" t="s">
        <v>165</v>
      </c>
      <c r="AF201" s="9" t="s">
        <v>397</v>
      </c>
    </row>
    <row r="202" spans="29:32">
      <c r="AC202" s="18"/>
      <c r="AD202" s="9" t="s">
        <v>398</v>
      </c>
      <c r="AE202" s="9" t="s">
        <v>165</v>
      </c>
      <c r="AF202" s="9" t="s">
        <v>373</v>
      </c>
    </row>
    <row r="203" spans="29:32">
      <c r="AC203" s="18"/>
      <c r="AD203" s="9" t="s">
        <v>399</v>
      </c>
      <c r="AE203" s="9" t="s">
        <v>165</v>
      </c>
      <c r="AF203" s="9" t="s">
        <v>345</v>
      </c>
    </row>
    <row r="204" spans="29:32">
      <c r="AC204" s="18"/>
      <c r="AD204" s="9" t="s">
        <v>400</v>
      </c>
      <c r="AE204" s="9" t="s">
        <v>165</v>
      </c>
      <c r="AF204" s="9" t="s">
        <v>343</v>
      </c>
    </row>
    <row r="205" spans="29:32">
      <c r="AC205" s="18"/>
      <c r="AD205" s="9" t="s">
        <v>401</v>
      </c>
      <c r="AE205" s="9" t="s">
        <v>165</v>
      </c>
      <c r="AF205" s="9" t="s">
        <v>343</v>
      </c>
    </row>
    <row r="206" spans="29:32">
      <c r="AC206" s="18"/>
      <c r="AD206" s="9" t="s">
        <v>402</v>
      </c>
      <c r="AE206" s="9" t="s">
        <v>165</v>
      </c>
      <c r="AF206" s="9" t="s">
        <v>389</v>
      </c>
    </row>
    <row r="207" spans="29:32">
      <c r="AC207" s="18"/>
      <c r="AD207" s="85" t="s">
        <v>496</v>
      </c>
      <c r="AE207" s="85"/>
      <c r="AF207" s="85"/>
    </row>
    <row r="208" spans="29:32">
      <c r="AC208" s="18"/>
      <c r="AD208" s="9" t="s">
        <v>403</v>
      </c>
      <c r="AE208" s="9" t="s">
        <v>165</v>
      </c>
      <c r="AF208" s="9" t="s">
        <v>373</v>
      </c>
    </row>
    <row r="209" spans="29:32">
      <c r="AC209" s="18"/>
      <c r="AD209" s="9" t="s">
        <v>404</v>
      </c>
      <c r="AE209" s="9" t="s">
        <v>165</v>
      </c>
      <c r="AF209" s="9" t="s">
        <v>392</v>
      </c>
    </row>
    <row r="210" spans="29:32">
      <c r="AC210" s="18"/>
      <c r="AD210" s="9" t="s">
        <v>405</v>
      </c>
      <c r="AE210" s="9" t="s">
        <v>165</v>
      </c>
      <c r="AF210" s="9" t="s">
        <v>381</v>
      </c>
    </row>
    <row r="211" spans="29:32">
      <c r="AC211" s="18"/>
      <c r="AD211" s="9" t="s">
        <v>406</v>
      </c>
      <c r="AE211" s="9" t="s">
        <v>165</v>
      </c>
      <c r="AF211" s="9" t="s">
        <v>381</v>
      </c>
    </row>
    <row r="212" spans="29:32">
      <c r="AC212" s="18"/>
      <c r="AD212" s="9" t="s">
        <v>407</v>
      </c>
      <c r="AE212" s="9" t="s">
        <v>165</v>
      </c>
      <c r="AF212" s="9" t="s">
        <v>389</v>
      </c>
    </row>
    <row r="213" spans="29:32">
      <c r="AC213" s="18"/>
      <c r="AD213" s="9" t="s">
        <v>408</v>
      </c>
      <c r="AE213" s="9" t="s">
        <v>165</v>
      </c>
      <c r="AF213" s="9" t="s">
        <v>345</v>
      </c>
    </row>
    <row r="214" spans="29:32">
      <c r="AC214" s="18"/>
      <c r="AD214" s="9" t="s">
        <v>409</v>
      </c>
      <c r="AE214" s="9" t="s">
        <v>165</v>
      </c>
      <c r="AF214" s="9" t="s">
        <v>389</v>
      </c>
    </row>
    <row r="215" spans="29:32">
      <c r="AC215" s="18"/>
      <c r="AD215" s="9" t="s">
        <v>410</v>
      </c>
      <c r="AE215" s="9" t="s">
        <v>165</v>
      </c>
      <c r="AF215" s="9" t="s">
        <v>343</v>
      </c>
    </row>
    <row r="216" spans="29:32">
      <c r="AC216" s="18"/>
      <c r="AD216" s="85" t="s">
        <v>497</v>
      </c>
      <c r="AE216" s="85"/>
      <c r="AF216" s="85"/>
    </row>
    <row r="217" spans="29:32">
      <c r="AC217" s="18"/>
      <c r="AD217" s="9" t="s">
        <v>411</v>
      </c>
      <c r="AE217" s="9" t="s">
        <v>165</v>
      </c>
      <c r="AF217" s="9" t="s">
        <v>349</v>
      </c>
    </row>
    <row r="218" spans="29:32">
      <c r="AC218" s="18"/>
      <c r="AD218" s="85" t="s">
        <v>498</v>
      </c>
      <c r="AE218" s="85"/>
      <c r="AF218" s="85"/>
    </row>
    <row r="219" spans="29:32">
      <c r="AC219" s="18"/>
      <c r="AD219" s="9" t="s">
        <v>412</v>
      </c>
      <c r="AE219" s="9" t="s">
        <v>165</v>
      </c>
      <c r="AF219" s="9" t="s">
        <v>356</v>
      </c>
    </row>
    <row r="220" spans="29:32">
      <c r="AC220" s="18"/>
      <c r="AD220" s="9" t="s">
        <v>413</v>
      </c>
      <c r="AE220" s="9" t="s">
        <v>165</v>
      </c>
      <c r="AF220" s="9" t="s">
        <v>414</v>
      </c>
    </row>
    <row r="221" spans="29:32">
      <c r="AC221" s="18"/>
      <c r="AD221" s="9" t="s">
        <v>415</v>
      </c>
      <c r="AE221" s="9" t="s">
        <v>165</v>
      </c>
      <c r="AF221" s="9" t="s">
        <v>349</v>
      </c>
    </row>
    <row r="222" spans="29:32">
      <c r="AC222" s="18"/>
      <c r="AD222" s="9" t="s">
        <v>416</v>
      </c>
      <c r="AE222" s="9" t="s">
        <v>165</v>
      </c>
      <c r="AF222" s="9" t="s">
        <v>397</v>
      </c>
    </row>
    <row r="223" spans="29:32">
      <c r="AC223" s="18"/>
      <c r="AD223" s="9" t="s">
        <v>417</v>
      </c>
      <c r="AE223" s="9" t="s">
        <v>165</v>
      </c>
      <c r="AF223" s="9" t="s">
        <v>392</v>
      </c>
    </row>
    <row r="224" spans="29:32">
      <c r="AC224" s="18"/>
      <c r="AD224" s="9" t="s">
        <v>418</v>
      </c>
      <c r="AE224" s="9" t="s">
        <v>165</v>
      </c>
      <c r="AF224" s="9" t="s">
        <v>349</v>
      </c>
    </row>
    <row r="225" spans="29:32">
      <c r="AC225" s="18"/>
      <c r="AD225" s="9" t="s">
        <v>419</v>
      </c>
      <c r="AE225" s="9" t="s">
        <v>165</v>
      </c>
      <c r="AF225" s="9" t="s">
        <v>347</v>
      </c>
    </row>
    <row r="226" spans="29:32">
      <c r="AC226" s="18"/>
      <c r="AD226" s="9" t="s">
        <v>420</v>
      </c>
      <c r="AE226" s="9" t="s">
        <v>165</v>
      </c>
      <c r="AF226" s="9" t="s">
        <v>421</v>
      </c>
    </row>
    <row r="227" spans="29:32">
      <c r="AC227" s="18"/>
      <c r="AD227" s="9" t="s">
        <v>422</v>
      </c>
      <c r="AE227" s="9" t="s">
        <v>165</v>
      </c>
      <c r="AF227" s="9" t="s">
        <v>347</v>
      </c>
    </row>
    <row r="228" spans="29:32">
      <c r="AC228" s="18"/>
      <c r="AD228" s="9" t="s">
        <v>423</v>
      </c>
      <c r="AE228" s="9" t="s">
        <v>165</v>
      </c>
      <c r="AF228" s="9" t="s">
        <v>337</v>
      </c>
    </row>
    <row r="229" spans="29:32">
      <c r="AC229" s="18"/>
      <c r="AD229" s="9" t="s">
        <v>424</v>
      </c>
      <c r="AE229" s="9" t="s">
        <v>165</v>
      </c>
      <c r="AF229" s="9" t="s">
        <v>349</v>
      </c>
    </row>
    <row r="230" spans="29:32">
      <c r="AC230" s="18"/>
      <c r="AD230" s="9" t="s">
        <v>425</v>
      </c>
      <c r="AE230" s="9" t="s">
        <v>165</v>
      </c>
      <c r="AF230" s="9" t="s">
        <v>356</v>
      </c>
    </row>
    <row r="231" spans="29:32">
      <c r="AC231" s="18"/>
      <c r="AD231" s="9" t="s">
        <v>426</v>
      </c>
      <c r="AE231" s="9" t="s">
        <v>165</v>
      </c>
      <c r="AF231" s="9" t="s">
        <v>364</v>
      </c>
    </row>
    <row r="232" spans="29:32">
      <c r="AC232" s="18"/>
      <c r="AD232" s="9" t="s">
        <v>427</v>
      </c>
      <c r="AE232" s="9" t="s">
        <v>165</v>
      </c>
      <c r="AF232" s="9" t="s">
        <v>397</v>
      </c>
    </row>
    <row r="233" spans="29:32">
      <c r="AC233" s="18"/>
      <c r="AD233" s="85" t="s">
        <v>499</v>
      </c>
      <c r="AE233" s="85"/>
      <c r="AF233" s="85"/>
    </row>
    <row r="234" spans="29:32">
      <c r="AC234" s="18"/>
      <c r="AD234" s="9" t="s">
        <v>428</v>
      </c>
      <c r="AE234" s="9" t="s">
        <v>165</v>
      </c>
      <c r="AF234" s="9" t="s">
        <v>349</v>
      </c>
    </row>
    <row r="235" spans="29:32">
      <c r="AC235" s="18"/>
      <c r="AD235" s="9" t="s">
        <v>429</v>
      </c>
      <c r="AE235" s="9" t="s">
        <v>165</v>
      </c>
      <c r="AF235" s="9" t="s">
        <v>389</v>
      </c>
    </row>
    <row r="236" spans="29:32">
      <c r="AC236" s="18"/>
      <c r="AD236" s="9" t="s">
        <v>430</v>
      </c>
      <c r="AE236" s="9" t="s">
        <v>165</v>
      </c>
      <c r="AF236" s="9" t="s">
        <v>392</v>
      </c>
    </row>
    <row r="237" spans="29:32">
      <c r="AC237" s="18"/>
      <c r="AD237" s="9" t="s">
        <v>431</v>
      </c>
      <c r="AE237" s="9" t="s">
        <v>165</v>
      </c>
      <c r="AF237" s="9" t="s">
        <v>345</v>
      </c>
    </row>
    <row r="238" spans="29:32">
      <c r="AC238" s="18"/>
      <c r="AD238" s="9" t="s">
        <v>432</v>
      </c>
      <c r="AE238" s="9" t="s">
        <v>165</v>
      </c>
      <c r="AF238" s="9" t="s">
        <v>349</v>
      </c>
    </row>
    <row r="239" spans="29:32">
      <c r="AC239" s="18"/>
      <c r="AD239" s="85" t="s">
        <v>500</v>
      </c>
      <c r="AE239" s="85"/>
      <c r="AF239" s="85"/>
    </row>
    <row r="240" spans="29:32">
      <c r="AC240" s="18"/>
      <c r="AD240" s="9" t="s">
        <v>433</v>
      </c>
      <c r="AE240" s="9" t="s">
        <v>165</v>
      </c>
      <c r="AF240" s="9" t="s">
        <v>392</v>
      </c>
    </row>
    <row r="241" spans="29:32">
      <c r="AC241" s="18"/>
      <c r="AD241" s="9" t="s">
        <v>434</v>
      </c>
      <c r="AE241" s="9" t="s">
        <v>165</v>
      </c>
      <c r="AF241" s="9" t="s">
        <v>339</v>
      </c>
    </row>
    <row r="242" spans="29:32">
      <c r="AC242" s="18"/>
      <c r="AD242" s="9" t="s">
        <v>435</v>
      </c>
      <c r="AE242" s="9" t="s">
        <v>165</v>
      </c>
      <c r="AF242" s="9" t="s">
        <v>397</v>
      </c>
    </row>
    <row r="243" spans="29:32">
      <c r="AC243" s="18"/>
      <c r="AD243" s="9" t="s">
        <v>436</v>
      </c>
      <c r="AE243" s="9" t="s">
        <v>165</v>
      </c>
      <c r="AF243" s="9" t="s">
        <v>437</v>
      </c>
    </row>
    <row r="244" spans="29:32">
      <c r="AC244" s="18"/>
      <c r="AD244" s="85" t="s">
        <v>501</v>
      </c>
      <c r="AE244" s="85"/>
      <c r="AF244" s="85"/>
    </row>
    <row r="245" spans="29:32">
      <c r="AC245" s="18"/>
      <c r="AD245" s="9" t="s">
        <v>438</v>
      </c>
      <c r="AE245" s="9" t="s">
        <v>165</v>
      </c>
      <c r="AF245" s="9" t="s">
        <v>358</v>
      </c>
    </row>
    <row r="246" spans="29:32">
      <c r="AC246" s="18"/>
      <c r="AD246" s="85" t="s">
        <v>502</v>
      </c>
      <c r="AE246" s="85"/>
      <c r="AF246" s="85"/>
    </row>
    <row r="247" spans="29:32">
      <c r="AC247" s="18"/>
      <c r="AD247" s="9" t="s">
        <v>439</v>
      </c>
      <c r="AE247" s="9" t="s">
        <v>165</v>
      </c>
      <c r="AF247" s="9" t="s">
        <v>389</v>
      </c>
    </row>
    <row r="248" spans="29:32">
      <c r="AC248" s="18"/>
      <c r="AD248" s="9" t="s">
        <v>440</v>
      </c>
      <c r="AE248" s="9" t="s">
        <v>165</v>
      </c>
      <c r="AF248" s="9" t="s">
        <v>381</v>
      </c>
    </row>
    <row r="249" spans="29:32">
      <c r="AC249" s="18"/>
      <c r="AD249" s="85" t="s">
        <v>503</v>
      </c>
      <c r="AE249" s="85"/>
      <c r="AF249" s="85"/>
    </row>
    <row r="250" spans="29:32">
      <c r="AC250" s="18"/>
      <c r="AD250" s="9" t="s">
        <v>441</v>
      </c>
      <c r="AE250" s="9" t="s">
        <v>165</v>
      </c>
      <c r="AF250" s="9" t="s">
        <v>349</v>
      </c>
    </row>
    <row r="251" spans="29:32">
      <c r="AC251" s="18"/>
      <c r="AD251" s="9" t="s">
        <v>442</v>
      </c>
      <c r="AE251" s="9" t="s">
        <v>165</v>
      </c>
      <c r="AF251" s="9" t="s">
        <v>443</v>
      </c>
    </row>
    <row r="252" spans="29:32">
      <c r="AC252" s="18"/>
      <c r="AD252" s="9" t="s">
        <v>444</v>
      </c>
      <c r="AE252" s="9" t="s">
        <v>165</v>
      </c>
      <c r="AF252" s="9" t="s">
        <v>373</v>
      </c>
    </row>
    <row r="253" spans="29:32">
      <c r="AC253" s="18"/>
      <c r="AD253" s="9" t="s">
        <v>445</v>
      </c>
      <c r="AE253" s="9" t="s">
        <v>165</v>
      </c>
      <c r="AF253" s="9" t="s">
        <v>392</v>
      </c>
    </row>
    <row r="254" spans="29:32">
      <c r="AC254" s="18"/>
      <c r="AD254" s="9" t="s">
        <v>446</v>
      </c>
      <c r="AE254" s="9" t="s">
        <v>165</v>
      </c>
      <c r="AF254" s="9" t="s">
        <v>437</v>
      </c>
    </row>
    <row r="255" spans="29:32">
      <c r="AC255" s="18"/>
      <c r="AD255" s="9" t="s">
        <v>447</v>
      </c>
      <c r="AE255" s="9" t="s">
        <v>165</v>
      </c>
      <c r="AF255" s="9" t="s">
        <v>375</v>
      </c>
    </row>
    <row r="256" spans="29:32">
      <c r="AC256" s="18"/>
      <c r="AD256" s="9" t="s">
        <v>448</v>
      </c>
      <c r="AE256" s="9" t="s">
        <v>165</v>
      </c>
      <c r="AF256" s="9" t="s">
        <v>358</v>
      </c>
    </row>
    <row r="257" spans="29:32">
      <c r="AC257" s="18"/>
      <c r="AD257" s="9" t="s">
        <v>449</v>
      </c>
      <c r="AE257" s="9" t="s">
        <v>165</v>
      </c>
      <c r="AF257" s="9" t="s">
        <v>421</v>
      </c>
    </row>
    <row r="258" spans="29:32">
      <c r="AC258" s="18"/>
      <c r="AD258" s="9" t="s">
        <v>450</v>
      </c>
      <c r="AE258" s="9" t="s">
        <v>165</v>
      </c>
      <c r="AF258" s="9" t="s">
        <v>381</v>
      </c>
    </row>
    <row r="259" spans="29:32">
      <c r="AC259" s="18"/>
      <c r="AD259" s="9" t="s">
        <v>451</v>
      </c>
      <c r="AE259" s="9" t="s">
        <v>165</v>
      </c>
      <c r="AF259" s="9" t="s">
        <v>364</v>
      </c>
    </row>
    <row r="260" spans="29:32">
      <c r="AC260" s="18"/>
      <c r="AD260" s="85" t="s">
        <v>504</v>
      </c>
      <c r="AE260" s="85"/>
      <c r="AF260" s="85"/>
    </row>
    <row r="261" spans="29:32">
      <c r="AC261" s="18"/>
      <c r="AD261" s="9" t="s">
        <v>452</v>
      </c>
      <c r="AE261" s="9" t="s">
        <v>165</v>
      </c>
      <c r="AF261" s="9" t="s">
        <v>337</v>
      </c>
    </row>
    <row r="262" spans="29:32">
      <c r="AC262" s="18"/>
      <c r="AD262" s="9" t="s">
        <v>453</v>
      </c>
      <c r="AE262" s="9" t="s">
        <v>165</v>
      </c>
      <c r="AF262" s="9" t="s">
        <v>392</v>
      </c>
    </row>
    <row r="263" spans="29:32">
      <c r="AC263" s="18"/>
      <c r="AD263" s="9" t="s">
        <v>454</v>
      </c>
      <c r="AE263" s="9" t="s">
        <v>165</v>
      </c>
      <c r="AF263" s="9" t="s">
        <v>349</v>
      </c>
    </row>
    <row r="264" spans="29:32">
      <c r="AC264" s="18"/>
      <c r="AD264" s="9" t="s">
        <v>455</v>
      </c>
      <c r="AE264" s="9" t="s">
        <v>165</v>
      </c>
      <c r="AF264" s="9" t="s">
        <v>347</v>
      </c>
    </row>
    <row r="265" spans="29:32">
      <c r="AC265" s="18"/>
      <c r="AD265" s="9" t="s">
        <v>456</v>
      </c>
      <c r="AE265" s="9" t="s">
        <v>165</v>
      </c>
      <c r="AF265" s="9" t="s">
        <v>457</v>
      </c>
    </row>
    <row r="266" spans="29:32">
      <c r="AC266" s="18"/>
      <c r="AD266" s="9" t="s">
        <v>458</v>
      </c>
      <c r="AE266" s="9" t="s">
        <v>165</v>
      </c>
      <c r="AF266" s="9" t="s">
        <v>421</v>
      </c>
    </row>
    <row r="267" spans="29:32">
      <c r="AC267" s="18"/>
      <c r="AD267" s="9" t="s">
        <v>459</v>
      </c>
      <c r="AE267" s="9" t="s">
        <v>165</v>
      </c>
      <c r="AF267" s="9" t="s">
        <v>392</v>
      </c>
    </row>
    <row r="268" spans="29:32">
      <c r="AC268" s="18"/>
      <c r="AD268" s="9" t="s">
        <v>460</v>
      </c>
      <c r="AE268" s="9" t="s">
        <v>165</v>
      </c>
      <c r="AF268" s="9" t="s">
        <v>358</v>
      </c>
    </row>
    <row r="269" spans="29:32">
      <c r="AC269" s="18"/>
      <c r="AD269" s="9" t="s">
        <v>461</v>
      </c>
      <c r="AE269" s="9" t="s">
        <v>165</v>
      </c>
      <c r="AF269" s="9" t="s">
        <v>389</v>
      </c>
    </row>
    <row r="270" spans="29:32">
      <c r="AC270" s="18"/>
      <c r="AD270" s="9" t="s">
        <v>462</v>
      </c>
      <c r="AE270" s="9" t="s">
        <v>165</v>
      </c>
      <c r="AF270" s="9" t="s">
        <v>421</v>
      </c>
    </row>
    <row r="271" spans="29:32">
      <c r="AC271" s="18"/>
      <c r="AD271" s="9" t="s">
        <v>463</v>
      </c>
      <c r="AE271" s="9" t="s">
        <v>165</v>
      </c>
      <c r="AF271" s="9" t="s">
        <v>352</v>
      </c>
    </row>
    <row r="272" spans="29:32">
      <c r="AC272" s="18"/>
      <c r="AD272" s="9" t="s">
        <v>464</v>
      </c>
      <c r="AE272" s="9" t="s">
        <v>165</v>
      </c>
      <c r="AF272" s="9" t="s">
        <v>349</v>
      </c>
    </row>
    <row r="273" spans="29:32">
      <c r="AC273" s="18"/>
      <c r="AD273" s="9" t="s">
        <v>465</v>
      </c>
      <c r="AE273" s="9" t="s">
        <v>165</v>
      </c>
      <c r="AF273" s="9" t="s">
        <v>378</v>
      </c>
    </row>
    <row r="274" spans="29:32">
      <c r="AC274" s="18"/>
      <c r="AD274" s="9" t="s">
        <v>466</v>
      </c>
      <c r="AE274" s="9" t="s">
        <v>165</v>
      </c>
      <c r="AF274" s="9" t="s">
        <v>389</v>
      </c>
    </row>
    <row r="275" spans="29:32">
      <c r="AC275" s="18"/>
      <c r="AD275" s="9" t="s">
        <v>467</v>
      </c>
      <c r="AE275" s="9" t="s">
        <v>165</v>
      </c>
      <c r="AF275" s="9" t="s">
        <v>358</v>
      </c>
    </row>
    <row r="276" spans="29:32">
      <c r="AC276" s="18"/>
      <c r="AD276" s="9" t="s">
        <v>468</v>
      </c>
      <c r="AE276" s="9" t="s">
        <v>165</v>
      </c>
      <c r="AF276" s="9" t="s">
        <v>356</v>
      </c>
    </row>
    <row r="277" spans="29:32">
      <c r="AC277" s="18"/>
      <c r="AD277" s="9" t="s">
        <v>469</v>
      </c>
      <c r="AE277" s="9" t="s">
        <v>165</v>
      </c>
      <c r="AF277" s="9" t="s">
        <v>356</v>
      </c>
    </row>
    <row r="278" spans="29:32">
      <c r="AC278" s="18"/>
      <c r="AD278" s="9" t="s">
        <v>470</v>
      </c>
      <c r="AE278" s="9" t="s">
        <v>165</v>
      </c>
      <c r="AF278" s="9" t="s">
        <v>349</v>
      </c>
    </row>
    <row r="279" spans="29:32">
      <c r="AC279" s="18"/>
      <c r="AD279" s="9" t="s">
        <v>471</v>
      </c>
      <c r="AE279" s="9" t="s">
        <v>165</v>
      </c>
      <c r="AF279" s="9" t="s">
        <v>392</v>
      </c>
    </row>
    <row r="280" spans="29:32">
      <c r="AC280" s="18"/>
      <c r="AD280" s="9" t="s">
        <v>472</v>
      </c>
      <c r="AE280" s="9" t="s">
        <v>165</v>
      </c>
      <c r="AF280" s="9" t="s">
        <v>337</v>
      </c>
    </row>
    <row r="281" spans="29:32">
      <c r="AC281" s="18"/>
      <c r="AD281" s="9" t="s">
        <v>473</v>
      </c>
      <c r="AE281" s="9" t="s">
        <v>165</v>
      </c>
      <c r="AF281" s="9" t="s">
        <v>375</v>
      </c>
    </row>
    <row r="282" spans="29:32">
      <c r="AC282" s="18"/>
      <c r="AD282" s="9" t="s">
        <v>474</v>
      </c>
      <c r="AE282" s="9" t="s">
        <v>165</v>
      </c>
      <c r="AF282" s="9" t="s">
        <v>392</v>
      </c>
    </row>
    <row r="283" spans="29:32">
      <c r="AC283" s="18"/>
      <c r="AD283" s="9" t="s">
        <v>475</v>
      </c>
      <c r="AE283" s="9" t="s">
        <v>165</v>
      </c>
      <c r="AF283" s="9" t="s">
        <v>339</v>
      </c>
    </row>
    <row r="284" spans="29:32">
      <c r="AC284" s="18"/>
      <c r="AD284" s="9" t="s">
        <v>476</v>
      </c>
      <c r="AE284" s="9" t="s">
        <v>165</v>
      </c>
      <c r="AF284" s="9" t="s">
        <v>375</v>
      </c>
    </row>
    <row r="285" spans="29:32">
      <c r="AC285" s="18"/>
      <c r="AD285" s="9" t="s">
        <v>477</v>
      </c>
      <c r="AE285" s="9" t="s">
        <v>165</v>
      </c>
      <c r="AF285" s="9" t="s">
        <v>414</v>
      </c>
    </row>
    <row r="286" spans="29:32">
      <c r="AC286" s="18"/>
      <c r="AD286" s="9" t="s">
        <v>478</v>
      </c>
      <c r="AE286" s="9" t="s">
        <v>165</v>
      </c>
      <c r="AF286" s="9" t="s">
        <v>421</v>
      </c>
    </row>
    <row r="287" spans="29:32">
      <c r="AC287" s="18"/>
      <c r="AD287" s="9" t="s">
        <v>479</v>
      </c>
      <c r="AE287" s="9" t="s">
        <v>165</v>
      </c>
      <c r="AF287" s="9" t="s">
        <v>364</v>
      </c>
    </row>
    <row r="288" spans="29:32">
      <c r="AC288" s="18"/>
      <c r="AD288" s="9" t="s">
        <v>480</v>
      </c>
      <c r="AE288" s="9" t="s">
        <v>165</v>
      </c>
      <c r="AF288" s="9" t="s">
        <v>356</v>
      </c>
    </row>
    <row r="289" spans="29:32">
      <c r="AC289" s="18"/>
      <c r="AD289" s="9" t="s">
        <v>481</v>
      </c>
      <c r="AE289" s="9" t="s">
        <v>165</v>
      </c>
      <c r="AF289" s="9" t="s">
        <v>373</v>
      </c>
    </row>
    <row r="290" spans="29:32">
      <c r="AC290" s="18"/>
      <c r="AD290" s="9" t="s">
        <v>482</v>
      </c>
      <c r="AE290" s="9" t="s">
        <v>165</v>
      </c>
      <c r="AF290" s="9" t="s">
        <v>373</v>
      </c>
    </row>
    <row r="291" spans="29:32">
      <c r="AC291" s="18"/>
      <c r="AD291" s="9" t="s">
        <v>483</v>
      </c>
      <c r="AE291" s="9" t="s">
        <v>165</v>
      </c>
      <c r="AF291" s="9" t="s">
        <v>437</v>
      </c>
    </row>
  </sheetData>
  <mergeCells count="22">
    <mergeCell ref="AD246:AF246"/>
    <mergeCell ref="AD249:AF249"/>
    <mergeCell ref="AD260:AF260"/>
    <mergeCell ref="AD216:AF216"/>
    <mergeCell ref="AD218:AF218"/>
    <mergeCell ref="AD233:AF233"/>
    <mergeCell ref="AD239:AF239"/>
    <mergeCell ref="AD244:AF244"/>
    <mergeCell ref="AD162:AF162"/>
    <mergeCell ref="AD164:AF164"/>
    <mergeCell ref="AD199:AF199"/>
    <mergeCell ref="AD207:AF207"/>
    <mergeCell ref="AD91:AF91"/>
    <mergeCell ref="AD105:AF105"/>
    <mergeCell ref="AD149:AF149"/>
    <mergeCell ref="AD151:AF151"/>
    <mergeCell ref="AD160:AF160"/>
    <mergeCell ref="A1:M1"/>
    <mergeCell ref="T1:AB1"/>
    <mergeCell ref="AD1:AF1"/>
    <mergeCell ref="AD3:AF3"/>
    <mergeCell ref="AD89:AF89"/>
  </mergeCells>
  <pageMargins left="0.7" right="0.7" top="0.75" bottom="0.75" header="0.3" footer="0.3"/>
  <pageSetup scale="65" orientation="landscape" r:id="rId1"/>
  <drawing r:id="rId2"/>
</worksheet>
</file>

<file path=xl/worksheets/sheet4.xml><?xml version="1.0" encoding="utf-8"?>
<worksheet xmlns="http://schemas.openxmlformats.org/spreadsheetml/2006/main" xmlns:r="http://schemas.openxmlformats.org/officeDocument/2006/relationships">
  <dimension ref="A1:AS261"/>
  <sheetViews>
    <sheetView workbookViewId="0">
      <selection activeCell="E5" sqref="E5"/>
    </sheetView>
  </sheetViews>
  <sheetFormatPr defaultColWidth="15.7109375" defaultRowHeight="15"/>
  <cols>
    <col min="1" max="1" width="5.7109375" style="9" customWidth="1"/>
    <col min="2" max="8" width="15.7109375" style="9"/>
    <col min="9" max="9" width="21" style="9" customWidth="1"/>
    <col min="10" max="16384" width="15.7109375" style="9"/>
  </cols>
  <sheetData>
    <row r="1" spans="1:45" ht="30.75" customHeight="1">
      <c r="A1" s="80" t="s">
        <v>1504</v>
      </c>
      <c r="B1" s="80"/>
      <c r="C1" s="80"/>
      <c r="D1" s="80"/>
      <c r="E1" s="80"/>
      <c r="F1" s="80"/>
      <c r="G1" s="80"/>
      <c r="H1" s="80"/>
      <c r="I1" s="80"/>
      <c r="J1" s="80"/>
      <c r="K1" s="80"/>
      <c r="L1" s="80"/>
      <c r="M1" s="80"/>
      <c r="N1"/>
      <c r="O1"/>
      <c r="P1"/>
      <c r="Q1"/>
      <c r="R1"/>
      <c r="S1"/>
      <c r="T1" s="81" t="s">
        <v>144</v>
      </c>
      <c r="U1" s="82"/>
      <c r="V1" s="82"/>
      <c r="W1" s="82"/>
      <c r="X1" s="82"/>
      <c r="Y1" s="82"/>
      <c r="Z1" s="82"/>
      <c r="AA1" s="82"/>
      <c r="AB1" s="82"/>
      <c r="AC1" s="26"/>
      <c r="AD1" s="87" t="s">
        <v>505</v>
      </c>
      <c r="AE1" s="88"/>
      <c r="AF1" s="88"/>
      <c r="AG1" s="89"/>
      <c r="AI1" s="83" t="s">
        <v>517</v>
      </c>
      <c r="AJ1" s="83"/>
      <c r="AK1" s="83"/>
      <c r="AL1" s="83"/>
      <c r="AM1" s="83"/>
      <c r="AN1" s="83"/>
      <c r="AO1" s="83"/>
      <c r="AP1" s="83"/>
      <c r="AQ1" s="83"/>
      <c r="AR1" s="83"/>
      <c r="AS1" s="83"/>
    </row>
    <row r="2" spans="1:45" s="10" customFormat="1" ht="30">
      <c r="A2" s="6" t="s">
        <v>135</v>
      </c>
      <c r="B2" s="7" t="s">
        <v>137</v>
      </c>
      <c r="C2" s="7" t="s">
        <v>151</v>
      </c>
      <c r="D2" s="6" t="s">
        <v>136</v>
      </c>
      <c r="E2" s="7" t="s">
        <v>138</v>
      </c>
      <c r="F2" s="6" t="s">
        <v>139</v>
      </c>
      <c r="G2" s="6" t="s">
        <v>158</v>
      </c>
      <c r="H2" s="7" t="s">
        <v>154</v>
      </c>
      <c r="I2" s="6" t="s">
        <v>153</v>
      </c>
      <c r="J2" s="6" t="s">
        <v>155</v>
      </c>
      <c r="K2" s="7" t="s">
        <v>156</v>
      </c>
      <c r="L2" s="6" t="s">
        <v>157</v>
      </c>
      <c r="M2" s="6" t="s">
        <v>159</v>
      </c>
      <c r="N2" s="7" t="s">
        <v>882</v>
      </c>
      <c r="O2" s="7" t="s">
        <v>152</v>
      </c>
      <c r="P2" s="7" t="s">
        <v>160</v>
      </c>
      <c r="Q2" s="7" t="s">
        <v>161</v>
      </c>
      <c r="R2" s="7" t="s">
        <v>162</v>
      </c>
      <c r="S2" s="21"/>
      <c r="T2" s="27" t="s">
        <v>140</v>
      </c>
      <c r="U2" s="27" t="s">
        <v>141</v>
      </c>
      <c r="V2" s="27" t="s">
        <v>142</v>
      </c>
      <c r="W2" s="27" t="s">
        <v>143</v>
      </c>
      <c r="X2" s="27" t="s">
        <v>145</v>
      </c>
      <c r="Y2" s="27" t="s">
        <v>146</v>
      </c>
      <c r="Z2" s="27" t="s">
        <v>147</v>
      </c>
      <c r="AA2" s="27" t="s">
        <v>148</v>
      </c>
      <c r="AB2" s="27" t="s">
        <v>149</v>
      </c>
      <c r="AC2" s="26"/>
      <c r="AD2" s="39" t="s">
        <v>838</v>
      </c>
      <c r="AE2" s="39" t="s">
        <v>839</v>
      </c>
      <c r="AF2" s="34" t="s">
        <v>486</v>
      </c>
      <c r="AG2" s="34" t="s">
        <v>784</v>
      </c>
      <c r="AI2" s="28" t="s">
        <v>515</v>
      </c>
      <c r="AJ2" s="28" t="s">
        <v>516</v>
      </c>
      <c r="AK2" s="32" t="s">
        <v>549</v>
      </c>
      <c r="AL2" s="32" t="s">
        <v>550</v>
      </c>
      <c r="AM2" s="32" t="s">
        <v>551</v>
      </c>
      <c r="AN2" s="32" t="s">
        <v>552</v>
      </c>
      <c r="AO2" s="32" t="s">
        <v>553</v>
      </c>
      <c r="AP2" s="32" t="s">
        <v>554</v>
      </c>
      <c r="AQ2" s="32" t="s">
        <v>555</v>
      </c>
      <c r="AR2" s="32" t="s">
        <v>556</v>
      </c>
      <c r="AS2" s="32" t="s">
        <v>557</v>
      </c>
    </row>
    <row r="3" spans="1:45">
      <c r="A3" s="9">
        <v>1</v>
      </c>
      <c r="B3" s="13">
        <v>10</v>
      </c>
      <c r="C3" s="13">
        <v>0</v>
      </c>
      <c r="D3" s="11">
        <f>C3/B3*100</f>
        <v>0</v>
      </c>
      <c r="E3" s="13">
        <v>0</v>
      </c>
      <c r="F3" s="9">
        <v>0</v>
      </c>
      <c r="G3" s="9">
        <f>(D3+F3)/2</f>
        <v>0</v>
      </c>
      <c r="H3" s="9">
        <v>10</v>
      </c>
      <c r="I3" s="9">
        <v>0</v>
      </c>
      <c r="J3" s="9">
        <f>I3/H3*100</f>
        <v>0</v>
      </c>
      <c r="K3" s="9">
        <v>0</v>
      </c>
      <c r="L3" s="30">
        <v>0</v>
      </c>
      <c r="M3" s="30">
        <f>(L3+J3)/2</f>
        <v>0</v>
      </c>
      <c r="N3" s="9">
        <v>0</v>
      </c>
      <c r="O3" s="7">
        <v>0</v>
      </c>
      <c r="P3" s="7">
        <v>0</v>
      </c>
      <c r="Q3" s="9">
        <v>0</v>
      </c>
      <c r="R3" s="9">
        <v>0</v>
      </c>
      <c r="T3" s="13">
        <v>0</v>
      </c>
      <c r="U3" s="13">
        <v>0</v>
      </c>
      <c r="V3" s="13">
        <v>0</v>
      </c>
      <c r="W3" s="13">
        <v>0</v>
      </c>
      <c r="X3" s="13">
        <v>0</v>
      </c>
      <c r="Y3" s="13">
        <v>0</v>
      </c>
      <c r="Z3" s="13">
        <v>0</v>
      </c>
      <c r="AA3" s="13">
        <v>0</v>
      </c>
      <c r="AB3" s="13">
        <v>0</v>
      </c>
      <c r="AC3" s="31"/>
      <c r="AD3" s="36" t="s">
        <v>518</v>
      </c>
      <c r="AE3" s="9">
        <v>500</v>
      </c>
      <c r="AF3" s="31" t="s">
        <v>548</v>
      </c>
      <c r="AG3" s="35">
        <v>10</v>
      </c>
      <c r="AI3" s="29">
        <v>0</v>
      </c>
      <c r="AJ3" s="29">
        <v>0</v>
      </c>
      <c r="AK3" s="29">
        <v>0</v>
      </c>
      <c r="AL3" s="29">
        <v>0</v>
      </c>
      <c r="AM3" s="29">
        <v>0</v>
      </c>
      <c r="AN3" s="29">
        <v>0</v>
      </c>
      <c r="AO3" s="29">
        <v>0</v>
      </c>
      <c r="AP3" s="29">
        <v>0</v>
      </c>
      <c r="AQ3" s="29">
        <v>0</v>
      </c>
      <c r="AR3" s="29">
        <v>0</v>
      </c>
      <c r="AS3" s="29">
        <v>0</v>
      </c>
    </row>
    <row r="4" spans="1:45">
      <c r="A4" s="9">
        <v>2</v>
      </c>
      <c r="B4" s="13">
        <v>10</v>
      </c>
      <c r="C4" s="13">
        <v>10</v>
      </c>
      <c r="D4" s="11">
        <f t="shared" ref="D4:D32" si="0">C4/B4*100</f>
        <v>100</v>
      </c>
      <c r="E4" s="13">
        <v>4</v>
      </c>
      <c r="F4" s="26">
        <f t="shared" ref="F4:F32" si="1">E4/C4*100</f>
        <v>40</v>
      </c>
      <c r="G4" s="26">
        <f t="shared" ref="G4:G32" si="2">(D4+F4)/2</f>
        <v>70</v>
      </c>
      <c r="H4" s="26">
        <v>10</v>
      </c>
      <c r="I4" s="9">
        <v>9</v>
      </c>
      <c r="J4" s="26">
        <f t="shared" ref="J4:J32" si="3">I4/H4*100</f>
        <v>90</v>
      </c>
      <c r="K4" s="26">
        <v>5.5</v>
      </c>
      <c r="L4" s="30">
        <f t="shared" ref="L4:L32" si="4">K4/I4*100</f>
        <v>61.111111111111114</v>
      </c>
      <c r="M4" s="30">
        <f t="shared" ref="M4:M32" si="5">(L4+J4)/2</f>
        <v>75.555555555555557</v>
      </c>
      <c r="N4" s="9">
        <v>405.12</v>
      </c>
      <c r="O4" s="9">
        <v>-67.33293445000001</v>
      </c>
      <c r="P4" s="9">
        <v>36.667065549999997</v>
      </c>
      <c r="Q4" s="9">
        <v>-71.049186800000001</v>
      </c>
      <c r="R4" s="9">
        <v>32.950813199999999</v>
      </c>
      <c r="T4" s="13">
        <v>5.6</v>
      </c>
      <c r="U4" s="13">
        <v>5.5</v>
      </c>
      <c r="V4" s="13">
        <v>5.5</v>
      </c>
      <c r="W4" s="13">
        <v>5.2</v>
      </c>
      <c r="X4" s="13">
        <v>5.5</v>
      </c>
      <c r="Y4" s="13">
        <v>5.7</v>
      </c>
      <c r="Z4" s="13">
        <v>5.8</v>
      </c>
      <c r="AA4" s="13">
        <v>5.8</v>
      </c>
      <c r="AB4" s="13">
        <v>5.5</v>
      </c>
      <c r="AC4" s="31"/>
      <c r="AD4" s="36" t="s">
        <v>519</v>
      </c>
      <c r="AE4" s="31">
        <v>500</v>
      </c>
      <c r="AF4" s="25">
        <v>5.1277888888888887E-2</v>
      </c>
      <c r="AG4" s="13">
        <v>8</v>
      </c>
      <c r="AI4" s="29">
        <v>38.04</v>
      </c>
      <c r="AJ4" s="29">
        <v>35.340000000000003</v>
      </c>
      <c r="AK4" s="29">
        <v>37.049999999999997</v>
      </c>
      <c r="AL4" s="29">
        <v>36.479999999999997</v>
      </c>
      <c r="AM4" s="29">
        <v>35.909999999999997</v>
      </c>
      <c r="AN4" s="29">
        <v>34.770000000000003</v>
      </c>
      <c r="AO4" s="29">
        <v>36.479999999999997</v>
      </c>
      <c r="AP4" s="29">
        <v>37.619999999999997</v>
      </c>
      <c r="AQ4" s="29">
        <v>38.19</v>
      </c>
      <c r="AR4" s="29">
        <v>38.76</v>
      </c>
      <c r="AS4" s="29">
        <v>36.479999999999997</v>
      </c>
    </row>
    <row r="5" spans="1:45">
      <c r="A5" s="9">
        <v>3</v>
      </c>
      <c r="B5" s="13">
        <v>10</v>
      </c>
      <c r="C5" s="13">
        <v>9</v>
      </c>
      <c r="D5" s="11">
        <f t="shared" si="0"/>
        <v>90</v>
      </c>
      <c r="E5" s="13">
        <v>4</v>
      </c>
      <c r="F5" s="13">
        <f t="shared" si="1"/>
        <v>44.444444444444443</v>
      </c>
      <c r="G5" s="13">
        <f t="shared" si="2"/>
        <v>67.222222222222229</v>
      </c>
      <c r="H5" s="26">
        <v>10</v>
      </c>
      <c r="I5" s="9">
        <v>9</v>
      </c>
      <c r="J5" s="26">
        <f t="shared" si="3"/>
        <v>90</v>
      </c>
      <c r="K5" s="26">
        <v>5.8</v>
      </c>
      <c r="L5" s="30">
        <f t="shared" si="4"/>
        <v>64.444444444444443</v>
      </c>
      <c r="M5" s="30">
        <f t="shared" si="5"/>
        <v>77.222222222222229</v>
      </c>
      <c r="N5" s="9">
        <v>426.78000000000003</v>
      </c>
      <c r="O5" s="9">
        <v>-68.946769550000013</v>
      </c>
      <c r="P5" s="9">
        <v>35.053230450000001</v>
      </c>
      <c r="Q5" s="9">
        <v>-64.48514609999998</v>
      </c>
      <c r="R5" s="9">
        <v>39.514853899999999</v>
      </c>
      <c r="T5" s="13">
        <v>5.9</v>
      </c>
      <c r="U5" s="13">
        <v>6.1</v>
      </c>
      <c r="V5" s="13">
        <v>6.3</v>
      </c>
      <c r="W5" s="13">
        <v>4.9000000000000004</v>
      </c>
      <c r="X5" s="13">
        <v>5.6</v>
      </c>
      <c r="Y5" s="13">
        <v>5.6</v>
      </c>
      <c r="Z5" s="13">
        <v>6.2</v>
      </c>
      <c r="AA5" s="13">
        <v>6.2</v>
      </c>
      <c r="AB5" s="13">
        <v>5.9</v>
      </c>
      <c r="AC5" s="31"/>
      <c r="AD5" s="36" t="s">
        <v>520</v>
      </c>
      <c r="AE5" s="31">
        <v>500</v>
      </c>
      <c r="AF5" s="25">
        <v>5.2085444444444441E-2</v>
      </c>
      <c r="AG5" s="13">
        <v>6</v>
      </c>
      <c r="AI5" s="29">
        <v>40.32</v>
      </c>
      <c r="AJ5" s="29">
        <v>34.770000000000003</v>
      </c>
      <c r="AK5" s="29">
        <v>39.33</v>
      </c>
      <c r="AL5" s="29">
        <v>41.04</v>
      </c>
      <c r="AM5" s="29">
        <v>40.47</v>
      </c>
      <c r="AN5" s="29">
        <v>33.630000000000003</v>
      </c>
      <c r="AO5" s="29">
        <v>37.619999999999997</v>
      </c>
      <c r="AP5" s="29">
        <v>37.049999999999997</v>
      </c>
      <c r="AQ5" s="29">
        <v>41.04</v>
      </c>
      <c r="AR5" s="29">
        <v>41.61</v>
      </c>
      <c r="AS5" s="29">
        <v>39.9</v>
      </c>
    </row>
    <row r="6" spans="1:45">
      <c r="A6" s="9">
        <v>4</v>
      </c>
      <c r="B6" s="13">
        <v>10</v>
      </c>
      <c r="C6" s="13">
        <v>10</v>
      </c>
      <c r="D6" s="11">
        <f t="shared" si="0"/>
        <v>100</v>
      </c>
      <c r="E6" s="13">
        <v>2</v>
      </c>
      <c r="F6" s="26">
        <f t="shared" si="1"/>
        <v>20</v>
      </c>
      <c r="G6" s="26">
        <f t="shared" si="2"/>
        <v>60</v>
      </c>
      <c r="H6" s="26">
        <v>10</v>
      </c>
      <c r="I6" s="9">
        <v>10</v>
      </c>
      <c r="J6" s="26">
        <f t="shared" si="3"/>
        <v>100</v>
      </c>
      <c r="K6" s="26">
        <v>6</v>
      </c>
      <c r="L6" s="30">
        <f t="shared" si="4"/>
        <v>60</v>
      </c>
      <c r="M6" s="30">
        <f t="shared" si="5"/>
        <v>80</v>
      </c>
      <c r="N6" s="9">
        <v>420.51</v>
      </c>
      <c r="O6" s="9">
        <v>-66.046915750000011</v>
      </c>
      <c r="P6" s="9">
        <v>37.953084250000003</v>
      </c>
      <c r="Q6" s="9">
        <v>-64.673802800000004</v>
      </c>
      <c r="R6" s="9">
        <v>39.32619720000001</v>
      </c>
      <c r="T6" s="13">
        <v>5.2</v>
      </c>
      <c r="U6" s="13">
        <v>5.8</v>
      </c>
      <c r="V6" s="13">
        <v>5.0999999999999996</v>
      </c>
      <c r="W6" s="13">
        <v>5.0999999999999996</v>
      </c>
      <c r="X6" s="13">
        <v>5.9</v>
      </c>
      <c r="Y6" s="13">
        <v>6</v>
      </c>
      <c r="Z6" s="13">
        <v>5.8</v>
      </c>
      <c r="AA6" s="13">
        <v>5.0999999999999996</v>
      </c>
      <c r="AB6" s="13">
        <v>5.2</v>
      </c>
      <c r="AC6" s="31"/>
      <c r="AD6" s="36" t="s">
        <v>521</v>
      </c>
      <c r="AE6" s="31">
        <v>500</v>
      </c>
      <c r="AF6" s="25">
        <v>5.1382333333333335E-2</v>
      </c>
      <c r="AG6" s="13">
        <v>8</v>
      </c>
      <c r="AI6" s="29">
        <v>41.46</v>
      </c>
      <c r="AJ6" s="29">
        <v>37.619999999999997</v>
      </c>
      <c r="AK6" s="29">
        <v>37.049999999999997</v>
      </c>
      <c r="AL6" s="29">
        <v>39.9</v>
      </c>
      <c r="AM6" s="29">
        <v>35.909999999999997</v>
      </c>
      <c r="AN6" s="29">
        <v>34.770000000000003</v>
      </c>
      <c r="AO6" s="29">
        <v>41.04</v>
      </c>
      <c r="AP6" s="29">
        <v>41.61</v>
      </c>
      <c r="AQ6" s="29">
        <v>39.33</v>
      </c>
      <c r="AR6" s="29">
        <v>36.479999999999997</v>
      </c>
      <c r="AS6" s="29">
        <v>35.340000000000003</v>
      </c>
    </row>
    <row r="7" spans="1:45">
      <c r="A7" s="9">
        <v>5</v>
      </c>
      <c r="B7" s="13">
        <v>10</v>
      </c>
      <c r="C7" s="13">
        <v>10</v>
      </c>
      <c r="D7" s="11">
        <f t="shared" si="0"/>
        <v>100</v>
      </c>
      <c r="E7" s="13">
        <v>6</v>
      </c>
      <c r="F7" s="26">
        <f t="shared" si="1"/>
        <v>60</v>
      </c>
      <c r="G7" s="26">
        <f t="shared" si="2"/>
        <v>80</v>
      </c>
      <c r="H7" s="26">
        <v>10</v>
      </c>
      <c r="I7" s="9">
        <v>10</v>
      </c>
      <c r="J7" s="26">
        <f t="shared" si="3"/>
        <v>100</v>
      </c>
      <c r="K7" s="26">
        <v>6</v>
      </c>
      <c r="L7" s="30">
        <f t="shared" si="4"/>
        <v>60</v>
      </c>
      <c r="M7" s="30">
        <f t="shared" si="5"/>
        <v>80</v>
      </c>
      <c r="N7" s="9">
        <v>425.07</v>
      </c>
      <c r="O7" s="9">
        <v>-64.146284850000015</v>
      </c>
      <c r="P7" s="9">
        <v>39.853715149999992</v>
      </c>
      <c r="Q7" s="9">
        <v>-67.106717900000007</v>
      </c>
      <c r="R7" s="9">
        <v>36.8932821</v>
      </c>
      <c r="T7" s="13">
        <v>6.2</v>
      </c>
      <c r="U7" s="13">
        <v>6.3</v>
      </c>
      <c r="V7" s="13">
        <v>4.7</v>
      </c>
      <c r="W7" s="13">
        <v>6</v>
      </c>
      <c r="X7" s="13">
        <v>6.5</v>
      </c>
      <c r="Y7" s="13">
        <v>5.7</v>
      </c>
      <c r="Z7" s="13">
        <v>5.6</v>
      </c>
      <c r="AA7" s="13">
        <v>5.2</v>
      </c>
      <c r="AB7" s="13">
        <v>5.8</v>
      </c>
      <c r="AC7" s="31"/>
      <c r="AD7" s="36" t="s">
        <v>522</v>
      </c>
      <c r="AE7" s="31">
        <v>500</v>
      </c>
      <c r="AF7" s="25">
        <v>5.1383000000000005E-2</v>
      </c>
      <c r="AG7" s="13">
        <v>4</v>
      </c>
      <c r="AI7" s="29">
        <v>41.46</v>
      </c>
      <c r="AJ7" s="29">
        <v>39.9</v>
      </c>
      <c r="AK7" s="29">
        <v>40.47</v>
      </c>
      <c r="AL7" s="29">
        <v>41.61</v>
      </c>
      <c r="AM7" s="29">
        <v>31.92</v>
      </c>
      <c r="AN7" s="29">
        <v>39.9</v>
      </c>
      <c r="AO7" s="29">
        <v>42.75</v>
      </c>
      <c r="AP7" s="29">
        <v>37.619999999999997</v>
      </c>
      <c r="AQ7" s="29">
        <v>37.049999999999997</v>
      </c>
      <c r="AR7" s="29">
        <v>34.200000000000003</v>
      </c>
      <c r="AS7" s="29">
        <v>38.19</v>
      </c>
    </row>
    <row r="8" spans="1:45">
      <c r="A8" s="9">
        <v>6</v>
      </c>
      <c r="B8" s="13">
        <v>10</v>
      </c>
      <c r="C8" s="13">
        <v>10</v>
      </c>
      <c r="D8" s="11">
        <f t="shared" si="0"/>
        <v>100</v>
      </c>
      <c r="E8" s="13">
        <v>7</v>
      </c>
      <c r="F8" s="26">
        <f t="shared" si="1"/>
        <v>70</v>
      </c>
      <c r="G8" s="26">
        <f t="shared" si="2"/>
        <v>85</v>
      </c>
      <c r="H8" s="26">
        <v>10</v>
      </c>
      <c r="I8" s="9">
        <v>10</v>
      </c>
      <c r="J8" s="26">
        <f t="shared" si="3"/>
        <v>100</v>
      </c>
      <c r="K8" s="26">
        <v>5.4</v>
      </c>
      <c r="L8" s="30">
        <f t="shared" si="4"/>
        <v>54</v>
      </c>
      <c r="M8" s="30">
        <f t="shared" si="5"/>
        <v>77</v>
      </c>
      <c r="N8" s="9">
        <v>426.78</v>
      </c>
      <c r="O8" s="9">
        <v>-64.752526650000021</v>
      </c>
      <c r="P8" s="9">
        <v>39.24747335</v>
      </c>
      <c r="Q8" s="9">
        <v>-62.086490500000004</v>
      </c>
      <c r="R8" s="9">
        <v>41.913509499999996</v>
      </c>
      <c r="T8" s="13">
        <v>6.4</v>
      </c>
      <c r="U8" s="13">
        <v>6.2</v>
      </c>
      <c r="V8" s="13">
        <v>5.7</v>
      </c>
      <c r="W8" s="13">
        <v>5.9</v>
      </c>
      <c r="X8" s="13">
        <v>5.5</v>
      </c>
      <c r="Y8" s="13">
        <v>5.8</v>
      </c>
      <c r="Z8" s="13">
        <v>5.6</v>
      </c>
      <c r="AA8" s="13">
        <v>6.4</v>
      </c>
      <c r="AB8" s="13">
        <v>6.2</v>
      </c>
      <c r="AC8" s="31"/>
      <c r="AD8" s="36" t="s">
        <v>523</v>
      </c>
      <c r="AE8" s="31">
        <v>500</v>
      </c>
      <c r="AF8" s="25">
        <v>5.1582333333333341E-2</v>
      </c>
      <c r="AG8" s="13">
        <v>3</v>
      </c>
      <c r="AI8" s="29">
        <v>38.04</v>
      </c>
      <c r="AJ8" s="29">
        <v>40.47</v>
      </c>
      <c r="AK8" s="29">
        <v>41.04</v>
      </c>
      <c r="AL8" s="29">
        <v>39.9</v>
      </c>
      <c r="AM8" s="29">
        <v>36.479999999999997</v>
      </c>
      <c r="AN8" s="29">
        <v>38.19</v>
      </c>
      <c r="AO8" s="29">
        <v>36.479999999999997</v>
      </c>
      <c r="AP8" s="29">
        <v>37.619999999999997</v>
      </c>
      <c r="AQ8" s="29">
        <v>36.479999999999997</v>
      </c>
      <c r="AR8" s="29">
        <v>41.61</v>
      </c>
      <c r="AS8" s="29">
        <v>40.47</v>
      </c>
    </row>
    <row r="9" spans="1:45">
      <c r="A9" s="9">
        <v>7</v>
      </c>
      <c r="B9" s="13">
        <v>10</v>
      </c>
      <c r="C9" s="13">
        <v>10</v>
      </c>
      <c r="D9" s="11">
        <f t="shared" si="0"/>
        <v>100</v>
      </c>
      <c r="E9" s="13">
        <v>4</v>
      </c>
      <c r="F9" s="26">
        <f t="shared" si="1"/>
        <v>40</v>
      </c>
      <c r="G9" s="26">
        <f t="shared" si="2"/>
        <v>70</v>
      </c>
      <c r="H9" s="26">
        <v>10</v>
      </c>
      <c r="I9" s="9">
        <v>10</v>
      </c>
      <c r="J9" s="26">
        <f t="shared" si="3"/>
        <v>100</v>
      </c>
      <c r="K9" s="26">
        <v>5.7</v>
      </c>
      <c r="L9" s="30">
        <f t="shared" si="4"/>
        <v>57.000000000000007</v>
      </c>
      <c r="M9" s="30">
        <f t="shared" si="5"/>
        <v>78.5</v>
      </c>
      <c r="N9" s="9">
        <v>414.24</v>
      </c>
      <c r="O9" s="9">
        <v>-63.772230750000006</v>
      </c>
      <c r="P9" s="9">
        <v>40.227769250000001</v>
      </c>
      <c r="Q9" s="9">
        <v>-62.665520099999995</v>
      </c>
      <c r="R9" s="9">
        <v>41.334479900000005</v>
      </c>
      <c r="T9" s="13">
        <v>6</v>
      </c>
      <c r="U9" s="13">
        <v>5</v>
      </c>
      <c r="V9" s="13">
        <v>5.8</v>
      </c>
      <c r="W9" s="13">
        <v>5</v>
      </c>
      <c r="X9" s="13">
        <v>5.6</v>
      </c>
      <c r="Y9" s="13">
        <v>5.6</v>
      </c>
      <c r="Z9" s="13">
        <v>5.5</v>
      </c>
      <c r="AA9" s="13">
        <v>5.8</v>
      </c>
      <c r="AB9" s="13">
        <v>5.9</v>
      </c>
      <c r="AC9" s="31"/>
      <c r="AD9" s="36" t="s">
        <v>524</v>
      </c>
      <c r="AE9" s="31">
        <v>500</v>
      </c>
      <c r="AF9" s="25">
        <v>3.5923888888888894E-2</v>
      </c>
      <c r="AG9" s="13">
        <v>6</v>
      </c>
      <c r="AI9" s="29">
        <v>39.75</v>
      </c>
      <c r="AJ9" s="29">
        <v>37.619999999999997</v>
      </c>
      <c r="AK9" s="29">
        <v>39.9</v>
      </c>
      <c r="AL9" s="29">
        <v>34.200000000000003</v>
      </c>
      <c r="AM9" s="29">
        <v>38.76</v>
      </c>
      <c r="AN9" s="29">
        <v>34.200000000000003</v>
      </c>
      <c r="AO9" s="29">
        <v>37.619999999999997</v>
      </c>
      <c r="AP9" s="29">
        <v>37.049999999999997</v>
      </c>
      <c r="AQ9" s="29">
        <v>36.479999999999997</v>
      </c>
      <c r="AR9" s="29">
        <v>39.33</v>
      </c>
      <c r="AS9" s="29">
        <v>39.33</v>
      </c>
    </row>
    <row r="10" spans="1:45">
      <c r="A10" s="9">
        <v>8</v>
      </c>
      <c r="B10" s="13">
        <v>10</v>
      </c>
      <c r="C10" s="13">
        <v>10</v>
      </c>
      <c r="D10" s="11">
        <f t="shared" si="0"/>
        <v>100</v>
      </c>
      <c r="E10" s="13">
        <v>7</v>
      </c>
      <c r="F10" s="26">
        <f t="shared" si="1"/>
        <v>70</v>
      </c>
      <c r="G10" s="26">
        <f t="shared" si="2"/>
        <v>85</v>
      </c>
      <c r="H10" s="26">
        <v>10</v>
      </c>
      <c r="I10" s="9">
        <v>10</v>
      </c>
      <c r="J10" s="26">
        <f t="shared" si="3"/>
        <v>100</v>
      </c>
      <c r="K10" s="26">
        <v>6.4</v>
      </c>
      <c r="L10" s="30">
        <f t="shared" si="4"/>
        <v>64</v>
      </c>
      <c r="M10" s="30">
        <f t="shared" si="5"/>
        <v>82</v>
      </c>
      <c r="N10" s="9">
        <v>499.17</v>
      </c>
      <c r="O10" s="9">
        <v>-62.325009250000008</v>
      </c>
      <c r="P10" s="9">
        <v>41.674990749999999</v>
      </c>
      <c r="Q10" s="9">
        <v>-59.47248410000001</v>
      </c>
      <c r="R10" s="9">
        <v>44.527515899999997</v>
      </c>
      <c r="T10" s="13">
        <v>7.3</v>
      </c>
      <c r="U10" s="13">
        <v>7.6</v>
      </c>
      <c r="V10" s="13">
        <v>7</v>
      </c>
      <c r="W10" s="13">
        <v>6.7</v>
      </c>
      <c r="X10" s="13">
        <v>6.4</v>
      </c>
      <c r="Y10" s="13">
        <v>7</v>
      </c>
      <c r="Z10" s="13">
        <v>6.2</v>
      </c>
      <c r="AA10" s="13">
        <v>7.4</v>
      </c>
      <c r="AB10" s="13">
        <v>7.4</v>
      </c>
      <c r="AC10" s="31"/>
      <c r="AD10" s="36" t="s">
        <v>525</v>
      </c>
      <c r="AE10" s="31">
        <v>500</v>
      </c>
      <c r="AF10" s="25">
        <v>3.1082555555555551E-2</v>
      </c>
      <c r="AG10" s="13">
        <v>3</v>
      </c>
      <c r="AI10" s="29">
        <v>43.74</v>
      </c>
      <c r="AJ10" s="29">
        <v>45.6</v>
      </c>
      <c r="AK10" s="29">
        <v>47.31</v>
      </c>
      <c r="AL10" s="29">
        <v>49.02</v>
      </c>
      <c r="AM10" s="29">
        <v>45.6</v>
      </c>
      <c r="AN10" s="29">
        <v>43.89</v>
      </c>
      <c r="AO10" s="29">
        <v>41.61</v>
      </c>
      <c r="AP10" s="29">
        <v>45.6</v>
      </c>
      <c r="AQ10" s="29">
        <v>40.47</v>
      </c>
      <c r="AR10" s="29">
        <v>48.45</v>
      </c>
      <c r="AS10" s="29">
        <v>47.88</v>
      </c>
    </row>
    <row r="11" spans="1:45">
      <c r="A11" s="9">
        <v>9</v>
      </c>
      <c r="B11" s="13">
        <v>10</v>
      </c>
      <c r="C11" s="13">
        <v>10</v>
      </c>
      <c r="D11" s="11">
        <f t="shared" si="0"/>
        <v>100</v>
      </c>
      <c r="E11" s="13">
        <v>9</v>
      </c>
      <c r="F11" s="26">
        <f t="shared" si="1"/>
        <v>90</v>
      </c>
      <c r="G11" s="26">
        <f t="shared" si="2"/>
        <v>95</v>
      </c>
      <c r="H11" s="26">
        <v>10</v>
      </c>
      <c r="I11" s="9">
        <v>10</v>
      </c>
      <c r="J11" s="26">
        <f t="shared" si="3"/>
        <v>100</v>
      </c>
      <c r="K11" s="26">
        <v>6.1</v>
      </c>
      <c r="L11" s="30">
        <f t="shared" si="4"/>
        <v>61</v>
      </c>
      <c r="M11" s="30">
        <f t="shared" si="5"/>
        <v>80.5</v>
      </c>
      <c r="N11" s="9">
        <v>455.28</v>
      </c>
      <c r="O11" s="9">
        <v>-58.861171599999999</v>
      </c>
      <c r="P11" s="9">
        <v>45.138828400000001</v>
      </c>
      <c r="Q11" s="9">
        <v>-60.398580799999991</v>
      </c>
      <c r="R11" s="9">
        <v>43.601419200000002</v>
      </c>
      <c r="T11" s="13">
        <v>6.3</v>
      </c>
      <c r="U11" s="13">
        <v>6</v>
      </c>
      <c r="V11" s="13">
        <v>6.1</v>
      </c>
      <c r="W11" s="13">
        <v>6.3</v>
      </c>
      <c r="X11" s="13">
        <v>5.5</v>
      </c>
      <c r="Y11" s="13">
        <v>6.6</v>
      </c>
      <c r="Z11" s="13">
        <v>6.8</v>
      </c>
      <c r="AA11" s="13">
        <v>6.1</v>
      </c>
      <c r="AB11" s="13">
        <v>6.4</v>
      </c>
      <c r="AC11" s="31"/>
      <c r="AD11" s="36" t="s">
        <v>526</v>
      </c>
      <c r="AE11" s="31">
        <v>500</v>
      </c>
      <c r="AF11" s="25">
        <v>3.3403888888888879E-2</v>
      </c>
      <c r="AG11" s="13">
        <v>1</v>
      </c>
      <c r="AI11" s="29">
        <v>42.03</v>
      </c>
      <c r="AJ11" s="29">
        <v>42.75</v>
      </c>
      <c r="AK11" s="29">
        <v>41.61</v>
      </c>
      <c r="AL11" s="29">
        <v>39.9</v>
      </c>
      <c r="AM11" s="29">
        <v>41.04</v>
      </c>
      <c r="AN11" s="29">
        <v>41.61</v>
      </c>
      <c r="AO11" s="29">
        <v>36.479999999999997</v>
      </c>
      <c r="AP11" s="29">
        <v>43.32</v>
      </c>
      <c r="AQ11" s="29">
        <v>44.46</v>
      </c>
      <c r="AR11" s="29">
        <v>39.9</v>
      </c>
      <c r="AS11" s="29">
        <v>42.18</v>
      </c>
    </row>
    <row r="12" spans="1:45">
      <c r="A12" s="9">
        <v>10</v>
      </c>
      <c r="B12" s="13">
        <v>10</v>
      </c>
      <c r="C12" s="13">
        <v>9</v>
      </c>
      <c r="D12" s="11">
        <f t="shared" si="0"/>
        <v>90</v>
      </c>
      <c r="E12" s="13">
        <v>4</v>
      </c>
      <c r="F12" s="13">
        <f t="shared" si="1"/>
        <v>44.444444444444443</v>
      </c>
      <c r="G12" s="13">
        <f t="shared" si="2"/>
        <v>67.222222222222229</v>
      </c>
      <c r="H12" s="26">
        <v>10</v>
      </c>
      <c r="I12" s="9">
        <v>9</v>
      </c>
      <c r="J12" s="26">
        <f t="shared" si="3"/>
        <v>90</v>
      </c>
      <c r="K12" s="26">
        <v>5.8</v>
      </c>
      <c r="L12" s="30">
        <f t="shared" si="4"/>
        <v>64.444444444444443</v>
      </c>
      <c r="M12" s="30">
        <f t="shared" si="5"/>
        <v>77.222222222222229</v>
      </c>
      <c r="N12" s="9">
        <v>428.49</v>
      </c>
      <c r="O12" s="9">
        <v>-58.057689849999996</v>
      </c>
      <c r="P12" s="9">
        <v>45.942310149999997</v>
      </c>
      <c r="Q12" s="9">
        <v>-60.249088299999997</v>
      </c>
      <c r="R12" s="9">
        <v>43.750911700000003</v>
      </c>
      <c r="T12" s="13">
        <v>5.9</v>
      </c>
      <c r="U12" s="13">
        <v>5.7</v>
      </c>
      <c r="V12" s="13">
        <v>5.5</v>
      </c>
      <c r="W12" s="13">
        <v>5.7</v>
      </c>
      <c r="X12" s="13">
        <v>5.6</v>
      </c>
      <c r="Y12" s="13">
        <v>5.9</v>
      </c>
      <c r="Z12" s="13">
        <v>6.1</v>
      </c>
      <c r="AA12" s="13">
        <v>5.0999999999999996</v>
      </c>
      <c r="AB12" s="13">
        <v>5.4</v>
      </c>
      <c r="AC12" s="31"/>
      <c r="AD12" s="36" t="s">
        <v>527</v>
      </c>
      <c r="AE12" s="31">
        <v>500</v>
      </c>
      <c r="AF12" s="25">
        <v>3.399722222222222E-2</v>
      </c>
      <c r="AG12" s="13">
        <v>6</v>
      </c>
      <c r="AI12" s="29">
        <v>40.32</v>
      </c>
      <c r="AJ12" s="29">
        <v>39.33</v>
      </c>
      <c r="AK12" s="29">
        <v>41.04</v>
      </c>
      <c r="AL12" s="29">
        <v>39.33</v>
      </c>
      <c r="AM12" s="29">
        <v>38.19</v>
      </c>
      <c r="AN12" s="29">
        <v>39.33</v>
      </c>
      <c r="AO12" s="29">
        <v>38.76</v>
      </c>
      <c r="AP12" s="29">
        <v>40.47</v>
      </c>
      <c r="AQ12" s="29">
        <v>41.04</v>
      </c>
      <c r="AR12" s="29">
        <v>31.35</v>
      </c>
      <c r="AS12" s="29">
        <v>39.33</v>
      </c>
    </row>
    <row r="13" spans="1:45">
      <c r="A13" s="9">
        <v>11</v>
      </c>
      <c r="B13" s="13">
        <v>10</v>
      </c>
      <c r="C13" s="13">
        <v>10</v>
      </c>
      <c r="D13" s="11">
        <f t="shared" si="0"/>
        <v>100</v>
      </c>
      <c r="E13" s="13">
        <v>7</v>
      </c>
      <c r="F13" s="26">
        <f t="shared" si="1"/>
        <v>70</v>
      </c>
      <c r="G13" s="26">
        <f t="shared" si="2"/>
        <v>85</v>
      </c>
      <c r="H13" s="26">
        <v>10</v>
      </c>
      <c r="I13" s="9">
        <v>10</v>
      </c>
      <c r="J13" s="26">
        <f t="shared" si="3"/>
        <v>100</v>
      </c>
      <c r="K13" s="26">
        <v>6.8</v>
      </c>
      <c r="L13" s="30">
        <f t="shared" si="4"/>
        <v>68</v>
      </c>
      <c r="M13" s="30">
        <f t="shared" si="5"/>
        <v>84</v>
      </c>
      <c r="N13" s="9">
        <v>482.06999999999994</v>
      </c>
      <c r="O13" s="9">
        <v>-59.943953950000001</v>
      </c>
      <c r="P13" s="9">
        <v>44.056046050000006</v>
      </c>
      <c r="Q13" s="9">
        <v>-56.723562200000003</v>
      </c>
      <c r="R13" s="9">
        <v>47.276437799999997</v>
      </c>
      <c r="T13" s="13">
        <v>6.7</v>
      </c>
      <c r="U13" s="13">
        <v>6.3</v>
      </c>
      <c r="V13" s="13">
        <v>6.1</v>
      </c>
      <c r="W13" s="13">
        <v>6.8</v>
      </c>
      <c r="X13" s="13">
        <v>5.9</v>
      </c>
      <c r="Y13" s="13">
        <v>6.8</v>
      </c>
      <c r="Z13" s="13">
        <v>6.5</v>
      </c>
      <c r="AA13" s="13">
        <v>6.7</v>
      </c>
      <c r="AB13" s="13">
        <v>6.4</v>
      </c>
      <c r="AC13" s="31"/>
      <c r="AD13" s="36" t="s">
        <v>528</v>
      </c>
      <c r="AE13" s="31">
        <v>500</v>
      </c>
      <c r="AF13" s="25">
        <v>3.1082444444444444E-2</v>
      </c>
      <c r="AG13" s="13">
        <v>3</v>
      </c>
      <c r="AI13" s="29">
        <v>46.02</v>
      </c>
      <c r="AJ13" s="29">
        <v>45.03</v>
      </c>
      <c r="AK13" s="29">
        <v>45.03</v>
      </c>
      <c r="AL13" s="29">
        <v>42.18</v>
      </c>
      <c r="AM13" s="29">
        <v>41.61</v>
      </c>
      <c r="AN13" s="29">
        <v>45.03</v>
      </c>
      <c r="AO13" s="29">
        <v>39.9</v>
      </c>
      <c r="AP13" s="29">
        <v>45.6</v>
      </c>
      <c r="AQ13" s="29">
        <v>43.89</v>
      </c>
      <c r="AR13" s="29">
        <v>45.03</v>
      </c>
      <c r="AS13" s="29">
        <v>42.75</v>
      </c>
    </row>
    <row r="14" spans="1:45">
      <c r="A14" s="9">
        <v>12</v>
      </c>
      <c r="B14" s="13">
        <v>10</v>
      </c>
      <c r="C14" s="13">
        <v>10</v>
      </c>
      <c r="D14" s="11">
        <f t="shared" si="0"/>
        <v>100</v>
      </c>
      <c r="E14" s="13">
        <v>6</v>
      </c>
      <c r="F14" s="26">
        <f t="shared" si="1"/>
        <v>60</v>
      </c>
      <c r="G14" s="26">
        <f t="shared" si="2"/>
        <v>80</v>
      </c>
      <c r="H14" s="26">
        <v>10</v>
      </c>
      <c r="I14" s="9">
        <v>10</v>
      </c>
      <c r="J14" s="26">
        <f t="shared" si="3"/>
        <v>100</v>
      </c>
      <c r="K14" s="26">
        <v>5.9</v>
      </c>
      <c r="L14" s="30">
        <f t="shared" si="4"/>
        <v>59.000000000000007</v>
      </c>
      <c r="M14" s="30">
        <f t="shared" si="5"/>
        <v>79.5</v>
      </c>
      <c r="N14" s="9">
        <v>447.3</v>
      </c>
      <c r="O14" s="9">
        <v>-61.344458750000015</v>
      </c>
      <c r="P14" s="9">
        <v>42.655541249999999</v>
      </c>
      <c r="Q14" s="9">
        <v>-56.515784500000009</v>
      </c>
      <c r="R14" s="9">
        <v>47.484215499999991</v>
      </c>
      <c r="T14" s="13">
        <v>6.2</v>
      </c>
      <c r="U14" s="13">
        <v>5.9</v>
      </c>
      <c r="V14" s="13">
        <v>5.7</v>
      </c>
      <c r="W14" s="13">
        <v>6.1</v>
      </c>
      <c r="X14" s="13">
        <v>6.2</v>
      </c>
      <c r="Y14" s="13">
        <v>6.4</v>
      </c>
      <c r="Z14" s="13">
        <v>6.7</v>
      </c>
      <c r="AA14" s="13">
        <v>6.7</v>
      </c>
      <c r="AB14" s="13">
        <v>6.8</v>
      </c>
      <c r="AC14" s="31"/>
      <c r="AD14" s="36" t="s">
        <v>529</v>
      </c>
      <c r="AE14" s="31">
        <v>500</v>
      </c>
      <c r="AF14" s="25">
        <v>3.1481888888888893E-2</v>
      </c>
      <c r="AG14" s="13">
        <v>4</v>
      </c>
      <c r="AI14" s="29">
        <v>40.89</v>
      </c>
      <c r="AJ14" s="29">
        <v>40.47</v>
      </c>
      <c r="AK14" s="29">
        <v>41.04</v>
      </c>
      <c r="AL14" s="29">
        <v>38.76</v>
      </c>
      <c r="AM14" s="29">
        <v>37.049999999999997</v>
      </c>
      <c r="AN14" s="29">
        <v>39.9</v>
      </c>
      <c r="AO14" s="29">
        <v>39.9</v>
      </c>
      <c r="AP14" s="29">
        <v>41.04</v>
      </c>
      <c r="AQ14" s="29">
        <v>42.75</v>
      </c>
      <c r="AR14" s="29">
        <v>42.18</v>
      </c>
      <c r="AS14" s="29">
        <v>43.32</v>
      </c>
    </row>
    <row r="15" spans="1:45">
      <c r="A15" s="9">
        <v>13</v>
      </c>
      <c r="B15" s="13">
        <v>10</v>
      </c>
      <c r="C15" s="13">
        <v>10</v>
      </c>
      <c r="D15" s="11">
        <f t="shared" si="0"/>
        <v>100</v>
      </c>
      <c r="E15" s="13">
        <v>4</v>
      </c>
      <c r="F15" s="26">
        <f t="shared" si="1"/>
        <v>40</v>
      </c>
      <c r="G15" s="26">
        <f t="shared" si="2"/>
        <v>70</v>
      </c>
      <c r="H15" s="26">
        <v>10</v>
      </c>
      <c r="I15" s="9">
        <v>10</v>
      </c>
      <c r="J15" s="26">
        <f t="shared" si="3"/>
        <v>100</v>
      </c>
      <c r="K15" s="26">
        <v>6.8</v>
      </c>
      <c r="L15" s="30">
        <f t="shared" si="4"/>
        <v>68</v>
      </c>
      <c r="M15" s="30">
        <f t="shared" si="5"/>
        <v>84</v>
      </c>
      <c r="N15" s="9">
        <v>479.79</v>
      </c>
      <c r="O15" s="9">
        <v>-59.360659799999993</v>
      </c>
      <c r="P15" s="9">
        <v>44.639340200000007</v>
      </c>
      <c r="Q15" s="9">
        <v>-58.777764699999999</v>
      </c>
      <c r="R15" s="9">
        <v>45.222235300000001</v>
      </c>
      <c r="T15" s="13">
        <v>6.5</v>
      </c>
      <c r="U15" s="13">
        <v>6.5</v>
      </c>
      <c r="V15" s="13">
        <v>6.4</v>
      </c>
      <c r="W15" s="13">
        <v>6.3</v>
      </c>
      <c r="X15" s="13">
        <v>6.7</v>
      </c>
      <c r="Y15" s="13">
        <v>6.4</v>
      </c>
      <c r="Z15" s="13">
        <v>6.8</v>
      </c>
      <c r="AA15" s="13">
        <v>7</v>
      </c>
      <c r="AB15" s="13">
        <v>7.1</v>
      </c>
      <c r="AC15" s="31"/>
      <c r="AD15" s="36" t="s">
        <v>530</v>
      </c>
      <c r="AE15" s="31">
        <v>500</v>
      </c>
      <c r="AF15" s="25">
        <v>3.1179999999999999E-2</v>
      </c>
      <c r="AG15" s="13">
        <v>6</v>
      </c>
      <c r="AI15" s="29">
        <v>46.02</v>
      </c>
      <c r="AJ15" s="29">
        <v>42.18</v>
      </c>
      <c r="AK15" s="29">
        <v>42.75</v>
      </c>
      <c r="AL15" s="29">
        <v>42.75</v>
      </c>
      <c r="AM15" s="29">
        <v>41.61</v>
      </c>
      <c r="AN15" s="29">
        <v>41.61</v>
      </c>
      <c r="AO15" s="29">
        <v>43.89</v>
      </c>
      <c r="AP15" s="29">
        <v>42.18</v>
      </c>
      <c r="AQ15" s="29">
        <v>45.03</v>
      </c>
      <c r="AR15" s="29">
        <v>45.6</v>
      </c>
      <c r="AS15" s="29">
        <v>46.17</v>
      </c>
    </row>
    <row r="16" spans="1:45">
      <c r="A16" s="9">
        <v>14</v>
      </c>
      <c r="B16" s="13">
        <v>10</v>
      </c>
      <c r="C16" s="13">
        <v>10</v>
      </c>
      <c r="D16" s="11">
        <f t="shared" si="0"/>
        <v>100</v>
      </c>
      <c r="E16" s="13">
        <v>7</v>
      </c>
      <c r="F16" s="26">
        <f t="shared" si="1"/>
        <v>70</v>
      </c>
      <c r="G16" s="26">
        <f t="shared" si="2"/>
        <v>85</v>
      </c>
      <c r="H16" s="26">
        <v>10</v>
      </c>
      <c r="I16" s="9">
        <v>10</v>
      </c>
      <c r="J16" s="26">
        <f t="shared" si="3"/>
        <v>100</v>
      </c>
      <c r="K16" s="26">
        <v>6</v>
      </c>
      <c r="L16" s="30">
        <f t="shared" si="4"/>
        <v>60</v>
      </c>
      <c r="M16" s="30">
        <f t="shared" si="5"/>
        <v>80</v>
      </c>
      <c r="N16" s="9">
        <v>445.59000000000003</v>
      </c>
      <c r="O16" s="9">
        <v>-61.502559300000009</v>
      </c>
      <c r="P16" s="9">
        <v>42.497440699999999</v>
      </c>
      <c r="Q16" s="9">
        <v>-61.156196000000001</v>
      </c>
      <c r="R16" s="9">
        <v>42.843803999999999</v>
      </c>
      <c r="T16" s="13">
        <v>6.5</v>
      </c>
      <c r="U16" s="13">
        <v>6.1</v>
      </c>
      <c r="V16" s="13">
        <v>5</v>
      </c>
      <c r="W16" s="13">
        <v>5.9</v>
      </c>
      <c r="X16" s="13">
        <v>6.2</v>
      </c>
      <c r="Y16" s="13">
        <v>6.4</v>
      </c>
      <c r="Z16" s="13">
        <v>6.5</v>
      </c>
      <c r="AA16" s="13">
        <v>6.1</v>
      </c>
      <c r="AB16" s="13">
        <v>6</v>
      </c>
      <c r="AC16" s="31"/>
      <c r="AD16" s="36" t="s">
        <v>531</v>
      </c>
      <c r="AE16" s="31">
        <v>500</v>
      </c>
      <c r="AF16" s="25">
        <v>3.1184333333333331E-2</v>
      </c>
      <c r="AG16" s="13">
        <v>3</v>
      </c>
      <c r="AI16" s="29">
        <v>41.46</v>
      </c>
      <c r="AJ16" s="29">
        <v>41.61</v>
      </c>
      <c r="AK16" s="29">
        <v>42.18</v>
      </c>
      <c r="AL16" s="29">
        <v>40.47</v>
      </c>
      <c r="AM16" s="29">
        <v>33.06</v>
      </c>
      <c r="AN16" s="29">
        <v>39.9</v>
      </c>
      <c r="AO16" s="29">
        <v>41.04</v>
      </c>
      <c r="AP16" s="29">
        <v>42.18</v>
      </c>
      <c r="AQ16" s="29">
        <v>42.75</v>
      </c>
      <c r="AR16" s="29">
        <v>40.47</v>
      </c>
      <c r="AS16" s="29">
        <v>40.47</v>
      </c>
    </row>
    <row r="17" spans="1:45">
      <c r="A17" s="9">
        <v>15</v>
      </c>
      <c r="B17" s="13">
        <v>10</v>
      </c>
      <c r="C17" s="13">
        <v>10</v>
      </c>
      <c r="D17" s="11">
        <f t="shared" si="0"/>
        <v>100</v>
      </c>
      <c r="E17" s="13">
        <v>5</v>
      </c>
      <c r="F17" s="26">
        <f t="shared" si="1"/>
        <v>50</v>
      </c>
      <c r="G17" s="26">
        <f t="shared" si="2"/>
        <v>75</v>
      </c>
      <c r="H17" s="26">
        <v>10</v>
      </c>
      <c r="I17" s="9">
        <v>10</v>
      </c>
      <c r="J17" s="26">
        <f t="shared" si="3"/>
        <v>100</v>
      </c>
      <c r="K17" s="26">
        <v>6.3</v>
      </c>
      <c r="L17" s="30">
        <f t="shared" si="4"/>
        <v>63</v>
      </c>
      <c r="M17" s="30">
        <f t="shared" si="5"/>
        <v>81.5</v>
      </c>
      <c r="N17" s="9">
        <v>449.58</v>
      </c>
      <c r="O17" s="9">
        <v>-65.125634399999996</v>
      </c>
      <c r="P17" s="9">
        <v>38.87436559999999</v>
      </c>
      <c r="Q17" s="9">
        <v>-64.920661200000012</v>
      </c>
      <c r="R17" s="9">
        <v>39.079338800000002</v>
      </c>
      <c r="T17" s="13">
        <v>6</v>
      </c>
      <c r="U17" s="13">
        <v>6.3</v>
      </c>
      <c r="V17" s="13">
        <v>5.8</v>
      </c>
      <c r="W17" s="13">
        <v>6</v>
      </c>
      <c r="X17" s="13">
        <v>5.2</v>
      </c>
      <c r="Y17" s="13">
        <v>6.7</v>
      </c>
      <c r="Z17" s="13">
        <v>6.4</v>
      </c>
      <c r="AA17" s="13">
        <v>6.5</v>
      </c>
      <c r="AB17" s="13">
        <v>5.9</v>
      </c>
      <c r="AC17" s="31"/>
      <c r="AD17" s="36" t="s">
        <v>532</v>
      </c>
      <c r="AE17" s="31">
        <v>500</v>
      </c>
      <c r="AF17" s="25">
        <v>3.5830222222222222E-2</v>
      </c>
      <c r="AG17" s="13">
        <v>5</v>
      </c>
      <c r="AI17" s="29">
        <v>43.17</v>
      </c>
      <c r="AJ17" s="29">
        <v>39.33</v>
      </c>
      <c r="AK17" s="29">
        <v>41.04</v>
      </c>
      <c r="AL17" s="29">
        <v>42.75</v>
      </c>
      <c r="AM17" s="29">
        <v>38.19</v>
      </c>
      <c r="AN17" s="29">
        <v>40.47</v>
      </c>
      <c r="AO17" s="29">
        <v>35.909999999999997</v>
      </c>
      <c r="AP17" s="29">
        <v>43.89</v>
      </c>
      <c r="AQ17" s="29">
        <v>42.18</v>
      </c>
      <c r="AR17" s="29">
        <v>43.32</v>
      </c>
      <c r="AS17" s="29">
        <v>39.33</v>
      </c>
    </row>
    <row r="18" spans="1:45">
      <c r="A18" s="9">
        <v>16</v>
      </c>
      <c r="B18" s="13">
        <v>10</v>
      </c>
      <c r="C18" s="13">
        <v>10</v>
      </c>
      <c r="D18" s="11">
        <f t="shared" si="0"/>
        <v>100</v>
      </c>
      <c r="E18" s="13">
        <v>7</v>
      </c>
      <c r="F18" s="26">
        <f t="shared" si="1"/>
        <v>70</v>
      </c>
      <c r="G18" s="26">
        <f t="shared" si="2"/>
        <v>85</v>
      </c>
      <c r="H18" s="26">
        <v>10</v>
      </c>
      <c r="I18" s="9">
        <v>10</v>
      </c>
      <c r="J18" s="26">
        <f t="shared" si="3"/>
        <v>100</v>
      </c>
      <c r="K18" s="26">
        <v>5.3</v>
      </c>
      <c r="L18" s="30">
        <f t="shared" si="4"/>
        <v>53</v>
      </c>
      <c r="M18" s="30">
        <f t="shared" si="5"/>
        <v>76.5</v>
      </c>
      <c r="N18" s="9">
        <v>415.38</v>
      </c>
      <c r="O18" s="9">
        <v>-63.043473250000012</v>
      </c>
      <c r="P18" s="9">
        <v>40.956526750000002</v>
      </c>
      <c r="Q18" s="9">
        <v>-68.507651199999998</v>
      </c>
      <c r="R18" s="9">
        <v>35.492348799999995</v>
      </c>
      <c r="T18" s="13">
        <v>5.6</v>
      </c>
      <c r="U18" s="13">
        <v>5.2</v>
      </c>
      <c r="V18" s="13">
        <v>5.5</v>
      </c>
      <c r="W18" s="13">
        <v>5.4</v>
      </c>
      <c r="X18" s="13">
        <v>5.8</v>
      </c>
      <c r="Y18" s="13">
        <v>6</v>
      </c>
      <c r="Z18" s="13">
        <v>5.8</v>
      </c>
      <c r="AA18" s="13">
        <v>6</v>
      </c>
      <c r="AB18" s="13">
        <v>5.7</v>
      </c>
      <c r="AC18" s="31"/>
      <c r="AD18" s="36" t="s">
        <v>533</v>
      </c>
      <c r="AE18" s="31">
        <v>500</v>
      </c>
      <c r="AF18" s="25">
        <v>3.370688888888889E-2</v>
      </c>
      <c r="AG18" s="13">
        <v>3</v>
      </c>
      <c r="AI18" s="29">
        <v>37.47</v>
      </c>
      <c r="AJ18" s="29">
        <v>35.909999999999997</v>
      </c>
      <c r="AK18" s="29">
        <v>37.619999999999997</v>
      </c>
      <c r="AL18" s="29">
        <v>35.909999999999997</v>
      </c>
      <c r="AM18" s="29">
        <v>38.19</v>
      </c>
      <c r="AN18" s="29">
        <v>36.479999999999997</v>
      </c>
      <c r="AO18" s="29">
        <v>38.19</v>
      </c>
      <c r="AP18" s="29">
        <v>40.47</v>
      </c>
      <c r="AQ18" s="29">
        <v>39.33</v>
      </c>
      <c r="AR18" s="29">
        <v>38.76</v>
      </c>
      <c r="AS18" s="29">
        <v>37.049999999999997</v>
      </c>
    </row>
    <row r="19" spans="1:45">
      <c r="A19" s="9">
        <v>17</v>
      </c>
      <c r="B19" s="13">
        <v>10</v>
      </c>
      <c r="C19" s="13">
        <v>10</v>
      </c>
      <c r="D19" s="11">
        <f t="shared" si="0"/>
        <v>100</v>
      </c>
      <c r="E19" s="13">
        <v>6</v>
      </c>
      <c r="F19" s="26">
        <f t="shared" si="1"/>
        <v>60</v>
      </c>
      <c r="G19" s="26">
        <f t="shared" si="2"/>
        <v>80</v>
      </c>
      <c r="H19" s="26">
        <v>10</v>
      </c>
      <c r="I19" s="9">
        <v>10</v>
      </c>
      <c r="J19" s="26">
        <f t="shared" si="3"/>
        <v>100</v>
      </c>
      <c r="K19" s="26">
        <v>7</v>
      </c>
      <c r="L19" s="30">
        <f t="shared" si="4"/>
        <v>70</v>
      </c>
      <c r="M19" s="30">
        <f t="shared" si="5"/>
        <v>85</v>
      </c>
      <c r="N19" s="9">
        <v>506.58000000000004</v>
      </c>
      <c r="O19" s="9">
        <v>-66.967945750000013</v>
      </c>
      <c r="P19" s="9">
        <v>37.032054250000002</v>
      </c>
      <c r="Q19" s="9">
        <v>-65.721307999999993</v>
      </c>
      <c r="R19" s="9">
        <v>38.278691999999999</v>
      </c>
      <c r="T19" s="13">
        <v>7</v>
      </c>
      <c r="U19" s="13">
        <v>6.9</v>
      </c>
      <c r="V19" s="13">
        <v>6.8</v>
      </c>
      <c r="W19" s="13">
        <v>6.9</v>
      </c>
      <c r="X19" s="13">
        <v>7.3</v>
      </c>
      <c r="Y19" s="13">
        <v>7.3</v>
      </c>
      <c r="Z19" s="13">
        <v>7</v>
      </c>
      <c r="AA19" s="13">
        <v>7.1</v>
      </c>
      <c r="AB19" s="13">
        <v>6.1</v>
      </c>
      <c r="AC19" s="31"/>
      <c r="AD19" s="36" t="s">
        <v>534</v>
      </c>
      <c r="AE19" s="31">
        <v>500</v>
      </c>
      <c r="AF19" s="25">
        <v>3.1601999999999991E-2</v>
      </c>
      <c r="AG19" s="13">
        <v>4</v>
      </c>
      <c r="AI19" s="29">
        <v>47.16</v>
      </c>
      <c r="AJ19" s="29">
        <v>46.17</v>
      </c>
      <c r="AK19" s="29">
        <v>46.74</v>
      </c>
      <c r="AL19" s="29">
        <v>45.6</v>
      </c>
      <c r="AM19" s="29">
        <v>45.03</v>
      </c>
      <c r="AN19" s="29">
        <v>46.74</v>
      </c>
      <c r="AO19" s="29">
        <v>47.31</v>
      </c>
      <c r="AP19" s="29">
        <v>48.45</v>
      </c>
      <c r="AQ19" s="29">
        <v>46.17</v>
      </c>
      <c r="AR19" s="29">
        <v>45.6</v>
      </c>
      <c r="AS19" s="29">
        <v>41.61</v>
      </c>
    </row>
    <row r="20" spans="1:45">
      <c r="A20" s="9">
        <v>18</v>
      </c>
      <c r="B20" s="13">
        <v>10</v>
      </c>
      <c r="C20" s="13">
        <v>10</v>
      </c>
      <c r="D20" s="11">
        <f t="shared" si="0"/>
        <v>100</v>
      </c>
      <c r="E20" s="13">
        <v>3</v>
      </c>
      <c r="F20" s="26">
        <f t="shared" si="1"/>
        <v>30</v>
      </c>
      <c r="G20" s="26">
        <f t="shared" si="2"/>
        <v>65</v>
      </c>
      <c r="H20" s="26">
        <v>10</v>
      </c>
      <c r="I20" s="9">
        <v>10</v>
      </c>
      <c r="J20" s="26">
        <f t="shared" si="3"/>
        <v>100</v>
      </c>
      <c r="K20" s="26">
        <v>5.6</v>
      </c>
      <c r="L20" s="30">
        <f t="shared" si="4"/>
        <v>55.999999999999993</v>
      </c>
      <c r="M20" s="30">
        <f t="shared" si="5"/>
        <v>78</v>
      </c>
      <c r="N20" s="9">
        <v>434.76</v>
      </c>
      <c r="O20" s="9">
        <v>-66.639391000000018</v>
      </c>
      <c r="P20" s="9">
        <v>37.360608999999997</v>
      </c>
      <c r="Q20" s="9">
        <v>-65.296674700000011</v>
      </c>
      <c r="R20" s="9">
        <v>38.703325300000003</v>
      </c>
      <c r="T20" s="13">
        <v>6.3</v>
      </c>
      <c r="U20" s="13">
        <v>5.9</v>
      </c>
      <c r="V20" s="13">
        <v>5.7</v>
      </c>
      <c r="W20" s="13">
        <v>5.8</v>
      </c>
      <c r="X20" s="13">
        <v>6.1</v>
      </c>
      <c r="Y20" s="13">
        <v>5.8</v>
      </c>
      <c r="Z20" s="13">
        <v>6.3</v>
      </c>
      <c r="AA20" s="13">
        <v>5.9</v>
      </c>
      <c r="AB20" s="13">
        <v>5.9</v>
      </c>
      <c r="AC20" s="31"/>
      <c r="AD20" s="36" t="s">
        <v>535</v>
      </c>
      <c r="AE20" s="31">
        <v>500</v>
      </c>
      <c r="AF20" s="25">
        <v>3.1068999999999999E-2</v>
      </c>
      <c r="AG20" s="13">
        <v>7</v>
      </c>
      <c r="AI20" s="29">
        <v>39.18</v>
      </c>
      <c r="AJ20" s="29">
        <v>38.19</v>
      </c>
      <c r="AK20" s="29">
        <v>41.61</v>
      </c>
      <c r="AL20" s="29">
        <v>39.33</v>
      </c>
      <c r="AM20" s="29">
        <v>38.19</v>
      </c>
      <c r="AN20" s="29">
        <v>38.19</v>
      </c>
      <c r="AO20" s="29">
        <v>41.61</v>
      </c>
      <c r="AP20" s="29">
        <v>39.9</v>
      </c>
      <c r="AQ20" s="29">
        <v>41.04</v>
      </c>
      <c r="AR20" s="29">
        <v>38.76</v>
      </c>
      <c r="AS20" s="29">
        <v>38.76</v>
      </c>
    </row>
    <row r="21" spans="1:45">
      <c r="A21" s="9">
        <v>19</v>
      </c>
      <c r="B21" s="13">
        <v>10</v>
      </c>
      <c r="C21" s="13">
        <v>10</v>
      </c>
      <c r="D21" s="11">
        <f t="shared" si="0"/>
        <v>100</v>
      </c>
      <c r="E21" s="13">
        <v>4</v>
      </c>
      <c r="F21" s="26">
        <f t="shared" si="1"/>
        <v>40</v>
      </c>
      <c r="G21" s="26">
        <f t="shared" si="2"/>
        <v>70</v>
      </c>
      <c r="H21" s="26">
        <v>10</v>
      </c>
      <c r="I21" s="9">
        <v>10</v>
      </c>
      <c r="J21" s="26">
        <f t="shared" si="3"/>
        <v>100</v>
      </c>
      <c r="K21" s="26">
        <v>5.4</v>
      </c>
      <c r="L21" s="30">
        <f t="shared" si="4"/>
        <v>54</v>
      </c>
      <c r="M21" s="30">
        <f t="shared" si="5"/>
        <v>77</v>
      </c>
      <c r="N21" s="9">
        <v>425.07</v>
      </c>
      <c r="O21" s="9">
        <v>-68.24588399999999</v>
      </c>
      <c r="P21" s="9">
        <v>35.754115999999996</v>
      </c>
      <c r="Q21" s="9">
        <v>-71.536157099999997</v>
      </c>
      <c r="R21" s="9">
        <v>32.463842899999996</v>
      </c>
      <c r="T21" s="13">
        <v>5.9</v>
      </c>
      <c r="U21" s="13">
        <v>5.8</v>
      </c>
      <c r="V21" s="13">
        <v>5.3</v>
      </c>
      <c r="W21" s="13">
        <v>5</v>
      </c>
      <c r="X21" s="13">
        <v>6.2</v>
      </c>
      <c r="Y21" s="13">
        <v>6</v>
      </c>
      <c r="Z21" s="13">
        <v>5.7</v>
      </c>
      <c r="AA21" s="13">
        <v>6.2</v>
      </c>
      <c r="AB21" s="13">
        <v>5.9</v>
      </c>
      <c r="AC21" s="31"/>
      <c r="AD21" s="36" t="s">
        <v>536</v>
      </c>
      <c r="AE21" s="31">
        <v>500</v>
      </c>
      <c r="AF21" s="25">
        <v>3.370522222222222E-2</v>
      </c>
      <c r="AG21" s="13">
        <v>5</v>
      </c>
      <c r="AI21" s="29">
        <v>38.04</v>
      </c>
      <c r="AJ21" s="29">
        <v>39.9</v>
      </c>
      <c r="AK21" s="29">
        <v>39.33</v>
      </c>
      <c r="AL21" s="29">
        <v>38.76</v>
      </c>
      <c r="AM21" s="29">
        <v>35.909999999999997</v>
      </c>
      <c r="AN21" s="29">
        <v>34.200000000000003</v>
      </c>
      <c r="AO21" s="29">
        <v>41.04</v>
      </c>
      <c r="AP21" s="29">
        <v>39.33</v>
      </c>
      <c r="AQ21" s="29">
        <v>38.19</v>
      </c>
      <c r="AR21" s="29">
        <v>41.61</v>
      </c>
      <c r="AS21" s="29">
        <v>38.76</v>
      </c>
    </row>
    <row r="22" spans="1:45">
      <c r="A22" s="9">
        <v>20</v>
      </c>
      <c r="B22" s="13">
        <v>10</v>
      </c>
      <c r="C22" s="13">
        <v>10</v>
      </c>
      <c r="D22" s="11">
        <f t="shared" si="0"/>
        <v>100</v>
      </c>
      <c r="E22" s="13">
        <v>6</v>
      </c>
      <c r="F22" s="26">
        <f t="shared" si="1"/>
        <v>60</v>
      </c>
      <c r="G22" s="26">
        <f t="shared" si="2"/>
        <v>80</v>
      </c>
      <c r="H22" s="26">
        <v>10</v>
      </c>
      <c r="I22" s="9">
        <v>10</v>
      </c>
      <c r="J22" s="26">
        <f t="shared" si="3"/>
        <v>100</v>
      </c>
      <c r="K22" s="26">
        <v>5.0999999999999996</v>
      </c>
      <c r="L22" s="30">
        <f t="shared" si="4"/>
        <v>51</v>
      </c>
      <c r="M22" s="30">
        <f t="shared" si="5"/>
        <v>75.5</v>
      </c>
      <c r="N22" s="9">
        <v>410.81999999999994</v>
      </c>
      <c r="O22" s="9">
        <v>-68.938763949999995</v>
      </c>
      <c r="P22" s="9">
        <v>35.061236050000005</v>
      </c>
      <c r="Q22" s="9">
        <v>-70.04261360000001</v>
      </c>
      <c r="R22" s="9">
        <v>33.957386399999997</v>
      </c>
      <c r="T22" s="13">
        <v>5.8</v>
      </c>
      <c r="U22" s="13">
        <v>5.8</v>
      </c>
      <c r="V22" s="13">
        <v>5.0999999999999996</v>
      </c>
      <c r="W22" s="13">
        <v>5</v>
      </c>
      <c r="X22" s="13">
        <v>5.5</v>
      </c>
      <c r="Y22" s="13">
        <v>5.8</v>
      </c>
      <c r="Z22" s="13">
        <v>6</v>
      </c>
      <c r="AA22" s="13">
        <v>5.0999999999999996</v>
      </c>
      <c r="AB22" s="13">
        <v>6.1</v>
      </c>
      <c r="AC22" s="31"/>
      <c r="AD22" s="36" t="s">
        <v>537</v>
      </c>
      <c r="AE22" s="31">
        <v>500</v>
      </c>
      <c r="AF22" s="25">
        <v>3.3906111111111109E-2</v>
      </c>
      <c r="AG22" s="13">
        <v>3</v>
      </c>
      <c r="AI22" s="29">
        <v>36.33</v>
      </c>
      <c r="AJ22" s="29">
        <v>37.049999999999997</v>
      </c>
      <c r="AK22" s="29">
        <v>38.76</v>
      </c>
      <c r="AL22" s="29">
        <v>38.76</v>
      </c>
      <c r="AM22" s="29">
        <v>34.770000000000003</v>
      </c>
      <c r="AN22" s="29">
        <v>34.200000000000003</v>
      </c>
      <c r="AO22" s="29">
        <v>37.049999999999997</v>
      </c>
      <c r="AP22" s="29">
        <v>38.76</v>
      </c>
      <c r="AQ22" s="29">
        <v>39.9</v>
      </c>
      <c r="AR22" s="29">
        <v>34.770000000000003</v>
      </c>
      <c r="AS22" s="29">
        <v>40.47</v>
      </c>
    </row>
    <row r="23" spans="1:45">
      <c r="A23" s="9">
        <v>21</v>
      </c>
      <c r="B23" s="13">
        <v>10</v>
      </c>
      <c r="C23" s="13">
        <v>10</v>
      </c>
      <c r="D23" s="11">
        <f t="shared" si="0"/>
        <v>100</v>
      </c>
      <c r="E23" s="13">
        <v>3</v>
      </c>
      <c r="F23" s="26">
        <f t="shared" si="1"/>
        <v>30</v>
      </c>
      <c r="G23" s="26">
        <f t="shared" si="2"/>
        <v>65</v>
      </c>
      <c r="H23" s="26">
        <v>10</v>
      </c>
      <c r="I23" s="9">
        <v>10</v>
      </c>
      <c r="J23" s="26">
        <f t="shared" si="3"/>
        <v>100</v>
      </c>
      <c r="K23" s="26">
        <v>5.6</v>
      </c>
      <c r="L23" s="30">
        <f t="shared" si="4"/>
        <v>55.999999999999993</v>
      </c>
      <c r="M23" s="30">
        <f t="shared" si="5"/>
        <v>78</v>
      </c>
      <c r="N23" s="9">
        <v>415.94999999999993</v>
      </c>
      <c r="O23" s="9">
        <v>-70.053254899999999</v>
      </c>
      <c r="P23" s="9">
        <v>33.946745100000001</v>
      </c>
      <c r="Q23" s="9">
        <v>-69.757900599999999</v>
      </c>
      <c r="R23" s="9">
        <v>34.242099400000001</v>
      </c>
      <c r="T23" s="13">
        <v>5.7</v>
      </c>
      <c r="U23" s="13">
        <v>5.6</v>
      </c>
      <c r="V23" s="13">
        <v>5.5</v>
      </c>
      <c r="W23" s="13">
        <v>5.4</v>
      </c>
      <c r="X23" s="13">
        <v>5.2</v>
      </c>
      <c r="Y23" s="13">
        <v>5.7</v>
      </c>
      <c r="Z23" s="13">
        <v>5.7</v>
      </c>
      <c r="AA23" s="13">
        <v>5.8</v>
      </c>
      <c r="AB23" s="13">
        <v>6.1</v>
      </c>
      <c r="AC23" s="31"/>
      <c r="AD23" s="36" t="s">
        <v>538</v>
      </c>
      <c r="AE23" s="31">
        <v>500</v>
      </c>
      <c r="AF23" s="25">
        <v>3.1382444444444442E-2</v>
      </c>
      <c r="AG23" s="13">
        <v>7</v>
      </c>
      <c r="AI23" s="29">
        <v>39.18</v>
      </c>
      <c r="AJ23" s="29">
        <v>36.479999999999997</v>
      </c>
      <c r="AK23" s="29">
        <v>38.76</v>
      </c>
      <c r="AL23" s="29">
        <v>37.049999999999997</v>
      </c>
      <c r="AM23" s="29">
        <v>37.049999999999997</v>
      </c>
      <c r="AN23" s="29">
        <v>36.479999999999997</v>
      </c>
      <c r="AO23" s="29">
        <v>35.340000000000003</v>
      </c>
      <c r="AP23" s="29">
        <v>38.19</v>
      </c>
      <c r="AQ23" s="29">
        <v>38.19</v>
      </c>
      <c r="AR23" s="29">
        <v>38.76</v>
      </c>
      <c r="AS23" s="29">
        <v>40.47</v>
      </c>
    </row>
    <row r="24" spans="1:45">
      <c r="A24" s="9">
        <v>22</v>
      </c>
      <c r="B24" s="13">
        <v>10</v>
      </c>
      <c r="C24" s="13">
        <v>10</v>
      </c>
      <c r="D24" s="11">
        <f t="shared" si="0"/>
        <v>100</v>
      </c>
      <c r="E24" s="13">
        <v>5</v>
      </c>
      <c r="F24" s="26">
        <f t="shared" si="1"/>
        <v>50</v>
      </c>
      <c r="G24" s="26">
        <f t="shared" si="2"/>
        <v>75</v>
      </c>
      <c r="H24" s="26">
        <v>10</v>
      </c>
      <c r="I24" s="9">
        <v>9</v>
      </c>
      <c r="J24" s="26">
        <f t="shared" si="3"/>
        <v>90</v>
      </c>
      <c r="K24" s="26">
        <v>5.7</v>
      </c>
      <c r="L24" s="30">
        <f t="shared" si="4"/>
        <v>63.333333333333329</v>
      </c>
      <c r="M24" s="30">
        <f t="shared" si="5"/>
        <v>76.666666666666657</v>
      </c>
      <c r="N24" s="9">
        <v>424.50000000000006</v>
      </c>
      <c r="O24" s="9">
        <v>-72.623111950000023</v>
      </c>
      <c r="P24" s="9">
        <v>31.376888050000002</v>
      </c>
      <c r="Q24" s="9">
        <v>-67.159042900000003</v>
      </c>
      <c r="R24" s="9">
        <v>36.840957099999997</v>
      </c>
      <c r="T24" s="13">
        <v>6</v>
      </c>
      <c r="U24" s="13">
        <v>6</v>
      </c>
      <c r="V24" s="13">
        <v>5.6</v>
      </c>
      <c r="W24" s="13">
        <v>6</v>
      </c>
      <c r="X24" s="13">
        <v>5.7</v>
      </c>
      <c r="Y24" s="13">
        <v>5.9</v>
      </c>
      <c r="Z24" s="13">
        <v>6.4</v>
      </c>
      <c r="AA24" s="13">
        <v>6.4</v>
      </c>
      <c r="AB24" s="13">
        <v>6.7</v>
      </c>
      <c r="AC24" s="31"/>
      <c r="AD24" s="36" t="s">
        <v>539</v>
      </c>
      <c r="AE24" s="31">
        <v>500</v>
      </c>
      <c r="AF24" s="25">
        <v>3.5927777777777774E-2</v>
      </c>
      <c r="AG24" s="13">
        <v>5</v>
      </c>
      <c r="AI24" s="29">
        <v>39.75</v>
      </c>
      <c r="AJ24" s="29">
        <v>32.49</v>
      </c>
      <c r="AK24" s="29">
        <v>37.619999999999997</v>
      </c>
      <c r="AL24" s="29">
        <v>37.619999999999997</v>
      </c>
      <c r="AM24" s="29">
        <v>35.909999999999997</v>
      </c>
      <c r="AN24" s="29">
        <v>37.619999999999997</v>
      </c>
      <c r="AO24" s="29">
        <v>39.33</v>
      </c>
      <c r="AP24" s="29">
        <v>38.76</v>
      </c>
      <c r="AQ24" s="29">
        <v>42.18</v>
      </c>
      <c r="AR24" s="29">
        <v>41.04</v>
      </c>
      <c r="AS24" s="29">
        <v>42.18</v>
      </c>
    </row>
    <row r="25" spans="1:45">
      <c r="A25" s="9">
        <v>23</v>
      </c>
      <c r="B25" s="13">
        <v>10</v>
      </c>
      <c r="C25" s="13">
        <v>10</v>
      </c>
      <c r="D25" s="11">
        <f t="shared" si="0"/>
        <v>100</v>
      </c>
      <c r="E25" s="13">
        <v>6</v>
      </c>
      <c r="F25" s="26">
        <f t="shared" si="1"/>
        <v>60</v>
      </c>
      <c r="G25" s="26">
        <f t="shared" si="2"/>
        <v>80</v>
      </c>
      <c r="H25" s="26">
        <v>10</v>
      </c>
      <c r="I25" s="9">
        <v>10</v>
      </c>
      <c r="J25" s="26">
        <f t="shared" si="3"/>
        <v>100</v>
      </c>
      <c r="K25" s="26">
        <v>6.3</v>
      </c>
      <c r="L25" s="30">
        <f t="shared" si="4"/>
        <v>63</v>
      </c>
      <c r="M25" s="30">
        <f t="shared" si="5"/>
        <v>81.5</v>
      </c>
      <c r="N25" s="9">
        <v>468.38999999999993</v>
      </c>
      <c r="O25" s="9">
        <v>-70.478888099999992</v>
      </c>
      <c r="P25" s="9">
        <v>33.521111900000008</v>
      </c>
      <c r="Q25" s="9">
        <v>-73.859060800000009</v>
      </c>
      <c r="R25" s="9">
        <v>30.140939200000002</v>
      </c>
      <c r="T25" s="13">
        <v>6.7</v>
      </c>
      <c r="U25" s="13">
        <v>5.8</v>
      </c>
      <c r="V25" s="13">
        <v>6.2</v>
      </c>
      <c r="W25" s="13">
        <v>6.7</v>
      </c>
      <c r="X25" s="13">
        <v>6.9</v>
      </c>
      <c r="Y25" s="13">
        <v>6.6</v>
      </c>
      <c r="Z25" s="13">
        <v>6.1</v>
      </c>
      <c r="AA25" s="13">
        <v>6.5</v>
      </c>
      <c r="AB25" s="13">
        <v>6.6</v>
      </c>
      <c r="AC25" s="31"/>
      <c r="AD25" s="36" t="s">
        <v>540</v>
      </c>
      <c r="AE25" s="31">
        <v>500</v>
      </c>
      <c r="AF25" s="25">
        <v>3.3403777777777775E-2</v>
      </c>
      <c r="AG25" s="13">
        <v>4</v>
      </c>
      <c r="AI25" s="29">
        <v>43.17</v>
      </c>
      <c r="AJ25" s="29">
        <v>43.89</v>
      </c>
      <c r="AK25" s="29">
        <v>43.89</v>
      </c>
      <c r="AL25" s="29">
        <v>38.19</v>
      </c>
      <c r="AM25" s="29">
        <v>41.04</v>
      </c>
      <c r="AN25" s="29">
        <v>43.89</v>
      </c>
      <c r="AO25" s="29">
        <v>44.46</v>
      </c>
      <c r="AP25" s="29">
        <v>43.32</v>
      </c>
      <c r="AQ25" s="29">
        <v>40.47</v>
      </c>
      <c r="AR25" s="29">
        <v>43.32</v>
      </c>
      <c r="AS25" s="29">
        <v>42.75</v>
      </c>
    </row>
    <row r="26" spans="1:45">
      <c r="A26" s="9">
        <v>24</v>
      </c>
      <c r="B26" s="13">
        <v>10</v>
      </c>
      <c r="C26" s="13">
        <v>9</v>
      </c>
      <c r="D26" s="11">
        <f t="shared" si="0"/>
        <v>90</v>
      </c>
      <c r="E26" s="13">
        <v>7</v>
      </c>
      <c r="F26" s="13">
        <f t="shared" si="1"/>
        <v>77.777777777777786</v>
      </c>
      <c r="G26" s="13">
        <f t="shared" si="2"/>
        <v>83.888888888888886</v>
      </c>
      <c r="H26" s="26">
        <v>10</v>
      </c>
      <c r="I26" s="9">
        <v>10</v>
      </c>
      <c r="J26" s="26">
        <f t="shared" si="3"/>
        <v>100</v>
      </c>
      <c r="K26" s="26">
        <v>5.8</v>
      </c>
      <c r="L26" s="30">
        <f t="shared" si="4"/>
        <v>57.999999999999993</v>
      </c>
      <c r="M26" s="30">
        <f t="shared" si="5"/>
        <v>79</v>
      </c>
      <c r="N26" s="9">
        <v>454.14000000000004</v>
      </c>
      <c r="O26" s="9">
        <v>-71.096775350000016</v>
      </c>
      <c r="P26" s="9">
        <v>32.903224649999999</v>
      </c>
      <c r="Q26" s="9">
        <v>-69.419788299999993</v>
      </c>
      <c r="R26" s="9">
        <v>34.580211699999992</v>
      </c>
      <c r="T26" s="13">
        <v>6.2</v>
      </c>
      <c r="U26" s="13">
        <v>6.1</v>
      </c>
      <c r="V26" s="13">
        <v>5.9</v>
      </c>
      <c r="W26" s="13">
        <v>6.4</v>
      </c>
      <c r="X26" s="13">
        <v>6.5</v>
      </c>
      <c r="Y26" s="13">
        <v>6.5</v>
      </c>
      <c r="Z26" s="13">
        <v>6.1</v>
      </c>
      <c r="AA26" s="13">
        <v>6.6</v>
      </c>
      <c r="AB26" s="13">
        <v>6.2</v>
      </c>
      <c r="AC26" s="31"/>
      <c r="AD26" s="36" t="s">
        <v>541</v>
      </c>
      <c r="AE26" s="31">
        <v>500</v>
      </c>
      <c r="AF26" s="25">
        <v>3.1477333333333329E-2</v>
      </c>
      <c r="AG26" s="13">
        <v>2</v>
      </c>
      <c r="AI26" s="29">
        <v>40.32</v>
      </c>
      <c r="AJ26" s="29">
        <v>41.04</v>
      </c>
      <c r="AK26" s="29">
        <v>40.47</v>
      </c>
      <c r="AL26" s="29">
        <v>40.47</v>
      </c>
      <c r="AM26" s="29">
        <v>38.19</v>
      </c>
      <c r="AN26" s="29">
        <v>42.75</v>
      </c>
      <c r="AO26" s="29">
        <v>42.75</v>
      </c>
      <c r="AP26" s="29">
        <v>42.75</v>
      </c>
      <c r="AQ26" s="29">
        <v>40.47</v>
      </c>
      <c r="AR26" s="29">
        <v>43.89</v>
      </c>
      <c r="AS26" s="29">
        <v>41.04</v>
      </c>
    </row>
    <row r="27" spans="1:45">
      <c r="A27" s="9">
        <v>25</v>
      </c>
      <c r="B27" s="13">
        <v>10</v>
      </c>
      <c r="C27" s="13">
        <v>10</v>
      </c>
      <c r="D27" s="11">
        <f t="shared" si="0"/>
        <v>100</v>
      </c>
      <c r="E27" s="13">
        <v>8</v>
      </c>
      <c r="F27" s="26">
        <f t="shared" si="1"/>
        <v>80</v>
      </c>
      <c r="G27" s="26">
        <f t="shared" si="2"/>
        <v>90</v>
      </c>
      <c r="H27" s="26">
        <v>10</v>
      </c>
      <c r="I27" s="9">
        <v>10</v>
      </c>
      <c r="J27" s="26">
        <f t="shared" si="3"/>
        <v>100</v>
      </c>
      <c r="K27" s="26">
        <v>5.2</v>
      </c>
      <c r="L27" s="30">
        <f t="shared" si="4"/>
        <v>52</v>
      </c>
      <c r="M27" s="30">
        <f t="shared" si="5"/>
        <v>76</v>
      </c>
      <c r="N27" s="9">
        <v>411.38999999999987</v>
      </c>
      <c r="O27" s="9">
        <v>-74.987441600000011</v>
      </c>
      <c r="P27" s="9">
        <v>29.0125584</v>
      </c>
      <c r="Q27" s="9">
        <v>-74.216849400000001</v>
      </c>
      <c r="R27" s="9">
        <v>29.783150599999999</v>
      </c>
      <c r="T27" s="13">
        <v>4.9000000000000004</v>
      </c>
      <c r="U27" s="13">
        <v>5.4</v>
      </c>
      <c r="V27" s="13">
        <v>5.4</v>
      </c>
      <c r="W27" s="13">
        <v>5.8</v>
      </c>
      <c r="X27" s="13">
        <v>5.4</v>
      </c>
      <c r="Y27" s="13">
        <v>5.6</v>
      </c>
      <c r="Z27" s="13">
        <v>5.9</v>
      </c>
      <c r="AA27" s="13">
        <v>5.9</v>
      </c>
      <c r="AB27" s="13">
        <v>6</v>
      </c>
      <c r="AC27" s="31"/>
      <c r="AD27" s="36" t="s">
        <v>542</v>
      </c>
      <c r="AE27" s="31">
        <v>500</v>
      </c>
      <c r="AF27" s="25">
        <v>3.1300000000000001E-2</v>
      </c>
      <c r="AG27" s="13">
        <v>2</v>
      </c>
      <c r="AI27" s="29">
        <v>36.9</v>
      </c>
      <c r="AJ27" s="29">
        <v>37.049999999999997</v>
      </c>
      <c r="AK27" s="29">
        <v>33.06</v>
      </c>
      <c r="AL27" s="29">
        <v>36.479999999999997</v>
      </c>
      <c r="AM27" s="29">
        <v>36.479999999999997</v>
      </c>
      <c r="AN27" s="29">
        <v>38.76</v>
      </c>
      <c r="AO27" s="29">
        <v>36.479999999999997</v>
      </c>
      <c r="AP27" s="29">
        <v>37.619999999999997</v>
      </c>
      <c r="AQ27" s="29">
        <v>39.33</v>
      </c>
      <c r="AR27" s="29">
        <v>39.9</v>
      </c>
      <c r="AS27" s="29">
        <v>39.33</v>
      </c>
    </row>
    <row r="28" spans="1:45">
      <c r="A28" s="9">
        <v>26</v>
      </c>
      <c r="B28" s="13">
        <v>10</v>
      </c>
      <c r="C28" s="13">
        <v>10</v>
      </c>
      <c r="D28" s="11">
        <f t="shared" si="0"/>
        <v>100</v>
      </c>
      <c r="E28" s="13">
        <v>8</v>
      </c>
      <c r="F28" s="26">
        <f t="shared" si="1"/>
        <v>80</v>
      </c>
      <c r="G28" s="26">
        <f t="shared" si="2"/>
        <v>90</v>
      </c>
      <c r="H28" s="26">
        <v>10</v>
      </c>
      <c r="I28" s="9">
        <v>10</v>
      </c>
      <c r="J28" s="26">
        <f t="shared" si="3"/>
        <v>100</v>
      </c>
      <c r="K28" s="26">
        <v>6.3</v>
      </c>
      <c r="L28" s="30">
        <f t="shared" si="4"/>
        <v>63</v>
      </c>
      <c r="M28" s="30">
        <f t="shared" si="5"/>
        <v>81.5</v>
      </c>
      <c r="N28" s="9">
        <v>459.84</v>
      </c>
      <c r="O28" s="9">
        <v>-74.054147799999981</v>
      </c>
      <c r="P28" s="9">
        <v>29.945852200000001</v>
      </c>
      <c r="Q28" s="9">
        <v>-76.446225699999999</v>
      </c>
      <c r="R28" s="9">
        <v>27.553774299999997</v>
      </c>
      <c r="T28" s="13">
        <v>5.2</v>
      </c>
      <c r="U28" s="13">
        <v>5.8</v>
      </c>
      <c r="V28" s="13">
        <v>5.8</v>
      </c>
      <c r="W28" s="13">
        <v>5.9</v>
      </c>
      <c r="X28" s="13">
        <v>6.4</v>
      </c>
      <c r="Y28" s="13">
        <v>6.2</v>
      </c>
      <c r="Z28" s="13">
        <v>6</v>
      </c>
      <c r="AA28" s="13">
        <v>6</v>
      </c>
      <c r="AB28" s="13">
        <v>6.4</v>
      </c>
      <c r="AC28" s="31"/>
      <c r="AD28" s="36" t="s">
        <v>543</v>
      </c>
      <c r="AE28" s="31">
        <v>500</v>
      </c>
      <c r="AF28" s="25">
        <v>3.3600888888888888E-2</v>
      </c>
      <c r="AG28" s="13">
        <v>2</v>
      </c>
      <c r="AI28" s="29">
        <v>43.17</v>
      </c>
      <c r="AJ28" s="29">
        <v>42.18</v>
      </c>
      <c r="AK28" s="29">
        <v>34.770000000000003</v>
      </c>
      <c r="AL28" s="29">
        <v>39.9</v>
      </c>
      <c r="AM28" s="29">
        <v>41.04</v>
      </c>
      <c r="AN28" s="29">
        <v>41.04</v>
      </c>
      <c r="AO28" s="29">
        <v>44.46</v>
      </c>
      <c r="AP28" s="29">
        <v>43.89</v>
      </c>
      <c r="AQ28" s="29">
        <v>43.32</v>
      </c>
      <c r="AR28" s="29">
        <v>42.18</v>
      </c>
      <c r="AS28" s="29">
        <v>43.89</v>
      </c>
    </row>
    <row r="29" spans="1:45">
      <c r="A29" s="9">
        <v>27</v>
      </c>
      <c r="B29" s="13">
        <v>10</v>
      </c>
      <c r="C29" s="13">
        <v>10</v>
      </c>
      <c r="D29" s="11">
        <f t="shared" si="0"/>
        <v>100</v>
      </c>
      <c r="E29" s="13">
        <v>8</v>
      </c>
      <c r="F29" s="26">
        <f t="shared" si="1"/>
        <v>80</v>
      </c>
      <c r="G29" s="26">
        <f t="shared" si="2"/>
        <v>90</v>
      </c>
      <c r="H29" s="26">
        <v>10</v>
      </c>
      <c r="I29" s="9">
        <v>10</v>
      </c>
      <c r="J29" s="26">
        <f t="shared" si="3"/>
        <v>100</v>
      </c>
      <c r="K29" s="26">
        <v>5.7</v>
      </c>
      <c r="L29" s="30">
        <f t="shared" si="4"/>
        <v>57.000000000000007</v>
      </c>
      <c r="M29" s="30">
        <f t="shared" si="5"/>
        <v>78.5</v>
      </c>
      <c r="N29" s="9">
        <v>437.60999999999996</v>
      </c>
      <c r="O29" s="9">
        <v>-72.168265950000006</v>
      </c>
      <c r="P29" s="9">
        <v>31.831734049999994</v>
      </c>
      <c r="Q29" s="9">
        <v>-71.868512100000004</v>
      </c>
      <c r="R29" s="9">
        <v>32.131487900000003</v>
      </c>
      <c r="T29" s="13">
        <v>5.6</v>
      </c>
      <c r="U29" s="13">
        <v>5.8</v>
      </c>
      <c r="V29" s="13">
        <v>6</v>
      </c>
      <c r="W29" s="13">
        <v>6.2</v>
      </c>
      <c r="X29" s="13">
        <v>6</v>
      </c>
      <c r="Y29" s="13">
        <v>5.9</v>
      </c>
      <c r="Z29" s="13">
        <v>6.4</v>
      </c>
      <c r="AA29" s="13">
        <v>6</v>
      </c>
      <c r="AB29" s="13">
        <v>6</v>
      </c>
      <c r="AC29" s="31"/>
      <c r="AD29" s="36" t="s">
        <v>544</v>
      </c>
      <c r="AE29" s="31">
        <v>500</v>
      </c>
      <c r="AF29" s="25">
        <v>3.3406666666666668E-2</v>
      </c>
      <c r="AG29" s="13">
        <v>2</v>
      </c>
      <c r="AI29" s="29">
        <v>39.75</v>
      </c>
      <c r="AJ29" s="29">
        <v>40.47</v>
      </c>
      <c r="AK29" s="29">
        <v>36.479999999999997</v>
      </c>
      <c r="AL29" s="29">
        <v>38.76</v>
      </c>
      <c r="AM29" s="29">
        <v>39.9</v>
      </c>
      <c r="AN29" s="29">
        <v>41.04</v>
      </c>
      <c r="AO29" s="29">
        <v>40.47</v>
      </c>
      <c r="AP29" s="29">
        <v>39.33</v>
      </c>
      <c r="AQ29" s="29">
        <v>42.18</v>
      </c>
      <c r="AR29" s="29">
        <v>39.33</v>
      </c>
      <c r="AS29" s="29">
        <v>39.9</v>
      </c>
    </row>
    <row r="30" spans="1:45">
      <c r="A30" s="9">
        <v>28</v>
      </c>
      <c r="B30" s="13">
        <v>10</v>
      </c>
      <c r="C30" s="13">
        <v>10</v>
      </c>
      <c r="D30" s="11">
        <f t="shared" si="0"/>
        <v>100</v>
      </c>
      <c r="E30" s="13">
        <v>2</v>
      </c>
      <c r="F30" s="26">
        <f t="shared" si="1"/>
        <v>20</v>
      </c>
      <c r="G30" s="26">
        <f t="shared" si="2"/>
        <v>60</v>
      </c>
      <c r="H30" s="26">
        <v>10</v>
      </c>
      <c r="I30" s="9">
        <v>10</v>
      </c>
      <c r="J30" s="26">
        <f t="shared" si="3"/>
        <v>100</v>
      </c>
      <c r="K30" s="26">
        <v>5.9</v>
      </c>
      <c r="L30" s="30">
        <f t="shared" si="4"/>
        <v>59.000000000000007</v>
      </c>
      <c r="M30" s="30">
        <f t="shared" si="5"/>
        <v>79.5</v>
      </c>
      <c r="N30" s="9">
        <v>401.7</v>
      </c>
      <c r="O30" s="9">
        <v>-73.17920135</v>
      </c>
      <c r="P30" s="9">
        <v>30.82079865</v>
      </c>
      <c r="Q30" s="9">
        <v>-73.757290399999974</v>
      </c>
      <c r="R30" s="9">
        <v>30.242709599999994</v>
      </c>
      <c r="T30" s="13">
        <v>4.4000000000000004</v>
      </c>
      <c r="U30" s="13">
        <v>5</v>
      </c>
      <c r="V30" s="13">
        <v>5.3</v>
      </c>
      <c r="W30" s="13">
        <v>5.3</v>
      </c>
      <c r="X30" s="13">
        <v>5.8</v>
      </c>
      <c r="Y30" s="13">
        <v>5.5</v>
      </c>
      <c r="Z30" s="13">
        <v>5.9</v>
      </c>
      <c r="AA30" s="13">
        <v>5.5</v>
      </c>
      <c r="AB30" s="13">
        <v>5.9</v>
      </c>
      <c r="AC30" s="31"/>
      <c r="AD30" s="36" t="s">
        <v>545</v>
      </c>
      <c r="AE30" s="31">
        <v>500</v>
      </c>
      <c r="AF30" s="25">
        <v>3.1484666666666668E-2</v>
      </c>
      <c r="AG30" s="13">
        <v>8</v>
      </c>
      <c r="AI30" s="29">
        <v>40.89</v>
      </c>
      <c r="AJ30" s="29">
        <v>34.200000000000003</v>
      </c>
      <c r="AK30" s="29">
        <v>30.21</v>
      </c>
      <c r="AL30" s="29">
        <v>34.200000000000003</v>
      </c>
      <c r="AM30" s="29">
        <v>35.340000000000003</v>
      </c>
      <c r="AN30" s="29">
        <v>35.909999999999997</v>
      </c>
      <c r="AO30" s="29">
        <v>38.19</v>
      </c>
      <c r="AP30" s="29">
        <v>37.049999999999997</v>
      </c>
      <c r="AQ30" s="29">
        <v>39.33</v>
      </c>
      <c r="AR30" s="29">
        <v>37.619999999999997</v>
      </c>
      <c r="AS30" s="29">
        <v>38.76</v>
      </c>
    </row>
    <row r="31" spans="1:45">
      <c r="A31" s="9">
        <v>29</v>
      </c>
      <c r="B31" s="13">
        <v>10</v>
      </c>
      <c r="C31" s="13">
        <v>10</v>
      </c>
      <c r="D31" s="11">
        <f t="shared" si="0"/>
        <v>100</v>
      </c>
      <c r="E31" s="13">
        <v>4</v>
      </c>
      <c r="F31" s="26">
        <f t="shared" si="1"/>
        <v>40</v>
      </c>
      <c r="G31" s="26">
        <f t="shared" si="2"/>
        <v>70</v>
      </c>
      <c r="H31" s="26">
        <v>10</v>
      </c>
      <c r="I31" s="9">
        <v>9</v>
      </c>
      <c r="J31" s="26">
        <f t="shared" si="3"/>
        <v>90</v>
      </c>
      <c r="K31" s="26">
        <v>6.3</v>
      </c>
      <c r="L31" s="30">
        <f t="shared" si="4"/>
        <v>70</v>
      </c>
      <c r="M31" s="30">
        <f t="shared" si="5"/>
        <v>80</v>
      </c>
      <c r="N31" s="9">
        <v>439.32000000000005</v>
      </c>
      <c r="O31" s="9">
        <v>-75.67549855</v>
      </c>
      <c r="P31" s="9">
        <v>28.324501450000003</v>
      </c>
      <c r="Q31" s="9">
        <v>-75.140902100000005</v>
      </c>
      <c r="R31" s="9">
        <v>28.859097899999995</v>
      </c>
      <c r="T31" s="13">
        <v>6</v>
      </c>
      <c r="U31" s="13">
        <v>5.7</v>
      </c>
      <c r="V31" s="13">
        <v>4.9000000000000004</v>
      </c>
      <c r="W31" s="13">
        <v>6</v>
      </c>
      <c r="X31" s="13">
        <v>6.5</v>
      </c>
      <c r="Y31" s="13">
        <v>6.4</v>
      </c>
      <c r="Z31" s="13">
        <v>6.3</v>
      </c>
      <c r="AA31" s="13">
        <v>6.3</v>
      </c>
      <c r="AB31" s="13">
        <v>6.4</v>
      </c>
      <c r="AC31" s="31"/>
      <c r="AD31" s="36" t="s">
        <v>546</v>
      </c>
      <c r="AE31" s="31">
        <v>500</v>
      </c>
      <c r="AF31" s="25">
        <v>3.1800999999999996E-2</v>
      </c>
      <c r="AG31" s="13">
        <v>6</v>
      </c>
      <c r="AI31" s="29">
        <v>43.17</v>
      </c>
      <c r="AJ31" s="29">
        <v>34.200000000000003</v>
      </c>
      <c r="AK31" s="29">
        <v>39.9</v>
      </c>
      <c r="AL31" s="29">
        <v>38.19</v>
      </c>
      <c r="AM31" s="29">
        <v>33.06</v>
      </c>
      <c r="AN31" s="29">
        <v>40.47</v>
      </c>
      <c r="AO31" s="29">
        <v>42.75</v>
      </c>
      <c r="AP31" s="29">
        <v>42.18</v>
      </c>
      <c r="AQ31" s="29">
        <v>41.61</v>
      </c>
      <c r="AR31" s="29">
        <v>41.61</v>
      </c>
      <c r="AS31" s="29">
        <v>42.18</v>
      </c>
    </row>
    <row r="32" spans="1:45">
      <c r="A32" s="9">
        <v>30</v>
      </c>
      <c r="B32" s="13">
        <v>10</v>
      </c>
      <c r="C32" s="13">
        <v>10</v>
      </c>
      <c r="D32" s="11">
        <f t="shared" si="0"/>
        <v>100</v>
      </c>
      <c r="E32" s="13">
        <v>5</v>
      </c>
      <c r="F32" s="26">
        <f t="shared" si="1"/>
        <v>50</v>
      </c>
      <c r="G32" s="26">
        <f t="shared" si="2"/>
        <v>75</v>
      </c>
      <c r="H32" s="26">
        <v>10</v>
      </c>
      <c r="I32" s="9">
        <v>9</v>
      </c>
      <c r="J32" s="26">
        <f t="shared" si="3"/>
        <v>90</v>
      </c>
      <c r="K32" s="26">
        <v>5.5</v>
      </c>
      <c r="L32" s="30">
        <f t="shared" si="4"/>
        <v>61.111111111111114</v>
      </c>
      <c r="M32" s="30">
        <f t="shared" si="5"/>
        <v>75.555555555555557</v>
      </c>
      <c r="N32" s="9">
        <v>388.59000000000003</v>
      </c>
      <c r="O32" s="9">
        <v>-72.254774949999998</v>
      </c>
      <c r="P32" s="9">
        <v>31.745225049999998</v>
      </c>
      <c r="Q32" s="9">
        <v>-63.154716399999984</v>
      </c>
      <c r="R32" s="9">
        <v>40.845283600000002</v>
      </c>
      <c r="T32" s="13">
        <v>4.4000000000000004</v>
      </c>
      <c r="U32" s="13">
        <v>3.6</v>
      </c>
      <c r="V32" s="13">
        <v>4.7</v>
      </c>
      <c r="W32" s="13">
        <v>5.7</v>
      </c>
      <c r="X32" s="13">
        <v>6.2</v>
      </c>
      <c r="Y32" s="13">
        <v>5.8</v>
      </c>
      <c r="Z32" s="13">
        <v>6.3</v>
      </c>
      <c r="AA32" s="13">
        <v>6.2</v>
      </c>
      <c r="AB32" s="13">
        <v>5.6</v>
      </c>
      <c r="AC32" s="31"/>
      <c r="AD32" s="36" t="s">
        <v>547</v>
      </c>
      <c r="AE32" s="31">
        <v>500</v>
      </c>
      <c r="AF32" s="25">
        <v>3.3897111111111114E-2</v>
      </c>
      <c r="AG32" s="13">
        <v>5</v>
      </c>
      <c r="AI32" s="29">
        <v>38.61</v>
      </c>
      <c r="AJ32" s="29">
        <v>31.35</v>
      </c>
      <c r="AK32" s="29">
        <v>29.64</v>
      </c>
      <c r="AL32" s="29">
        <v>24.51</v>
      </c>
      <c r="AM32" s="29">
        <v>31.35</v>
      </c>
      <c r="AN32" s="29">
        <v>37.049999999999997</v>
      </c>
      <c r="AO32" s="29">
        <v>39.9</v>
      </c>
      <c r="AP32" s="29">
        <v>38.19</v>
      </c>
      <c r="AQ32" s="29">
        <v>40.47</v>
      </c>
      <c r="AR32" s="29">
        <v>39.33</v>
      </c>
      <c r="AS32" s="29">
        <v>38.19</v>
      </c>
    </row>
    <row r="33" spans="1:34">
      <c r="B33" s="11"/>
      <c r="C33" s="11"/>
      <c r="D33" s="11"/>
      <c r="E33" s="11"/>
      <c r="F33" s="76">
        <f>AVERAGE(F4:F32)</f>
        <v>55.05747126436782</v>
      </c>
      <c r="G33" s="76">
        <f>AVERAGE(G4:G32)</f>
        <v>77.011494252873547</v>
      </c>
      <c r="L33" s="76">
        <f>AVERAGE(L4:L32)</f>
        <v>60.360153256704976</v>
      </c>
      <c r="M33" s="76">
        <f>AVERAGE(M4:M32)</f>
        <v>79.145593869731812</v>
      </c>
    </row>
    <row r="34" spans="1:34">
      <c r="A34" s="26"/>
      <c r="B34" s="26"/>
      <c r="C34" s="26"/>
      <c r="D34" s="26"/>
      <c r="E34" s="26"/>
      <c r="G34" s="29"/>
    </row>
    <row r="35" spans="1:34">
      <c r="F35" s="29"/>
      <c r="G35" s="29"/>
      <c r="AD35" s="90" t="s">
        <v>785</v>
      </c>
      <c r="AE35" s="90"/>
      <c r="AF35" s="90"/>
      <c r="AG35" s="90"/>
    </row>
    <row r="36" spans="1:34">
      <c r="F36" s="29"/>
      <c r="G36" s="29"/>
      <c r="AD36" s="86" t="s">
        <v>558</v>
      </c>
      <c r="AE36" s="86"/>
      <c r="AF36" s="86"/>
      <c r="AG36" s="86"/>
      <c r="AH36" s="86"/>
    </row>
    <row r="37" spans="1:34">
      <c r="F37" s="29"/>
      <c r="G37" s="29"/>
      <c r="AD37" s="40" t="s">
        <v>559</v>
      </c>
      <c r="AE37" s="40"/>
      <c r="AF37" s="40"/>
      <c r="AG37" s="40"/>
      <c r="AH37" s="40"/>
    </row>
    <row r="38" spans="1:34">
      <c r="F38" s="29"/>
      <c r="G38" s="29"/>
      <c r="AD38" s="86" t="s">
        <v>560</v>
      </c>
      <c r="AE38" s="86"/>
      <c r="AF38" s="86"/>
      <c r="AG38" s="86"/>
      <c r="AH38" s="86"/>
    </row>
    <row r="39" spans="1:34">
      <c r="F39" s="29"/>
      <c r="G39" s="29"/>
      <c r="AD39" s="40" t="s">
        <v>561</v>
      </c>
      <c r="AE39" s="40"/>
      <c r="AF39" s="40"/>
      <c r="AG39" s="40"/>
      <c r="AH39" s="40"/>
    </row>
    <row r="40" spans="1:34">
      <c r="F40" s="29"/>
      <c r="G40" s="29"/>
      <c r="AD40" s="86" t="s">
        <v>562</v>
      </c>
      <c r="AE40" s="86"/>
      <c r="AF40" s="86"/>
      <c r="AG40" s="86"/>
      <c r="AH40" s="86"/>
    </row>
    <row r="41" spans="1:34">
      <c r="F41" s="29"/>
      <c r="G41" s="29"/>
      <c r="AD41" s="40" t="s">
        <v>563</v>
      </c>
      <c r="AE41" s="40"/>
      <c r="AF41" s="40"/>
      <c r="AG41" s="40"/>
      <c r="AH41" s="40"/>
    </row>
    <row r="42" spans="1:34">
      <c r="F42" s="29"/>
      <c r="G42" s="29"/>
      <c r="AD42" s="40" t="s">
        <v>564</v>
      </c>
      <c r="AE42" s="40"/>
      <c r="AF42" s="40"/>
      <c r="AG42" s="40"/>
      <c r="AH42" s="40"/>
    </row>
    <row r="43" spans="1:34">
      <c r="F43" s="29"/>
      <c r="G43" s="29"/>
      <c r="AD43" s="86" t="s">
        <v>565</v>
      </c>
      <c r="AE43" s="86"/>
      <c r="AF43" s="86"/>
      <c r="AG43" s="86"/>
      <c r="AH43" s="86"/>
    </row>
    <row r="44" spans="1:34">
      <c r="F44" s="29"/>
      <c r="G44" s="29"/>
      <c r="AD44" s="40" t="s">
        <v>566</v>
      </c>
      <c r="AE44" s="40"/>
      <c r="AF44" s="40"/>
      <c r="AG44" s="40"/>
      <c r="AH44" s="40"/>
    </row>
    <row r="45" spans="1:34">
      <c r="F45" s="29"/>
      <c r="G45" s="29"/>
      <c r="AD45" s="86" t="s">
        <v>567</v>
      </c>
      <c r="AE45" s="86"/>
      <c r="AF45" s="86"/>
      <c r="AG45" s="86"/>
      <c r="AH45" s="86"/>
    </row>
    <row r="46" spans="1:34">
      <c r="F46" s="29"/>
      <c r="G46" s="29"/>
      <c r="AD46" s="40" t="s">
        <v>568</v>
      </c>
      <c r="AE46" s="40"/>
      <c r="AF46" s="40"/>
      <c r="AG46" s="40"/>
      <c r="AH46" s="40"/>
    </row>
    <row r="47" spans="1:34">
      <c r="F47" s="29"/>
      <c r="G47" s="29"/>
      <c r="AD47" s="86" t="s">
        <v>569</v>
      </c>
      <c r="AE47" s="86"/>
      <c r="AF47" s="86"/>
      <c r="AG47" s="86"/>
      <c r="AH47" s="86"/>
    </row>
    <row r="48" spans="1:34">
      <c r="F48" s="29"/>
      <c r="G48" s="29"/>
      <c r="AD48" s="40" t="s">
        <v>570</v>
      </c>
      <c r="AE48" s="40"/>
      <c r="AF48" s="40"/>
      <c r="AG48" s="40"/>
      <c r="AH48" s="40"/>
    </row>
    <row r="49" spans="2:34">
      <c r="F49" s="29"/>
      <c r="G49" s="29"/>
      <c r="AD49" s="86" t="s">
        <v>571</v>
      </c>
      <c r="AE49" s="86"/>
      <c r="AF49" s="86"/>
      <c r="AG49" s="86"/>
      <c r="AH49" s="86"/>
    </row>
    <row r="50" spans="2:34">
      <c r="B50" s="24" t="s">
        <v>507</v>
      </c>
      <c r="F50" s="29"/>
      <c r="G50" s="24" t="s">
        <v>508</v>
      </c>
      <c r="L50" s="24" t="s">
        <v>509</v>
      </c>
      <c r="Q50" s="24" t="s">
        <v>510</v>
      </c>
      <c r="AD50" s="40" t="s">
        <v>572</v>
      </c>
      <c r="AE50" s="40"/>
      <c r="AF50" s="40"/>
      <c r="AG50" s="40"/>
      <c r="AH50" s="40"/>
    </row>
    <row r="51" spans="2:34">
      <c r="F51" s="29"/>
      <c r="G51" s="29"/>
      <c r="AD51" s="86" t="s">
        <v>573</v>
      </c>
      <c r="AE51" s="86"/>
      <c r="AF51" s="86"/>
      <c r="AG51" s="86"/>
      <c r="AH51" s="86"/>
    </row>
    <row r="52" spans="2:34">
      <c r="F52" s="29"/>
      <c r="G52" s="29"/>
      <c r="AD52" s="40" t="s">
        <v>574</v>
      </c>
      <c r="AE52" s="40"/>
      <c r="AF52" s="40"/>
      <c r="AG52" s="40"/>
      <c r="AH52" s="40"/>
    </row>
    <row r="53" spans="2:34">
      <c r="F53" s="29"/>
      <c r="G53" s="29"/>
      <c r="AD53" s="86" t="s">
        <v>575</v>
      </c>
      <c r="AE53" s="86"/>
      <c r="AF53" s="86"/>
      <c r="AG53" s="86"/>
      <c r="AH53" s="86"/>
    </row>
    <row r="54" spans="2:34">
      <c r="F54" s="29"/>
      <c r="G54" s="29"/>
      <c r="AD54" s="40" t="s">
        <v>576</v>
      </c>
      <c r="AE54" s="40"/>
      <c r="AF54" s="40"/>
      <c r="AG54" s="40"/>
      <c r="AH54" s="40"/>
    </row>
    <row r="55" spans="2:34">
      <c r="F55" s="29"/>
      <c r="G55" s="29"/>
      <c r="AD55" s="40" t="s">
        <v>577</v>
      </c>
      <c r="AE55" s="40"/>
      <c r="AF55" s="40"/>
      <c r="AG55" s="40"/>
      <c r="AH55" s="40"/>
    </row>
    <row r="56" spans="2:34">
      <c r="F56" s="29"/>
      <c r="G56" s="29"/>
      <c r="AD56" s="86" t="s">
        <v>578</v>
      </c>
      <c r="AE56" s="86"/>
      <c r="AF56" s="86"/>
      <c r="AG56" s="86"/>
      <c r="AH56" s="86"/>
    </row>
    <row r="57" spans="2:34">
      <c r="F57" s="29"/>
      <c r="G57" s="29"/>
      <c r="AD57" s="40" t="s">
        <v>579</v>
      </c>
      <c r="AE57" s="40"/>
      <c r="AF57" s="40"/>
      <c r="AG57" s="40"/>
      <c r="AH57" s="40"/>
    </row>
    <row r="58" spans="2:34">
      <c r="F58" s="29"/>
      <c r="G58" s="29"/>
      <c r="AD58" s="40" t="s">
        <v>580</v>
      </c>
      <c r="AE58" s="40"/>
      <c r="AF58" s="40"/>
      <c r="AG58" s="40"/>
      <c r="AH58" s="40"/>
    </row>
    <row r="59" spans="2:34">
      <c r="F59" s="29"/>
      <c r="G59" s="29"/>
      <c r="AD59" s="40" t="s">
        <v>581</v>
      </c>
      <c r="AE59" s="40"/>
      <c r="AF59" s="40"/>
      <c r="AG59" s="40"/>
      <c r="AH59" s="40"/>
    </row>
    <row r="60" spans="2:34">
      <c r="F60" s="29"/>
      <c r="G60" s="29"/>
      <c r="AD60" s="40" t="s">
        <v>582</v>
      </c>
      <c r="AE60" s="40"/>
      <c r="AF60" s="40"/>
      <c r="AG60" s="40"/>
      <c r="AH60" s="40"/>
    </row>
    <row r="61" spans="2:34">
      <c r="F61" s="29"/>
      <c r="G61" s="29"/>
      <c r="AD61" s="40" t="s">
        <v>583</v>
      </c>
      <c r="AE61" s="40"/>
      <c r="AF61" s="40"/>
      <c r="AG61" s="40"/>
      <c r="AH61" s="40"/>
    </row>
    <row r="62" spans="2:34">
      <c r="F62" s="29"/>
      <c r="G62" s="29"/>
      <c r="AD62" s="40" t="s">
        <v>584</v>
      </c>
      <c r="AE62" s="40"/>
      <c r="AF62" s="40"/>
      <c r="AG62" s="40"/>
      <c r="AH62" s="40"/>
    </row>
    <row r="63" spans="2:34">
      <c r="F63" s="29"/>
      <c r="G63" s="29"/>
      <c r="AD63" s="86" t="s">
        <v>585</v>
      </c>
      <c r="AE63" s="86"/>
      <c r="AF63" s="86"/>
      <c r="AG63" s="86"/>
      <c r="AH63" s="86"/>
    </row>
    <row r="64" spans="2:34">
      <c r="AD64" s="40" t="s">
        <v>586</v>
      </c>
      <c r="AE64" s="40"/>
      <c r="AF64" s="40"/>
      <c r="AG64" s="40"/>
      <c r="AH64" s="40"/>
    </row>
    <row r="65" spans="2:34">
      <c r="AD65" s="40" t="s">
        <v>587</v>
      </c>
      <c r="AE65" s="40"/>
      <c r="AF65" s="40"/>
      <c r="AG65" s="40"/>
      <c r="AH65" s="40"/>
    </row>
    <row r="66" spans="2:34">
      <c r="AD66" s="86" t="s">
        <v>588</v>
      </c>
      <c r="AE66" s="86"/>
      <c r="AF66" s="86"/>
      <c r="AG66" s="86"/>
      <c r="AH66" s="86"/>
    </row>
    <row r="67" spans="2:34">
      <c r="L67" s="24" t="s">
        <v>513</v>
      </c>
      <c r="Q67" s="24" t="s">
        <v>514</v>
      </c>
      <c r="AD67" s="40" t="s">
        <v>589</v>
      </c>
      <c r="AE67" s="40"/>
      <c r="AF67" s="40"/>
      <c r="AG67" s="40"/>
      <c r="AH67" s="40"/>
    </row>
    <row r="68" spans="2:34">
      <c r="B68" s="24" t="s">
        <v>511</v>
      </c>
      <c r="G68" s="24" t="s">
        <v>512</v>
      </c>
      <c r="AD68" s="86" t="s">
        <v>590</v>
      </c>
      <c r="AE68" s="86"/>
      <c r="AF68" s="86"/>
      <c r="AG68" s="86"/>
      <c r="AH68" s="86"/>
    </row>
    <row r="69" spans="2:34">
      <c r="AD69" s="40" t="s">
        <v>591</v>
      </c>
      <c r="AE69" s="40"/>
      <c r="AF69" s="40"/>
      <c r="AG69" s="40"/>
      <c r="AH69" s="40"/>
    </row>
    <row r="70" spans="2:34">
      <c r="AD70" s="86" t="s">
        <v>592</v>
      </c>
      <c r="AE70" s="86"/>
      <c r="AF70" s="86"/>
      <c r="AG70" s="86"/>
      <c r="AH70" s="86"/>
    </row>
    <row r="71" spans="2:34">
      <c r="AD71" s="40" t="s">
        <v>593</v>
      </c>
      <c r="AE71" s="40"/>
      <c r="AF71" s="40"/>
      <c r="AG71" s="40"/>
      <c r="AH71" s="40"/>
    </row>
    <row r="72" spans="2:34">
      <c r="AD72" s="86" t="s">
        <v>594</v>
      </c>
      <c r="AE72" s="86"/>
      <c r="AF72" s="86"/>
      <c r="AG72" s="86"/>
      <c r="AH72" s="86"/>
    </row>
    <row r="73" spans="2:34">
      <c r="AD73" s="40" t="s">
        <v>595</v>
      </c>
      <c r="AE73" s="40"/>
      <c r="AF73" s="40"/>
      <c r="AG73" s="40"/>
      <c r="AH73" s="40"/>
    </row>
    <row r="74" spans="2:34">
      <c r="AD74" s="40" t="s">
        <v>596</v>
      </c>
      <c r="AE74" s="40"/>
      <c r="AF74" s="40"/>
      <c r="AG74" s="40"/>
      <c r="AH74" s="40"/>
    </row>
    <row r="75" spans="2:34">
      <c r="AD75" s="40" t="s">
        <v>597</v>
      </c>
      <c r="AE75" s="40"/>
      <c r="AF75" s="40"/>
      <c r="AG75" s="40"/>
      <c r="AH75" s="40"/>
    </row>
    <row r="76" spans="2:34">
      <c r="AD76" s="86" t="s">
        <v>598</v>
      </c>
      <c r="AE76" s="86"/>
      <c r="AF76" s="86"/>
      <c r="AG76" s="86"/>
      <c r="AH76" s="86"/>
    </row>
    <row r="77" spans="2:34">
      <c r="AD77" s="40" t="s">
        <v>599</v>
      </c>
      <c r="AE77" s="40"/>
      <c r="AF77" s="40"/>
      <c r="AG77" s="40"/>
      <c r="AH77" s="40"/>
    </row>
    <row r="78" spans="2:34">
      <c r="AD78" s="40" t="s">
        <v>600</v>
      </c>
      <c r="AE78" s="40"/>
      <c r="AF78" s="40"/>
      <c r="AG78" s="40"/>
      <c r="AH78" s="40"/>
    </row>
    <row r="79" spans="2:34">
      <c r="AD79" s="86" t="s">
        <v>601</v>
      </c>
      <c r="AE79" s="86"/>
      <c r="AF79" s="86"/>
      <c r="AG79" s="86"/>
      <c r="AH79" s="86"/>
    </row>
    <row r="80" spans="2:34">
      <c r="AD80" s="40" t="s">
        <v>602</v>
      </c>
      <c r="AE80" s="40"/>
      <c r="AF80" s="40"/>
      <c r="AG80" s="40"/>
      <c r="AH80" s="40"/>
    </row>
    <row r="81" spans="30:34">
      <c r="AD81" s="40" t="s">
        <v>603</v>
      </c>
      <c r="AE81" s="40"/>
      <c r="AF81" s="40"/>
      <c r="AG81" s="40"/>
      <c r="AH81" s="40"/>
    </row>
    <row r="82" spans="30:34">
      <c r="AD82" s="40" t="s">
        <v>604</v>
      </c>
      <c r="AE82" s="40"/>
      <c r="AF82" s="40"/>
      <c r="AG82" s="40"/>
      <c r="AH82" s="40"/>
    </row>
    <row r="83" spans="30:34">
      <c r="AD83" s="40" t="s">
        <v>605</v>
      </c>
      <c r="AE83" s="40"/>
      <c r="AF83" s="40"/>
      <c r="AG83" s="40"/>
      <c r="AH83" s="40"/>
    </row>
    <row r="84" spans="30:34">
      <c r="AD84" s="40" t="s">
        <v>606</v>
      </c>
      <c r="AE84" s="40"/>
      <c r="AF84" s="40"/>
      <c r="AG84" s="40"/>
      <c r="AH84" s="40"/>
    </row>
    <row r="85" spans="30:34">
      <c r="AD85" s="40" t="s">
        <v>607</v>
      </c>
      <c r="AE85" s="40"/>
      <c r="AF85" s="40"/>
      <c r="AG85" s="40"/>
      <c r="AH85" s="40"/>
    </row>
    <row r="86" spans="30:34">
      <c r="AD86" s="40" t="s">
        <v>608</v>
      </c>
      <c r="AE86" s="40"/>
      <c r="AF86" s="40"/>
      <c r="AG86" s="40"/>
      <c r="AH86" s="40"/>
    </row>
    <row r="87" spans="30:34">
      <c r="AD87" s="40" t="s">
        <v>609</v>
      </c>
      <c r="AE87" s="40"/>
      <c r="AF87" s="40"/>
      <c r="AG87" s="40"/>
      <c r="AH87" s="40"/>
    </row>
    <row r="88" spans="30:34">
      <c r="AD88" s="40" t="s">
        <v>610</v>
      </c>
      <c r="AE88" s="40"/>
      <c r="AF88" s="40"/>
      <c r="AG88" s="40"/>
      <c r="AH88" s="40"/>
    </row>
    <row r="89" spans="30:34">
      <c r="AD89" s="40" t="s">
        <v>611</v>
      </c>
      <c r="AE89" s="40"/>
      <c r="AF89" s="40"/>
      <c r="AG89" s="40"/>
      <c r="AH89" s="40"/>
    </row>
    <row r="90" spans="30:34">
      <c r="AD90" s="40" t="s">
        <v>612</v>
      </c>
      <c r="AE90" s="40"/>
      <c r="AF90" s="40"/>
      <c r="AG90" s="40"/>
      <c r="AH90" s="40"/>
    </row>
    <row r="91" spans="30:34">
      <c r="AD91" s="40" t="s">
        <v>613</v>
      </c>
      <c r="AE91" s="40"/>
      <c r="AF91" s="40"/>
      <c r="AG91" s="40"/>
      <c r="AH91" s="40"/>
    </row>
    <row r="92" spans="30:34">
      <c r="AD92" s="40" t="s">
        <v>614</v>
      </c>
      <c r="AE92" s="40"/>
      <c r="AF92" s="40"/>
      <c r="AG92" s="40"/>
      <c r="AH92" s="40"/>
    </row>
    <row r="93" spans="30:34">
      <c r="AD93" s="86" t="s">
        <v>615</v>
      </c>
      <c r="AE93" s="86"/>
      <c r="AF93" s="86"/>
      <c r="AG93" s="86"/>
      <c r="AH93" s="86"/>
    </row>
    <row r="94" spans="30:34">
      <c r="AD94" s="40" t="s">
        <v>616</v>
      </c>
      <c r="AE94" s="40"/>
      <c r="AF94" s="40"/>
      <c r="AG94" s="40"/>
      <c r="AH94" s="40"/>
    </row>
    <row r="95" spans="30:34">
      <c r="AD95" s="86" t="s">
        <v>617</v>
      </c>
      <c r="AE95" s="86"/>
      <c r="AF95" s="86"/>
      <c r="AG95" s="86"/>
      <c r="AH95" s="86"/>
    </row>
    <row r="96" spans="30:34">
      <c r="AD96" s="40" t="s">
        <v>618</v>
      </c>
      <c r="AE96" s="40"/>
      <c r="AF96" s="40"/>
      <c r="AG96" s="40"/>
      <c r="AH96" s="40"/>
    </row>
    <row r="97" spans="30:34">
      <c r="AD97" s="86" t="s">
        <v>619</v>
      </c>
      <c r="AE97" s="86"/>
      <c r="AF97" s="86"/>
      <c r="AG97" s="86"/>
      <c r="AH97" s="86"/>
    </row>
    <row r="98" spans="30:34">
      <c r="AD98" s="40" t="s">
        <v>620</v>
      </c>
      <c r="AE98" s="40"/>
      <c r="AF98" s="40"/>
      <c r="AG98" s="40"/>
      <c r="AH98" s="40"/>
    </row>
    <row r="99" spans="30:34">
      <c r="AD99" s="40" t="s">
        <v>621</v>
      </c>
      <c r="AE99" s="40"/>
      <c r="AF99" s="40"/>
      <c r="AG99" s="40"/>
      <c r="AH99" s="40"/>
    </row>
    <row r="100" spans="30:34">
      <c r="AD100" s="40" t="s">
        <v>622</v>
      </c>
      <c r="AE100" s="40"/>
      <c r="AF100" s="40"/>
      <c r="AG100" s="40"/>
      <c r="AH100" s="40"/>
    </row>
    <row r="101" spans="30:34">
      <c r="AD101" s="40" t="s">
        <v>623</v>
      </c>
      <c r="AE101" s="40"/>
      <c r="AF101" s="40"/>
      <c r="AG101" s="40"/>
      <c r="AH101" s="40"/>
    </row>
    <row r="102" spans="30:34">
      <c r="AD102" s="40" t="s">
        <v>624</v>
      </c>
      <c r="AE102" s="40"/>
      <c r="AF102" s="40"/>
      <c r="AG102" s="40"/>
      <c r="AH102" s="40"/>
    </row>
    <row r="103" spans="30:34">
      <c r="AD103" s="86" t="s">
        <v>625</v>
      </c>
      <c r="AE103" s="86"/>
      <c r="AF103" s="86"/>
      <c r="AG103" s="86"/>
      <c r="AH103" s="86"/>
    </row>
    <row r="104" spans="30:34">
      <c r="AD104" s="40" t="s">
        <v>626</v>
      </c>
      <c r="AE104" s="40"/>
      <c r="AF104" s="40"/>
      <c r="AG104" s="40"/>
      <c r="AH104" s="40"/>
    </row>
    <row r="105" spans="30:34">
      <c r="AD105" s="86" t="s">
        <v>627</v>
      </c>
      <c r="AE105" s="86"/>
      <c r="AF105" s="86"/>
      <c r="AG105" s="86"/>
      <c r="AH105" s="86"/>
    </row>
    <row r="106" spans="30:34">
      <c r="AD106" s="40" t="s">
        <v>628</v>
      </c>
      <c r="AE106" s="40"/>
      <c r="AF106" s="40"/>
      <c r="AG106" s="40"/>
      <c r="AH106" s="40"/>
    </row>
    <row r="107" spans="30:34">
      <c r="AD107" s="86" t="s">
        <v>629</v>
      </c>
      <c r="AE107" s="86"/>
      <c r="AF107" s="86"/>
      <c r="AG107" s="86"/>
      <c r="AH107" s="86"/>
    </row>
    <row r="108" spans="30:34">
      <c r="AD108" s="40" t="s">
        <v>630</v>
      </c>
      <c r="AE108" s="40"/>
      <c r="AF108" s="40"/>
      <c r="AG108" s="40"/>
      <c r="AH108" s="40"/>
    </row>
    <row r="109" spans="30:34">
      <c r="AD109" s="40" t="s">
        <v>631</v>
      </c>
      <c r="AE109" s="40"/>
      <c r="AF109" s="40"/>
      <c r="AG109" s="40"/>
      <c r="AH109" s="40"/>
    </row>
    <row r="110" spans="30:34">
      <c r="AD110" s="40" t="s">
        <v>632</v>
      </c>
      <c r="AE110" s="40"/>
      <c r="AF110" s="40"/>
      <c r="AG110" s="40"/>
      <c r="AH110" s="40"/>
    </row>
    <row r="111" spans="30:34">
      <c r="AD111" s="40" t="s">
        <v>633</v>
      </c>
      <c r="AE111" s="40"/>
      <c r="AF111" s="40"/>
      <c r="AG111" s="40"/>
      <c r="AH111" s="40"/>
    </row>
    <row r="112" spans="30:34">
      <c r="AD112" s="40" t="s">
        <v>634</v>
      </c>
      <c r="AE112" s="40"/>
      <c r="AF112" s="40"/>
      <c r="AG112" s="40"/>
      <c r="AH112" s="40"/>
    </row>
    <row r="113" spans="30:34">
      <c r="AD113" s="86" t="s">
        <v>635</v>
      </c>
      <c r="AE113" s="86"/>
      <c r="AF113" s="86"/>
      <c r="AG113" s="86"/>
      <c r="AH113" s="86"/>
    </row>
    <row r="114" spans="30:34">
      <c r="AD114" s="40" t="s">
        <v>636</v>
      </c>
      <c r="AE114" s="40"/>
      <c r="AF114" s="40"/>
      <c r="AG114" s="40"/>
      <c r="AH114" s="40"/>
    </row>
    <row r="115" spans="30:34">
      <c r="AD115" s="40" t="s">
        <v>637</v>
      </c>
      <c r="AE115" s="40"/>
      <c r="AF115" s="40"/>
      <c r="AG115" s="40"/>
      <c r="AH115" s="40"/>
    </row>
    <row r="116" spans="30:34">
      <c r="AD116" s="40" t="s">
        <v>638</v>
      </c>
      <c r="AE116" s="40"/>
      <c r="AF116" s="40"/>
      <c r="AG116" s="40"/>
      <c r="AH116" s="40"/>
    </row>
    <row r="117" spans="30:34">
      <c r="AD117" s="40" t="s">
        <v>639</v>
      </c>
      <c r="AE117" s="40"/>
      <c r="AF117" s="40"/>
      <c r="AG117" s="40"/>
      <c r="AH117" s="40"/>
    </row>
    <row r="118" spans="30:34">
      <c r="AD118" s="40" t="s">
        <v>640</v>
      </c>
      <c r="AE118" s="40"/>
      <c r="AF118" s="40"/>
      <c r="AG118" s="40"/>
      <c r="AH118" s="40"/>
    </row>
    <row r="119" spans="30:34">
      <c r="AD119" s="86" t="s">
        <v>641</v>
      </c>
      <c r="AE119" s="86"/>
      <c r="AF119" s="86"/>
      <c r="AG119" s="86"/>
      <c r="AH119" s="86"/>
    </row>
    <row r="120" spans="30:34">
      <c r="AD120" s="40" t="s">
        <v>642</v>
      </c>
      <c r="AE120" s="40"/>
      <c r="AF120" s="40"/>
      <c r="AG120" s="40"/>
      <c r="AH120" s="40"/>
    </row>
    <row r="121" spans="30:34">
      <c r="AD121" s="86" t="s">
        <v>643</v>
      </c>
      <c r="AE121" s="86"/>
      <c r="AF121" s="86"/>
      <c r="AG121" s="86"/>
      <c r="AH121" s="86"/>
    </row>
    <row r="122" spans="30:34">
      <c r="AD122" s="40" t="s">
        <v>644</v>
      </c>
      <c r="AE122" s="40"/>
      <c r="AF122" s="40"/>
      <c r="AG122" s="40"/>
      <c r="AH122" s="40"/>
    </row>
    <row r="123" spans="30:34">
      <c r="AD123" s="86" t="s">
        <v>645</v>
      </c>
      <c r="AE123" s="86"/>
      <c r="AF123" s="86"/>
      <c r="AG123" s="86"/>
      <c r="AH123" s="86"/>
    </row>
    <row r="124" spans="30:34">
      <c r="AD124" s="40" t="s">
        <v>646</v>
      </c>
      <c r="AE124" s="40"/>
      <c r="AF124" s="40"/>
      <c r="AG124" s="40"/>
      <c r="AH124" s="40"/>
    </row>
    <row r="125" spans="30:34">
      <c r="AD125" s="86" t="s">
        <v>647</v>
      </c>
      <c r="AE125" s="86"/>
      <c r="AF125" s="86"/>
      <c r="AG125" s="86"/>
      <c r="AH125" s="86"/>
    </row>
    <row r="126" spans="30:34">
      <c r="AD126" s="40" t="s">
        <v>648</v>
      </c>
      <c r="AE126" s="40"/>
      <c r="AF126" s="40"/>
      <c r="AG126" s="40"/>
      <c r="AH126" s="40"/>
    </row>
    <row r="127" spans="30:34">
      <c r="AD127" s="86" t="s">
        <v>649</v>
      </c>
      <c r="AE127" s="86"/>
      <c r="AF127" s="86"/>
      <c r="AG127" s="86"/>
      <c r="AH127" s="86"/>
    </row>
    <row r="128" spans="30:34">
      <c r="AD128" s="40" t="s">
        <v>650</v>
      </c>
      <c r="AE128" s="40"/>
      <c r="AF128" s="40"/>
      <c r="AG128" s="40"/>
      <c r="AH128" s="40"/>
    </row>
    <row r="129" spans="30:34">
      <c r="AD129" s="40" t="s">
        <v>651</v>
      </c>
      <c r="AE129" s="40"/>
      <c r="AF129" s="40"/>
      <c r="AG129" s="40"/>
      <c r="AH129" s="40"/>
    </row>
    <row r="130" spans="30:34">
      <c r="AD130" s="86" t="s">
        <v>652</v>
      </c>
      <c r="AE130" s="86"/>
      <c r="AF130" s="86"/>
      <c r="AG130" s="86"/>
      <c r="AH130" s="86"/>
    </row>
    <row r="131" spans="30:34">
      <c r="AD131" s="40" t="s">
        <v>653</v>
      </c>
      <c r="AE131" s="40"/>
      <c r="AF131" s="40"/>
      <c r="AG131" s="40"/>
      <c r="AH131" s="40"/>
    </row>
    <row r="132" spans="30:34">
      <c r="AD132" s="40" t="s">
        <v>654</v>
      </c>
      <c r="AE132" s="40"/>
      <c r="AF132" s="40"/>
      <c r="AG132" s="40"/>
      <c r="AH132" s="40"/>
    </row>
    <row r="133" spans="30:34">
      <c r="AD133" s="40" t="s">
        <v>655</v>
      </c>
      <c r="AE133" s="40"/>
      <c r="AF133" s="40"/>
      <c r="AG133" s="40"/>
      <c r="AH133" s="40"/>
    </row>
    <row r="134" spans="30:34">
      <c r="AD134" s="86" t="s">
        <v>656</v>
      </c>
      <c r="AE134" s="86"/>
      <c r="AF134" s="86"/>
      <c r="AG134" s="86"/>
      <c r="AH134" s="86"/>
    </row>
    <row r="135" spans="30:34">
      <c r="AD135" s="40" t="s">
        <v>657</v>
      </c>
      <c r="AE135" s="40"/>
      <c r="AF135" s="40"/>
      <c r="AG135" s="40"/>
      <c r="AH135" s="40"/>
    </row>
    <row r="136" spans="30:34">
      <c r="AD136" s="40" t="s">
        <v>658</v>
      </c>
      <c r="AE136" s="40"/>
      <c r="AF136" s="40"/>
      <c r="AG136" s="40"/>
      <c r="AH136" s="40"/>
    </row>
    <row r="137" spans="30:34">
      <c r="AD137" s="86" t="s">
        <v>659</v>
      </c>
      <c r="AE137" s="86"/>
      <c r="AF137" s="86"/>
      <c r="AG137" s="86"/>
      <c r="AH137" s="86"/>
    </row>
    <row r="138" spans="30:34">
      <c r="AD138" s="40" t="s">
        <v>660</v>
      </c>
      <c r="AE138" s="40"/>
      <c r="AF138" s="40"/>
      <c r="AG138" s="40"/>
      <c r="AH138" s="40"/>
    </row>
    <row r="139" spans="30:34">
      <c r="AD139" s="86" t="s">
        <v>661</v>
      </c>
      <c r="AE139" s="86"/>
      <c r="AF139" s="86"/>
      <c r="AG139" s="86"/>
      <c r="AH139" s="86"/>
    </row>
    <row r="140" spans="30:34">
      <c r="AD140" s="40" t="s">
        <v>662</v>
      </c>
      <c r="AE140" s="40"/>
      <c r="AF140" s="40"/>
      <c r="AG140" s="40"/>
      <c r="AH140" s="40"/>
    </row>
    <row r="141" spans="30:34">
      <c r="AD141" s="40" t="s">
        <v>663</v>
      </c>
      <c r="AE141" s="40"/>
      <c r="AF141" s="40"/>
      <c r="AG141" s="40"/>
      <c r="AH141" s="40"/>
    </row>
    <row r="142" spans="30:34">
      <c r="AD142" s="40" t="s">
        <v>664</v>
      </c>
      <c r="AE142" s="40"/>
      <c r="AF142" s="40"/>
      <c r="AG142" s="40"/>
      <c r="AH142" s="40"/>
    </row>
    <row r="143" spans="30:34">
      <c r="AD143" s="86" t="s">
        <v>665</v>
      </c>
      <c r="AE143" s="86"/>
      <c r="AF143" s="86"/>
      <c r="AG143" s="86"/>
      <c r="AH143" s="86"/>
    </row>
    <row r="144" spans="30:34">
      <c r="AD144" s="40" t="s">
        <v>666</v>
      </c>
      <c r="AE144" s="40"/>
      <c r="AF144" s="40"/>
      <c r="AG144" s="40"/>
      <c r="AH144" s="40"/>
    </row>
    <row r="145" spans="30:34">
      <c r="AD145" s="86" t="s">
        <v>667</v>
      </c>
      <c r="AE145" s="86"/>
      <c r="AF145" s="86"/>
      <c r="AG145" s="86"/>
      <c r="AH145" s="86"/>
    </row>
    <row r="146" spans="30:34">
      <c r="AD146" s="40" t="s">
        <v>668</v>
      </c>
      <c r="AE146" s="40"/>
      <c r="AF146" s="40"/>
      <c r="AG146" s="40"/>
      <c r="AH146" s="40"/>
    </row>
    <row r="147" spans="30:34">
      <c r="AD147" s="40" t="s">
        <v>669</v>
      </c>
      <c r="AE147" s="40"/>
      <c r="AF147" s="40"/>
      <c r="AG147" s="40"/>
      <c r="AH147" s="40"/>
    </row>
    <row r="148" spans="30:34">
      <c r="AD148" s="86" t="s">
        <v>670</v>
      </c>
      <c r="AE148" s="86"/>
      <c r="AF148" s="86"/>
      <c r="AG148" s="86"/>
      <c r="AH148" s="86"/>
    </row>
    <row r="149" spans="30:34">
      <c r="AD149" s="40" t="s">
        <v>671</v>
      </c>
      <c r="AE149" s="40"/>
      <c r="AF149" s="40"/>
      <c r="AG149" s="40"/>
      <c r="AH149" s="40"/>
    </row>
    <row r="150" spans="30:34">
      <c r="AD150" s="40" t="s">
        <v>672</v>
      </c>
      <c r="AE150" s="40"/>
      <c r="AF150" s="40"/>
      <c r="AG150" s="40"/>
      <c r="AH150" s="40"/>
    </row>
    <row r="151" spans="30:34">
      <c r="AD151" s="40" t="s">
        <v>673</v>
      </c>
      <c r="AE151" s="40"/>
      <c r="AF151" s="40"/>
      <c r="AG151" s="40"/>
      <c r="AH151" s="40"/>
    </row>
    <row r="152" spans="30:34">
      <c r="AD152" s="40" t="s">
        <v>674</v>
      </c>
      <c r="AE152" s="40"/>
      <c r="AF152" s="40"/>
      <c r="AG152" s="40"/>
      <c r="AH152" s="40"/>
    </row>
    <row r="153" spans="30:34">
      <c r="AD153" s="40" t="s">
        <v>675</v>
      </c>
      <c r="AE153" s="40"/>
      <c r="AF153" s="40"/>
      <c r="AG153" s="40"/>
      <c r="AH153" s="40"/>
    </row>
    <row r="154" spans="30:34">
      <c r="AD154" s="86" t="s">
        <v>676</v>
      </c>
      <c r="AE154" s="86"/>
      <c r="AF154" s="86"/>
      <c r="AG154" s="86"/>
      <c r="AH154" s="86"/>
    </row>
    <row r="155" spans="30:34">
      <c r="AD155" s="40" t="s">
        <v>677</v>
      </c>
      <c r="AE155" s="40"/>
      <c r="AF155" s="40"/>
      <c r="AG155" s="40"/>
      <c r="AH155" s="40"/>
    </row>
    <row r="156" spans="30:34">
      <c r="AD156" s="40" t="s">
        <v>678</v>
      </c>
      <c r="AE156" s="40"/>
      <c r="AF156" s="40"/>
      <c r="AG156" s="40"/>
      <c r="AH156" s="40"/>
    </row>
    <row r="157" spans="30:34">
      <c r="AD157" s="86" t="s">
        <v>679</v>
      </c>
      <c r="AE157" s="86"/>
      <c r="AF157" s="86"/>
      <c r="AG157" s="86"/>
      <c r="AH157" s="86"/>
    </row>
    <row r="158" spans="30:34">
      <c r="AD158" s="40" t="s">
        <v>680</v>
      </c>
      <c r="AE158" s="40"/>
      <c r="AF158" s="40"/>
      <c r="AG158" s="40"/>
      <c r="AH158" s="40"/>
    </row>
    <row r="159" spans="30:34">
      <c r="AD159" s="86" t="s">
        <v>681</v>
      </c>
      <c r="AE159" s="86"/>
      <c r="AF159" s="86"/>
      <c r="AG159" s="86"/>
      <c r="AH159" s="86"/>
    </row>
    <row r="160" spans="30:34">
      <c r="AD160" s="40" t="s">
        <v>682</v>
      </c>
      <c r="AE160" s="40"/>
      <c r="AF160" s="40"/>
      <c r="AG160" s="40"/>
      <c r="AH160" s="40"/>
    </row>
    <row r="161" spans="30:34">
      <c r="AD161" s="40" t="s">
        <v>683</v>
      </c>
      <c r="AE161" s="40"/>
      <c r="AF161" s="40"/>
      <c r="AG161" s="40"/>
      <c r="AH161" s="40"/>
    </row>
    <row r="162" spans="30:34">
      <c r="AD162" s="40" t="s">
        <v>684</v>
      </c>
      <c r="AE162" s="40"/>
      <c r="AF162" s="40"/>
      <c r="AG162" s="40"/>
      <c r="AH162" s="40"/>
    </row>
    <row r="163" spans="30:34">
      <c r="AD163" s="86" t="s">
        <v>685</v>
      </c>
      <c r="AE163" s="86"/>
      <c r="AF163" s="86"/>
      <c r="AG163" s="86"/>
      <c r="AH163" s="86"/>
    </row>
    <row r="164" spans="30:34">
      <c r="AD164" s="40" t="s">
        <v>686</v>
      </c>
      <c r="AE164" s="40"/>
      <c r="AF164" s="40"/>
      <c r="AG164" s="40"/>
      <c r="AH164" s="40"/>
    </row>
    <row r="165" spans="30:34">
      <c r="AD165" s="86" t="s">
        <v>687</v>
      </c>
      <c r="AE165" s="86"/>
      <c r="AF165" s="86"/>
      <c r="AG165" s="86"/>
      <c r="AH165" s="86"/>
    </row>
    <row r="166" spans="30:34">
      <c r="AD166" s="40" t="s">
        <v>688</v>
      </c>
      <c r="AE166" s="40"/>
      <c r="AF166" s="40"/>
      <c r="AG166" s="40"/>
      <c r="AH166" s="40"/>
    </row>
    <row r="167" spans="30:34">
      <c r="AD167" s="86" t="s">
        <v>689</v>
      </c>
      <c r="AE167" s="86"/>
      <c r="AF167" s="86"/>
      <c r="AG167" s="86"/>
      <c r="AH167" s="86"/>
    </row>
    <row r="168" spans="30:34">
      <c r="AD168" s="40" t="s">
        <v>690</v>
      </c>
      <c r="AE168" s="40"/>
      <c r="AF168" s="40"/>
      <c r="AG168" s="40"/>
      <c r="AH168" s="40"/>
    </row>
    <row r="169" spans="30:34">
      <c r="AD169" s="40" t="s">
        <v>691</v>
      </c>
      <c r="AE169" s="40"/>
      <c r="AF169" s="40"/>
      <c r="AG169" s="40"/>
      <c r="AH169" s="40"/>
    </row>
    <row r="170" spans="30:34">
      <c r="AD170" s="86" t="s">
        <v>692</v>
      </c>
      <c r="AE170" s="86"/>
      <c r="AF170" s="86"/>
      <c r="AG170" s="86"/>
      <c r="AH170" s="86"/>
    </row>
    <row r="171" spans="30:34">
      <c r="AD171" s="40" t="s">
        <v>693</v>
      </c>
      <c r="AE171" s="40"/>
      <c r="AF171" s="40"/>
      <c r="AG171" s="40"/>
      <c r="AH171" s="40"/>
    </row>
    <row r="172" spans="30:34">
      <c r="AD172" s="86" t="s">
        <v>694</v>
      </c>
      <c r="AE172" s="86"/>
      <c r="AF172" s="86"/>
      <c r="AG172" s="86"/>
      <c r="AH172" s="86"/>
    </row>
    <row r="173" spans="30:34">
      <c r="AD173" s="40" t="s">
        <v>695</v>
      </c>
      <c r="AE173" s="40"/>
      <c r="AF173" s="40"/>
      <c r="AG173" s="40"/>
      <c r="AH173" s="40"/>
    </row>
    <row r="174" spans="30:34">
      <c r="AD174" s="86" t="s">
        <v>696</v>
      </c>
      <c r="AE174" s="86"/>
      <c r="AF174" s="86"/>
      <c r="AG174" s="86"/>
      <c r="AH174" s="86"/>
    </row>
    <row r="175" spans="30:34">
      <c r="AD175" s="40" t="s">
        <v>697</v>
      </c>
      <c r="AE175" s="40"/>
      <c r="AF175" s="40"/>
      <c r="AG175" s="40"/>
      <c r="AH175" s="40"/>
    </row>
    <row r="176" spans="30:34">
      <c r="AD176" s="86" t="s">
        <v>698</v>
      </c>
      <c r="AE176" s="86"/>
      <c r="AF176" s="86"/>
      <c r="AG176" s="86"/>
      <c r="AH176" s="86"/>
    </row>
    <row r="177" spans="30:34">
      <c r="AD177" s="40" t="s">
        <v>699</v>
      </c>
      <c r="AE177" s="40"/>
      <c r="AF177" s="40"/>
      <c r="AG177" s="40"/>
      <c r="AH177" s="40"/>
    </row>
    <row r="178" spans="30:34">
      <c r="AD178" s="86" t="s">
        <v>700</v>
      </c>
      <c r="AE178" s="86"/>
      <c r="AF178" s="86"/>
      <c r="AG178" s="86"/>
      <c r="AH178" s="86"/>
    </row>
    <row r="179" spans="30:34">
      <c r="AD179" s="40" t="s">
        <v>701</v>
      </c>
      <c r="AE179" s="40"/>
      <c r="AF179" s="40"/>
      <c r="AG179" s="40"/>
      <c r="AH179" s="40"/>
    </row>
    <row r="180" spans="30:34">
      <c r="AD180" s="40" t="s">
        <v>702</v>
      </c>
      <c r="AE180" s="40"/>
      <c r="AF180" s="40"/>
      <c r="AG180" s="40"/>
      <c r="AH180" s="40"/>
    </row>
    <row r="181" spans="30:34">
      <c r="AD181" s="40" t="s">
        <v>703</v>
      </c>
      <c r="AE181" s="40"/>
      <c r="AF181" s="40"/>
      <c r="AG181" s="40"/>
      <c r="AH181" s="40"/>
    </row>
    <row r="182" spans="30:34">
      <c r="AD182" s="40" t="s">
        <v>704</v>
      </c>
      <c r="AE182" s="40"/>
      <c r="AF182" s="40"/>
      <c r="AG182" s="40"/>
      <c r="AH182" s="40"/>
    </row>
    <row r="183" spans="30:34">
      <c r="AD183" s="40" t="s">
        <v>705</v>
      </c>
      <c r="AE183" s="40"/>
      <c r="AF183" s="40"/>
      <c r="AG183" s="40"/>
      <c r="AH183" s="40"/>
    </row>
    <row r="184" spans="30:34">
      <c r="AD184" s="86" t="s">
        <v>706</v>
      </c>
      <c r="AE184" s="86"/>
      <c r="AF184" s="86"/>
      <c r="AG184" s="86"/>
      <c r="AH184" s="86"/>
    </row>
    <row r="185" spans="30:34">
      <c r="AD185" s="40" t="s">
        <v>707</v>
      </c>
      <c r="AE185" s="40"/>
      <c r="AF185" s="40"/>
      <c r="AG185" s="40"/>
      <c r="AH185" s="40"/>
    </row>
    <row r="186" spans="30:34">
      <c r="AD186" s="86" t="s">
        <v>708</v>
      </c>
      <c r="AE186" s="86"/>
      <c r="AF186" s="86"/>
      <c r="AG186" s="86"/>
      <c r="AH186" s="86"/>
    </row>
    <row r="187" spans="30:34">
      <c r="AD187" s="40" t="s">
        <v>709</v>
      </c>
      <c r="AE187" s="40"/>
      <c r="AF187" s="40"/>
      <c r="AG187" s="40"/>
      <c r="AH187" s="40"/>
    </row>
    <row r="188" spans="30:34">
      <c r="AD188" s="86" t="s">
        <v>710</v>
      </c>
      <c r="AE188" s="86"/>
      <c r="AF188" s="86"/>
      <c r="AG188" s="86"/>
      <c r="AH188" s="86"/>
    </row>
    <row r="189" spans="30:34">
      <c r="AD189" s="40" t="s">
        <v>711</v>
      </c>
      <c r="AE189" s="40"/>
      <c r="AF189" s="40"/>
      <c r="AG189" s="40"/>
      <c r="AH189" s="40"/>
    </row>
    <row r="190" spans="30:34">
      <c r="AD190" s="40" t="s">
        <v>712</v>
      </c>
      <c r="AE190" s="40"/>
      <c r="AF190" s="40"/>
      <c r="AG190" s="40"/>
      <c r="AH190" s="40"/>
    </row>
    <row r="191" spans="30:34">
      <c r="AD191" s="86" t="s">
        <v>713</v>
      </c>
      <c r="AE191" s="86"/>
      <c r="AF191" s="86"/>
      <c r="AG191" s="86"/>
      <c r="AH191" s="86"/>
    </row>
    <row r="192" spans="30:34">
      <c r="AD192" s="40" t="s">
        <v>714</v>
      </c>
      <c r="AE192" s="40"/>
      <c r="AF192" s="40"/>
      <c r="AG192" s="40"/>
      <c r="AH192" s="40"/>
    </row>
    <row r="193" spans="30:34">
      <c r="AD193" s="40" t="s">
        <v>715</v>
      </c>
      <c r="AE193" s="40"/>
      <c r="AF193" s="40"/>
      <c r="AG193" s="40"/>
      <c r="AH193" s="40"/>
    </row>
    <row r="194" spans="30:34">
      <c r="AD194" s="86" t="s">
        <v>716</v>
      </c>
      <c r="AE194" s="86"/>
      <c r="AF194" s="86"/>
      <c r="AG194" s="86"/>
      <c r="AH194" s="86"/>
    </row>
    <row r="195" spans="30:34">
      <c r="AD195" s="40" t="s">
        <v>717</v>
      </c>
      <c r="AE195" s="40"/>
      <c r="AF195" s="40"/>
      <c r="AG195" s="40"/>
      <c r="AH195" s="40"/>
    </row>
    <row r="196" spans="30:34">
      <c r="AD196" s="86" t="s">
        <v>718</v>
      </c>
      <c r="AE196" s="86"/>
      <c r="AF196" s="86"/>
      <c r="AG196" s="86"/>
      <c r="AH196" s="86"/>
    </row>
    <row r="197" spans="30:34">
      <c r="AD197" s="40" t="s">
        <v>719</v>
      </c>
      <c r="AE197" s="40"/>
      <c r="AF197" s="40"/>
      <c r="AG197" s="40"/>
      <c r="AH197" s="40"/>
    </row>
    <row r="198" spans="30:34">
      <c r="AD198" s="86" t="s">
        <v>720</v>
      </c>
      <c r="AE198" s="86"/>
      <c r="AF198" s="86"/>
      <c r="AG198" s="86"/>
      <c r="AH198" s="86"/>
    </row>
    <row r="199" spans="30:34">
      <c r="AD199" s="40" t="s">
        <v>721</v>
      </c>
      <c r="AE199" s="40"/>
      <c r="AF199" s="40"/>
      <c r="AG199" s="40"/>
      <c r="AH199" s="40"/>
    </row>
    <row r="200" spans="30:34">
      <c r="AD200" s="40" t="s">
        <v>722</v>
      </c>
      <c r="AE200" s="40"/>
      <c r="AF200" s="40"/>
      <c r="AG200" s="40"/>
      <c r="AH200" s="40"/>
    </row>
    <row r="201" spans="30:34">
      <c r="AD201" s="86" t="s">
        <v>723</v>
      </c>
      <c r="AE201" s="86"/>
      <c r="AF201" s="86"/>
      <c r="AG201" s="86"/>
      <c r="AH201" s="86"/>
    </row>
    <row r="202" spans="30:34">
      <c r="AD202" s="40" t="s">
        <v>724</v>
      </c>
      <c r="AE202" s="40"/>
      <c r="AF202" s="40"/>
      <c r="AG202" s="40"/>
      <c r="AH202" s="40"/>
    </row>
    <row r="203" spans="30:34">
      <c r="AD203" s="40" t="s">
        <v>725</v>
      </c>
      <c r="AE203" s="40"/>
      <c r="AF203" s="40"/>
      <c r="AG203" s="40"/>
      <c r="AH203" s="40"/>
    </row>
    <row r="204" spans="30:34">
      <c r="AD204" s="86" t="s">
        <v>726</v>
      </c>
      <c r="AE204" s="86"/>
      <c r="AF204" s="86"/>
      <c r="AG204" s="86"/>
      <c r="AH204" s="86"/>
    </row>
    <row r="205" spans="30:34">
      <c r="AD205" s="40" t="s">
        <v>727</v>
      </c>
      <c r="AE205" s="40"/>
      <c r="AF205" s="40"/>
      <c r="AG205" s="40"/>
      <c r="AH205" s="40"/>
    </row>
    <row r="206" spans="30:34">
      <c r="AD206" s="40" t="s">
        <v>728</v>
      </c>
      <c r="AE206" s="40"/>
      <c r="AF206" s="40"/>
      <c r="AG206" s="40"/>
      <c r="AH206" s="40"/>
    </row>
    <row r="207" spans="30:34">
      <c r="AD207" s="40" t="s">
        <v>729</v>
      </c>
      <c r="AE207" s="40"/>
      <c r="AF207" s="40"/>
      <c r="AG207" s="40"/>
      <c r="AH207" s="40"/>
    </row>
    <row r="208" spans="30:34">
      <c r="AD208" s="40" t="s">
        <v>730</v>
      </c>
      <c r="AE208" s="40"/>
      <c r="AF208" s="40"/>
      <c r="AG208" s="40"/>
      <c r="AH208" s="40"/>
    </row>
    <row r="209" spans="30:34">
      <c r="AD209" s="86" t="s">
        <v>731</v>
      </c>
      <c r="AE209" s="86"/>
      <c r="AF209" s="86"/>
      <c r="AG209" s="86"/>
      <c r="AH209" s="86"/>
    </row>
    <row r="210" spans="30:34">
      <c r="AD210" s="40" t="s">
        <v>732</v>
      </c>
      <c r="AE210" s="40"/>
      <c r="AF210" s="40"/>
      <c r="AG210" s="40"/>
      <c r="AH210" s="40"/>
    </row>
    <row r="211" spans="30:34">
      <c r="AD211" s="40" t="s">
        <v>733</v>
      </c>
      <c r="AE211" s="40"/>
      <c r="AF211" s="40"/>
      <c r="AG211" s="40"/>
      <c r="AH211" s="40"/>
    </row>
    <row r="212" spans="30:34">
      <c r="AD212" s="40" t="s">
        <v>734</v>
      </c>
      <c r="AE212" s="40"/>
      <c r="AF212" s="40"/>
      <c r="AG212" s="40"/>
      <c r="AH212" s="40"/>
    </row>
    <row r="213" spans="30:34">
      <c r="AD213" s="40" t="s">
        <v>735</v>
      </c>
      <c r="AE213" s="40"/>
      <c r="AF213" s="40"/>
      <c r="AG213" s="40"/>
      <c r="AH213" s="40"/>
    </row>
    <row r="214" spans="30:34">
      <c r="AD214" s="40" t="s">
        <v>736</v>
      </c>
      <c r="AE214" s="40"/>
      <c r="AF214" s="40"/>
      <c r="AG214" s="40"/>
      <c r="AH214" s="40"/>
    </row>
    <row r="215" spans="30:34">
      <c r="AD215" s="86" t="s">
        <v>737</v>
      </c>
      <c r="AE215" s="86"/>
      <c r="AF215" s="86"/>
      <c r="AG215" s="86"/>
      <c r="AH215" s="86"/>
    </row>
    <row r="216" spans="30:34">
      <c r="AD216" s="40" t="s">
        <v>738</v>
      </c>
      <c r="AE216" s="40"/>
      <c r="AF216" s="40"/>
      <c r="AG216" s="40"/>
      <c r="AH216" s="40"/>
    </row>
    <row r="217" spans="30:34">
      <c r="AD217" s="40" t="s">
        <v>739</v>
      </c>
      <c r="AE217" s="40"/>
      <c r="AF217" s="40"/>
      <c r="AG217" s="40"/>
      <c r="AH217" s="40"/>
    </row>
    <row r="218" spans="30:34">
      <c r="AD218" s="40" t="s">
        <v>740</v>
      </c>
      <c r="AE218" s="40"/>
      <c r="AF218" s="40"/>
      <c r="AG218" s="40"/>
      <c r="AH218" s="40"/>
    </row>
    <row r="219" spans="30:34">
      <c r="AD219" s="40" t="s">
        <v>741</v>
      </c>
      <c r="AE219" s="40"/>
      <c r="AF219" s="40"/>
      <c r="AG219" s="40"/>
      <c r="AH219" s="40"/>
    </row>
    <row r="220" spans="30:34">
      <c r="AD220" s="40" t="s">
        <v>742</v>
      </c>
      <c r="AE220" s="40"/>
      <c r="AF220" s="40"/>
      <c r="AG220" s="40"/>
      <c r="AH220" s="40"/>
    </row>
    <row r="221" spans="30:34">
      <c r="AD221" s="40" t="s">
        <v>743</v>
      </c>
      <c r="AE221" s="40"/>
      <c r="AF221" s="40"/>
      <c r="AG221" s="40"/>
      <c r="AH221" s="40"/>
    </row>
    <row r="222" spans="30:34">
      <c r="AD222" s="40" t="s">
        <v>744</v>
      </c>
      <c r="AE222" s="40"/>
      <c r="AF222" s="40"/>
      <c r="AG222" s="40"/>
      <c r="AH222" s="40"/>
    </row>
    <row r="223" spans="30:34">
      <c r="AD223" s="40" t="s">
        <v>745</v>
      </c>
      <c r="AE223" s="40"/>
      <c r="AF223" s="40"/>
      <c r="AG223" s="40"/>
      <c r="AH223" s="40"/>
    </row>
    <row r="224" spans="30:34">
      <c r="AD224" s="40" t="s">
        <v>746</v>
      </c>
      <c r="AE224" s="40"/>
      <c r="AF224" s="40"/>
      <c r="AG224" s="40"/>
      <c r="AH224" s="40"/>
    </row>
    <row r="225" spans="30:34">
      <c r="AD225" s="40" t="s">
        <v>747</v>
      </c>
      <c r="AE225" s="40"/>
      <c r="AF225" s="40"/>
      <c r="AG225" s="40"/>
      <c r="AH225" s="40"/>
    </row>
    <row r="226" spans="30:34">
      <c r="AD226" s="86" t="s">
        <v>748</v>
      </c>
      <c r="AE226" s="86"/>
      <c r="AF226" s="86"/>
      <c r="AG226" s="86"/>
      <c r="AH226" s="86"/>
    </row>
    <row r="227" spans="30:34">
      <c r="AD227" s="40" t="s">
        <v>749</v>
      </c>
      <c r="AE227" s="40"/>
      <c r="AF227" s="40"/>
      <c r="AG227" s="40"/>
      <c r="AH227" s="40"/>
    </row>
    <row r="228" spans="30:34">
      <c r="AD228" s="40" t="s">
        <v>750</v>
      </c>
      <c r="AE228" s="40"/>
      <c r="AF228" s="40"/>
      <c r="AG228" s="40"/>
      <c r="AH228" s="40"/>
    </row>
    <row r="229" spans="30:34">
      <c r="AD229" s="40" t="s">
        <v>751</v>
      </c>
      <c r="AE229" s="40"/>
      <c r="AF229" s="40"/>
      <c r="AG229" s="40"/>
      <c r="AH229" s="40"/>
    </row>
    <row r="230" spans="30:34">
      <c r="AD230" s="40" t="s">
        <v>752</v>
      </c>
      <c r="AE230" s="40"/>
      <c r="AF230" s="40"/>
      <c r="AG230" s="40"/>
      <c r="AH230" s="40"/>
    </row>
    <row r="231" spans="30:34">
      <c r="AD231" s="40" t="s">
        <v>753</v>
      </c>
      <c r="AE231" s="40"/>
      <c r="AF231" s="40"/>
      <c r="AG231" s="40"/>
      <c r="AH231" s="40"/>
    </row>
    <row r="232" spans="30:34">
      <c r="AD232" s="86" t="s">
        <v>754</v>
      </c>
      <c r="AE232" s="86"/>
      <c r="AF232" s="86"/>
      <c r="AG232" s="86"/>
      <c r="AH232" s="86"/>
    </row>
    <row r="233" spans="30:34">
      <c r="AD233" s="40" t="s">
        <v>755</v>
      </c>
      <c r="AE233" s="40"/>
      <c r="AF233" s="40"/>
      <c r="AG233" s="40"/>
      <c r="AH233" s="40"/>
    </row>
    <row r="234" spans="30:34">
      <c r="AD234" s="40" t="s">
        <v>756</v>
      </c>
      <c r="AE234" s="40"/>
      <c r="AF234" s="40"/>
      <c r="AG234" s="40"/>
      <c r="AH234" s="40"/>
    </row>
    <row r="235" spans="30:34">
      <c r="AD235" s="86" t="s">
        <v>757</v>
      </c>
      <c r="AE235" s="86"/>
      <c r="AF235" s="86"/>
      <c r="AG235" s="86"/>
      <c r="AH235" s="86"/>
    </row>
    <row r="236" spans="30:34">
      <c r="AD236" s="40" t="s">
        <v>758</v>
      </c>
      <c r="AE236" s="40"/>
      <c r="AF236" s="40"/>
      <c r="AG236" s="40"/>
      <c r="AH236" s="40"/>
    </row>
    <row r="237" spans="30:34">
      <c r="AD237" s="40" t="s">
        <v>759</v>
      </c>
      <c r="AE237" s="40"/>
      <c r="AF237" s="40"/>
      <c r="AG237" s="40"/>
      <c r="AH237" s="40"/>
    </row>
    <row r="238" spans="30:34">
      <c r="AD238" s="40" t="s">
        <v>760</v>
      </c>
      <c r="AE238" s="40"/>
      <c r="AF238" s="40"/>
      <c r="AG238" s="40"/>
      <c r="AH238" s="40"/>
    </row>
    <row r="239" spans="30:34">
      <c r="AD239" s="40" t="s">
        <v>761</v>
      </c>
      <c r="AE239" s="40"/>
      <c r="AF239" s="40"/>
      <c r="AG239" s="40"/>
      <c r="AH239" s="40"/>
    </row>
    <row r="240" spans="30:34">
      <c r="AD240" s="40" t="s">
        <v>762</v>
      </c>
      <c r="AE240" s="40"/>
      <c r="AF240" s="40"/>
      <c r="AG240" s="40"/>
      <c r="AH240" s="40"/>
    </row>
    <row r="241" spans="30:34">
      <c r="AD241" s="40" t="s">
        <v>763</v>
      </c>
      <c r="AE241" s="40"/>
      <c r="AF241" s="40"/>
      <c r="AG241" s="40"/>
      <c r="AH241" s="40"/>
    </row>
    <row r="242" spans="30:34">
      <c r="AD242" s="40" t="s">
        <v>764</v>
      </c>
      <c r="AE242" s="40"/>
      <c r="AF242" s="40"/>
      <c r="AG242" s="40"/>
      <c r="AH242" s="40"/>
    </row>
    <row r="243" spans="30:34">
      <c r="AD243" s="86" t="s">
        <v>765</v>
      </c>
      <c r="AE243" s="86"/>
      <c r="AF243" s="86"/>
      <c r="AG243" s="86"/>
      <c r="AH243" s="86"/>
    </row>
    <row r="244" spans="30:34">
      <c r="AD244" s="40" t="s">
        <v>766</v>
      </c>
      <c r="AE244" s="40"/>
      <c r="AF244" s="40"/>
      <c r="AG244" s="40"/>
      <c r="AH244" s="40"/>
    </row>
    <row r="245" spans="30:34">
      <c r="AD245" s="86" t="s">
        <v>767</v>
      </c>
      <c r="AE245" s="86"/>
      <c r="AF245" s="86"/>
      <c r="AG245" s="86"/>
      <c r="AH245" s="86"/>
    </row>
    <row r="246" spans="30:34">
      <c r="AD246" s="40" t="s">
        <v>768</v>
      </c>
      <c r="AE246" s="40"/>
      <c r="AF246" s="40"/>
      <c r="AG246" s="40"/>
      <c r="AH246" s="40"/>
    </row>
    <row r="247" spans="30:34">
      <c r="AD247" s="86" t="s">
        <v>769</v>
      </c>
      <c r="AE247" s="86"/>
      <c r="AF247" s="86"/>
      <c r="AG247" s="86"/>
      <c r="AH247" s="86"/>
    </row>
    <row r="248" spans="30:34">
      <c r="AD248" s="40" t="s">
        <v>770</v>
      </c>
      <c r="AE248" s="40"/>
      <c r="AF248" s="40"/>
      <c r="AG248" s="40"/>
      <c r="AH248" s="40"/>
    </row>
    <row r="249" spans="30:34">
      <c r="AD249" s="40" t="s">
        <v>771</v>
      </c>
      <c r="AE249" s="40"/>
      <c r="AF249" s="40"/>
      <c r="AG249" s="40"/>
      <c r="AH249" s="40"/>
    </row>
    <row r="250" spans="30:34">
      <c r="AD250" s="86" t="s">
        <v>772</v>
      </c>
      <c r="AE250" s="86"/>
      <c r="AF250" s="86"/>
      <c r="AG250" s="86"/>
      <c r="AH250" s="86"/>
    </row>
    <row r="251" spans="30:34">
      <c r="AD251" s="40" t="s">
        <v>773</v>
      </c>
      <c r="AE251" s="40"/>
      <c r="AF251" s="40"/>
      <c r="AG251" s="40"/>
      <c r="AH251" s="40"/>
    </row>
    <row r="252" spans="30:34">
      <c r="AD252" s="40" t="s">
        <v>774</v>
      </c>
      <c r="AE252" s="40"/>
      <c r="AF252" s="40"/>
      <c r="AG252" s="40"/>
      <c r="AH252" s="40"/>
    </row>
    <row r="253" spans="30:34">
      <c r="AD253" s="86" t="s">
        <v>775</v>
      </c>
      <c r="AE253" s="86"/>
      <c r="AF253" s="86"/>
      <c r="AG253" s="86"/>
      <c r="AH253" s="86"/>
    </row>
    <row r="254" spans="30:34">
      <c r="AD254" s="40" t="s">
        <v>776</v>
      </c>
      <c r="AE254" s="40"/>
      <c r="AF254" s="40"/>
      <c r="AG254" s="40"/>
      <c r="AH254" s="40"/>
    </row>
    <row r="255" spans="30:34">
      <c r="AD255" s="86" t="s">
        <v>777</v>
      </c>
      <c r="AE255" s="86"/>
      <c r="AF255" s="86"/>
      <c r="AG255" s="86"/>
      <c r="AH255" s="86"/>
    </row>
    <row r="256" spans="30:34">
      <c r="AD256" s="40" t="s">
        <v>778</v>
      </c>
      <c r="AE256" s="40"/>
      <c r="AF256" s="40"/>
      <c r="AG256" s="40"/>
      <c r="AH256" s="40"/>
    </row>
    <row r="257" spans="30:34">
      <c r="AD257" s="40" t="s">
        <v>779</v>
      </c>
      <c r="AE257" s="40"/>
      <c r="AF257" s="40"/>
      <c r="AG257" s="40"/>
      <c r="AH257" s="40"/>
    </row>
    <row r="258" spans="30:34">
      <c r="AD258" s="86" t="s">
        <v>780</v>
      </c>
      <c r="AE258" s="86"/>
      <c r="AF258" s="86"/>
      <c r="AG258" s="86"/>
      <c r="AH258" s="86"/>
    </row>
    <row r="259" spans="30:34">
      <c r="AD259" s="40" t="s">
        <v>781</v>
      </c>
      <c r="AE259" s="40"/>
      <c r="AF259" s="40"/>
      <c r="AG259" s="40"/>
      <c r="AH259" s="40"/>
    </row>
    <row r="260" spans="30:34">
      <c r="AD260" s="86" t="s">
        <v>782</v>
      </c>
      <c r="AE260" s="86"/>
      <c r="AF260" s="86"/>
      <c r="AG260" s="86"/>
      <c r="AH260" s="86"/>
    </row>
    <row r="261" spans="30:34">
      <c r="AD261" s="40" t="s">
        <v>783</v>
      </c>
      <c r="AE261" s="40"/>
      <c r="AF261" s="40"/>
      <c r="AG261" s="40"/>
      <c r="AH261" s="40"/>
    </row>
  </sheetData>
  <mergeCells count="74">
    <mergeCell ref="A1:M1"/>
    <mergeCell ref="T1:AB1"/>
    <mergeCell ref="AI1:AS1"/>
    <mergeCell ref="AD36:AH36"/>
    <mergeCell ref="AD38:AH38"/>
    <mergeCell ref="AD40:AH40"/>
    <mergeCell ref="AD43:AH43"/>
    <mergeCell ref="AD45:AH45"/>
    <mergeCell ref="AD47:AH47"/>
    <mergeCell ref="AD49:AH49"/>
    <mergeCell ref="AD51:AH51"/>
    <mergeCell ref="AD53:AH53"/>
    <mergeCell ref="AD56:AH56"/>
    <mergeCell ref="AD63:AH63"/>
    <mergeCell ref="AD66:AH66"/>
    <mergeCell ref="AD68:AH68"/>
    <mergeCell ref="AD70:AH70"/>
    <mergeCell ref="AD72:AH72"/>
    <mergeCell ref="AD76:AH76"/>
    <mergeCell ref="AD79:AH79"/>
    <mergeCell ref="AD93:AH93"/>
    <mergeCell ref="AD95:AH95"/>
    <mergeCell ref="AD97:AH97"/>
    <mergeCell ref="AD103:AH103"/>
    <mergeCell ref="AD105:AH105"/>
    <mergeCell ref="AD107:AH107"/>
    <mergeCell ref="AD113:AH113"/>
    <mergeCell ref="AD119:AH119"/>
    <mergeCell ref="AD121:AH121"/>
    <mergeCell ref="AD123:AH123"/>
    <mergeCell ref="AD125:AH125"/>
    <mergeCell ref="AD127:AH127"/>
    <mergeCell ref="AD130:AH130"/>
    <mergeCell ref="AD134:AH134"/>
    <mergeCell ref="AD137:AH137"/>
    <mergeCell ref="AD139:AH139"/>
    <mergeCell ref="AD143:AH143"/>
    <mergeCell ref="AD145:AH145"/>
    <mergeCell ref="AD148:AH148"/>
    <mergeCell ref="AD154:AH154"/>
    <mergeCell ref="AD157:AH157"/>
    <mergeCell ref="AD159:AH159"/>
    <mergeCell ref="AD163:AH163"/>
    <mergeCell ref="AD165:AH165"/>
    <mergeCell ref="AD167:AH167"/>
    <mergeCell ref="AD170:AH170"/>
    <mergeCell ref="AD172:AH172"/>
    <mergeCell ref="AD174:AH174"/>
    <mergeCell ref="AD176:AH176"/>
    <mergeCell ref="AD196:AH196"/>
    <mergeCell ref="AD198:AH198"/>
    <mergeCell ref="AD201:AH201"/>
    <mergeCell ref="AD204:AH204"/>
    <mergeCell ref="AD178:AH178"/>
    <mergeCell ref="AD184:AH184"/>
    <mergeCell ref="AD186:AH186"/>
    <mergeCell ref="AD188:AH188"/>
    <mergeCell ref="AD191:AH191"/>
    <mergeCell ref="AD255:AH255"/>
    <mergeCell ref="AD258:AH258"/>
    <mergeCell ref="AD260:AH260"/>
    <mergeCell ref="AD1:AG1"/>
    <mergeCell ref="AD35:AG35"/>
    <mergeCell ref="AD243:AH243"/>
    <mergeCell ref="AD245:AH245"/>
    <mergeCell ref="AD247:AH247"/>
    <mergeCell ref="AD250:AH250"/>
    <mergeCell ref="AD253:AH253"/>
    <mergeCell ref="AD209:AH209"/>
    <mergeCell ref="AD215:AH215"/>
    <mergeCell ref="AD226:AH226"/>
    <mergeCell ref="AD232:AH232"/>
    <mergeCell ref="AD235:AH235"/>
    <mergeCell ref="AD194:AH194"/>
  </mergeCell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dimension ref="A1:BM247"/>
  <sheetViews>
    <sheetView tabSelected="1" zoomScaleNormal="100" workbookViewId="0">
      <selection activeCell="D12" sqref="D12"/>
    </sheetView>
  </sheetViews>
  <sheetFormatPr defaultColWidth="15.7109375" defaultRowHeight="15"/>
  <cols>
    <col min="1" max="1" width="5.7109375" style="9" customWidth="1"/>
    <col min="2" max="16384" width="15.7109375" style="9"/>
  </cols>
  <sheetData>
    <row r="1" spans="1:65" s="35" customFormat="1" ht="30.75" customHeight="1">
      <c r="A1" s="80" t="s">
        <v>1505</v>
      </c>
      <c r="B1" s="80"/>
      <c r="C1" s="80"/>
      <c r="D1" s="80"/>
      <c r="E1" s="80"/>
      <c r="F1" s="80"/>
      <c r="G1" s="80"/>
      <c r="H1" s="80"/>
      <c r="I1" s="80"/>
      <c r="J1" s="80"/>
      <c r="K1" s="80"/>
      <c r="L1" s="80"/>
      <c r="M1" s="80"/>
      <c r="N1"/>
      <c r="O1"/>
      <c r="P1"/>
      <c r="Q1"/>
      <c r="R1"/>
      <c r="S1"/>
      <c r="T1" s="81" t="s">
        <v>144</v>
      </c>
      <c r="U1" s="82"/>
      <c r="V1" s="82"/>
      <c r="W1" s="82"/>
      <c r="X1" s="82"/>
      <c r="Y1" s="82"/>
      <c r="Z1" s="82"/>
      <c r="AA1" s="82"/>
      <c r="AB1" s="82"/>
      <c r="AC1" s="82"/>
      <c r="AD1" s="82"/>
      <c r="AE1" s="82"/>
      <c r="AF1" s="82"/>
      <c r="AG1" s="82"/>
      <c r="AH1" s="82"/>
      <c r="AI1" s="82"/>
      <c r="AJ1" s="82"/>
      <c r="AK1" s="42"/>
      <c r="AL1" s="42"/>
      <c r="AN1" s="83" t="s">
        <v>505</v>
      </c>
      <c r="AO1" s="83"/>
      <c r="AP1" s="83"/>
      <c r="AQ1" s="83"/>
      <c r="AS1" s="81" t="s">
        <v>517</v>
      </c>
      <c r="AT1" s="82"/>
      <c r="AU1" s="82"/>
      <c r="AV1" s="82"/>
      <c r="AW1" s="82"/>
      <c r="AX1" s="82"/>
      <c r="AY1" s="82"/>
      <c r="AZ1" s="82"/>
      <c r="BA1" s="82"/>
      <c r="BB1" s="82"/>
      <c r="BC1" s="82"/>
      <c r="BD1" s="82"/>
      <c r="BE1" s="82"/>
      <c r="BF1" s="82"/>
      <c r="BG1" s="82"/>
      <c r="BH1" s="82"/>
      <c r="BI1" s="82"/>
      <c r="BJ1" s="82"/>
      <c r="BK1" s="82"/>
      <c r="BL1" s="82"/>
      <c r="BM1" s="82"/>
    </row>
    <row r="2" spans="1:65" s="10" customFormat="1" ht="30">
      <c r="A2" s="6" t="s">
        <v>135</v>
      </c>
      <c r="B2" s="7" t="s">
        <v>137</v>
      </c>
      <c r="C2" s="7" t="s">
        <v>151</v>
      </c>
      <c r="D2" s="6" t="s">
        <v>136</v>
      </c>
      <c r="E2" s="7" t="s">
        <v>138</v>
      </c>
      <c r="F2" s="6" t="s">
        <v>139</v>
      </c>
      <c r="G2" s="6" t="s">
        <v>158</v>
      </c>
      <c r="H2" s="7" t="s">
        <v>154</v>
      </c>
      <c r="I2" s="6" t="s">
        <v>153</v>
      </c>
      <c r="J2" s="6" t="s">
        <v>155</v>
      </c>
      <c r="K2" s="7" t="s">
        <v>156</v>
      </c>
      <c r="L2" s="6" t="s">
        <v>157</v>
      </c>
      <c r="M2" s="6" t="s">
        <v>159</v>
      </c>
      <c r="N2" s="7" t="s">
        <v>883</v>
      </c>
      <c r="O2" s="7" t="s">
        <v>152</v>
      </c>
      <c r="P2" s="7" t="s">
        <v>160</v>
      </c>
      <c r="Q2" s="7" t="s">
        <v>161</v>
      </c>
      <c r="R2" s="7" t="s">
        <v>162</v>
      </c>
      <c r="S2" s="21"/>
      <c r="T2" s="33" t="s">
        <v>140</v>
      </c>
      <c r="U2" s="33" t="s">
        <v>141</v>
      </c>
      <c r="V2" s="33" t="s">
        <v>142</v>
      </c>
      <c r="W2" s="33" t="s">
        <v>143</v>
      </c>
      <c r="X2" s="33" t="s">
        <v>145</v>
      </c>
      <c r="Y2" s="33" t="s">
        <v>146</v>
      </c>
      <c r="Z2" s="33" t="s">
        <v>147</v>
      </c>
      <c r="AA2" s="33" t="s">
        <v>148</v>
      </c>
      <c r="AB2" s="33" t="s">
        <v>149</v>
      </c>
      <c r="AC2" s="38" t="s">
        <v>786</v>
      </c>
      <c r="AD2" s="38" t="s">
        <v>787</v>
      </c>
      <c r="AE2" s="38" t="s">
        <v>788</v>
      </c>
      <c r="AF2" s="38" t="s">
        <v>789</v>
      </c>
      <c r="AG2" s="38" t="s">
        <v>790</v>
      </c>
      <c r="AH2" s="38" t="s">
        <v>791</v>
      </c>
      <c r="AI2" s="38" t="s">
        <v>792</v>
      </c>
      <c r="AJ2" s="38" t="s">
        <v>793</v>
      </c>
      <c r="AK2" s="38" t="s">
        <v>794</v>
      </c>
      <c r="AL2" s="38" t="s">
        <v>795</v>
      </c>
      <c r="AM2" s="35"/>
      <c r="AN2" s="39" t="s">
        <v>838</v>
      </c>
      <c r="AO2" s="39" t="s">
        <v>839</v>
      </c>
      <c r="AP2" s="34" t="s">
        <v>486</v>
      </c>
      <c r="AQ2" s="50" t="s">
        <v>784</v>
      </c>
      <c r="AS2" s="34" t="s">
        <v>515</v>
      </c>
      <c r="AT2" s="34" t="s">
        <v>516</v>
      </c>
      <c r="AU2" s="33" t="s">
        <v>549</v>
      </c>
      <c r="AV2" s="33" t="s">
        <v>550</v>
      </c>
      <c r="AW2" s="33" t="s">
        <v>551</v>
      </c>
      <c r="AX2" s="33" t="s">
        <v>552</v>
      </c>
      <c r="AY2" s="33" t="s">
        <v>553</v>
      </c>
      <c r="AZ2" s="33" t="s">
        <v>554</v>
      </c>
      <c r="BA2" s="33" t="s">
        <v>555</v>
      </c>
      <c r="BB2" s="33" t="s">
        <v>556</v>
      </c>
      <c r="BC2" s="33" t="s">
        <v>557</v>
      </c>
      <c r="BD2" s="38" t="s">
        <v>796</v>
      </c>
      <c r="BE2" s="38" t="s">
        <v>797</v>
      </c>
      <c r="BF2" s="38" t="s">
        <v>798</v>
      </c>
      <c r="BG2" s="38" t="s">
        <v>799</v>
      </c>
      <c r="BH2" s="38" t="s">
        <v>800</v>
      </c>
      <c r="BI2" s="38" t="s">
        <v>801</v>
      </c>
      <c r="BJ2" s="38" t="s">
        <v>802</v>
      </c>
      <c r="BK2" s="38" t="s">
        <v>803</v>
      </c>
      <c r="BL2" s="38" t="s">
        <v>804</v>
      </c>
      <c r="BM2" s="38" t="s">
        <v>805</v>
      </c>
    </row>
    <row r="3" spans="1:65">
      <c r="A3" s="9">
        <v>1</v>
      </c>
      <c r="B3" s="13">
        <v>10</v>
      </c>
      <c r="C3" s="13">
        <v>0</v>
      </c>
      <c r="D3" s="13">
        <f>C3/B3*100</f>
        <v>0</v>
      </c>
      <c r="E3" s="13">
        <v>0</v>
      </c>
      <c r="F3" s="9">
        <v>0</v>
      </c>
      <c r="G3" s="9">
        <v>0</v>
      </c>
      <c r="H3" s="13">
        <v>10</v>
      </c>
      <c r="I3" s="9">
        <v>0</v>
      </c>
      <c r="J3" s="9">
        <f>I3/H3*100</f>
        <v>0</v>
      </c>
      <c r="K3" s="9">
        <v>0</v>
      </c>
      <c r="L3" s="9">
        <v>0</v>
      </c>
      <c r="M3" s="9">
        <v>0</v>
      </c>
      <c r="N3" s="37">
        <f>SUM(AS3:BM3)</f>
        <v>0</v>
      </c>
      <c r="O3" s="37">
        <v>0</v>
      </c>
      <c r="P3" s="37">
        <v>0</v>
      </c>
      <c r="Q3" s="37">
        <v>0</v>
      </c>
      <c r="R3" s="37">
        <v>0</v>
      </c>
      <c r="T3" s="13">
        <v>0</v>
      </c>
      <c r="U3" s="13">
        <v>0</v>
      </c>
      <c r="V3" s="13">
        <v>0</v>
      </c>
      <c r="W3" s="13">
        <v>0</v>
      </c>
      <c r="X3" s="13">
        <v>0</v>
      </c>
      <c r="Y3" s="13">
        <v>0</v>
      </c>
      <c r="Z3" s="13">
        <v>0</v>
      </c>
      <c r="AA3" s="13">
        <v>0</v>
      </c>
      <c r="AB3" s="13">
        <v>0</v>
      </c>
      <c r="AC3" s="13">
        <v>0</v>
      </c>
      <c r="AD3" s="13">
        <v>0</v>
      </c>
      <c r="AE3" s="13">
        <v>0</v>
      </c>
      <c r="AF3" s="13">
        <v>0</v>
      </c>
      <c r="AG3" s="13">
        <v>0</v>
      </c>
      <c r="AH3" s="13">
        <v>0</v>
      </c>
      <c r="AI3" s="13">
        <v>0</v>
      </c>
      <c r="AJ3" s="13">
        <v>0</v>
      </c>
      <c r="AK3" s="13">
        <v>0</v>
      </c>
      <c r="AL3" s="13">
        <v>0</v>
      </c>
      <c r="AN3" s="36" t="s">
        <v>518</v>
      </c>
      <c r="AO3" s="37">
        <v>500</v>
      </c>
      <c r="AP3" s="9">
        <v>0</v>
      </c>
      <c r="AQ3" s="48">
        <v>10</v>
      </c>
      <c r="AR3" s="37"/>
      <c r="AS3" s="37">
        <v>0</v>
      </c>
      <c r="AT3" s="37">
        <v>0</v>
      </c>
      <c r="AU3" s="37">
        <v>0</v>
      </c>
      <c r="AV3" s="37">
        <v>0</v>
      </c>
      <c r="AW3" s="37">
        <v>0</v>
      </c>
      <c r="AX3" s="37">
        <v>0</v>
      </c>
      <c r="AY3" s="37">
        <v>0</v>
      </c>
      <c r="AZ3" s="37">
        <v>0</v>
      </c>
      <c r="BA3" s="37">
        <v>0</v>
      </c>
      <c r="BB3" s="37">
        <v>0</v>
      </c>
      <c r="BC3" s="37">
        <v>0</v>
      </c>
      <c r="BD3" s="37">
        <v>0</v>
      </c>
      <c r="BE3" s="37">
        <v>0</v>
      </c>
      <c r="BF3" s="37">
        <v>0</v>
      </c>
      <c r="BG3" s="37">
        <v>0</v>
      </c>
      <c r="BH3" s="37">
        <v>0</v>
      </c>
      <c r="BI3" s="37">
        <v>0</v>
      </c>
      <c r="BJ3" s="37">
        <v>0</v>
      </c>
      <c r="BK3" s="37">
        <v>0</v>
      </c>
      <c r="BL3" s="37">
        <v>0</v>
      </c>
      <c r="BM3" s="37">
        <v>0</v>
      </c>
    </row>
    <row r="4" spans="1:65">
      <c r="A4" s="9">
        <v>2</v>
      </c>
      <c r="B4" s="13">
        <v>10</v>
      </c>
      <c r="C4" s="13">
        <v>10</v>
      </c>
      <c r="D4" s="13">
        <f t="shared" ref="D4:D32" si="0">C4/B4*100</f>
        <v>100</v>
      </c>
      <c r="E4" s="13">
        <v>2</v>
      </c>
      <c r="F4" s="9">
        <f>E4/C4*100</f>
        <v>20</v>
      </c>
      <c r="G4" s="9">
        <f>(F4+D4)/2</f>
        <v>60</v>
      </c>
      <c r="H4" s="13">
        <v>10</v>
      </c>
      <c r="I4" s="9">
        <v>9</v>
      </c>
      <c r="J4" s="37">
        <f t="shared" ref="J4:J32" si="1">I4/H4*100</f>
        <v>90</v>
      </c>
      <c r="K4" s="9">
        <v>4.5</v>
      </c>
      <c r="L4" s="30">
        <f>K4/I4*100</f>
        <v>50</v>
      </c>
      <c r="M4" s="30">
        <f>(J4+L4)/2</f>
        <v>70</v>
      </c>
      <c r="N4" s="37">
        <f t="shared" ref="N4:N31" si="2">SUM(AS4:BM4)</f>
        <v>1168.3500000000001</v>
      </c>
      <c r="O4" s="37">
        <v>-67.819297100000014</v>
      </c>
      <c r="P4" s="37">
        <v>36.180702900000007</v>
      </c>
      <c r="Q4" s="37">
        <v>-66.118391599999995</v>
      </c>
      <c r="R4" s="37">
        <v>37.881608400000005</v>
      </c>
      <c r="T4" s="13">
        <v>4.45</v>
      </c>
      <c r="U4" s="13">
        <v>4.5</v>
      </c>
      <c r="V4" s="13">
        <v>4.7</v>
      </c>
      <c r="W4" s="13">
        <v>4.7</v>
      </c>
      <c r="X4" s="13">
        <v>4.7</v>
      </c>
      <c r="Y4" s="13">
        <v>3.4</v>
      </c>
      <c r="Z4" s="13">
        <v>3.75</v>
      </c>
      <c r="AA4" s="13">
        <v>3.9</v>
      </c>
      <c r="AB4" s="13">
        <v>4.25</v>
      </c>
      <c r="AC4" s="13">
        <v>3.8</v>
      </c>
      <c r="AD4" s="13">
        <v>4.7</v>
      </c>
      <c r="AE4" s="13">
        <v>4.3</v>
      </c>
      <c r="AF4" s="13">
        <v>5</v>
      </c>
      <c r="AG4" s="13">
        <v>5.15</v>
      </c>
      <c r="AH4" s="13">
        <v>4.45</v>
      </c>
      <c r="AI4" s="13">
        <v>4.3</v>
      </c>
      <c r="AJ4" s="13">
        <v>5.0999999999999996</v>
      </c>
      <c r="AK4" s="13">
        <v>4.3</v>
      </c>
      <c r="AL4" s="13">
        <v>5.05</v>
      </c>
      <c r="AN4" s="36" t="s">
        <v>519</v>
      </c>
      <c r="AO4" s="37">
        <v>500</v>
      </c>
      <c r="AP4" s="43">
        <v>8.5195999999999994E-2</v>
      </c>
      <c r="AQ4" s="48">
        <v>8</v>
      </c>
      <c r="AR4" s="37"/>
      <c r="AS4" s="37">
        <v>57.99</v>
      </c>
      <c r="AT4" s="37">
        <v>56.43</v>
      </c>
      <c r="AU4" s="37">
        <v>55.86</v>
      </c>
      <c r="AV4" s="37">
        <v>56.43</v>
      </c>
      <c r="AW4" s="37">
        <v>58.71</v>
      </c>
      <c r="AX4" s="37">
        <v>58.71</v>
      </c>
      <c r="AY4" s="37">
        <v>58.71</v>
      </c>
      <c r="AZ4" s="37">
        <v>42.18</v>
      </c>
      <c r="BA4" s="37">
        <v>47.31</v>
      </c>
      <c r="BB4" s="37">
        <v>49.02</v>
      </c>
      <c r="BC4" s="37">
        <v>53.58</v>
      </c>
      <c r="BD4" s="37">
        <v>47.88</v>
      </c>
      <c r="BE4" s="37">
        <v>58.71</v>
      </c>
      <c r="BF4" s="37">
        <v>53.58</v>
      </c>
      <c r="BG4" s="37">
        <v>61.56</v>
      </c>
      <c r="BH4" s="37">
        <v>63.84</v>
      </c>
      <c r="BI4" s="37">
        <v>55.29</v>
      </c>
      <c r="BJ4" s="37">
        <v>53.01</v>
      </c>
      <c r="BK4" s="37">
        <v>63.27</v>
      </c>
      <c r="BL4" s="37">
        <v>53.58</v>
      </c>
      <c r="BM4" s="37">
        <v>62.7</v>
      </c>
    </row>
    <row r="5" spans="1:65">
      <c r="A5" s="9">
        <v>3</v>
      </c>
      <c r="B5" s="13">
        <v>10</v>
      </c>
      <c r="C5" s="13">
        <v>10</v>
      </c>
      <c r="D5" s="13">
        <f t="shared" si="0"/>
        <v>100</v>
      </c>
      <c r="E5" s="13">
        <v>1</v>
      </c>
      <c r="F5" s="37">
        <f t="shared" ref="F5:F32" si="3">E5/C5*100</f>
        <v>10</v>
      </c>
      <c r="G5" s="37">
        <f t="shared" ref="G5:G32" si="4">(F5+D5)/2</f>
        <v>55</v>
      </c>
      <c r="H5" s="13">
        <v>10</v>
      </c>
      <c r="I5" s="9">
        <v>10</v>
      </c>
      <c r="J5" s="37">
        <f t="shared" si="1"/>
        <v>100</v>
      </c>
      <c r="K5" s="37">
        <v>4.9000000000000004</v>
      </c>
      <c r="L5" s="30">
        <f t="shared" ref="L5:L32" si="5">K5/I5*100</f>
        <v>49.000000000000007</v>
      </c>
      <c r="M5" s="30">
        <f t="shared" ref="M5:M32" si="6">(J5+L5)/2</f>
        <v>74.5</v>
      </c>
      <c r="N5" s="37">
        <f t="shared" si="2"/>
        <v>1378.11</v>
      </c>
      <c r="O5" s="37">
        <v>-66.017478850000003</v>
      </c>
      <c r="P5" s="37">
        <v>37.982521150000011</v>
      </c>
      <c r="Q5" s="37">
        <v>-65.811858200000003</v>
      </c>
      <c r="R5" s="37">
        <v>38.188141799999997</v>
      </c>
      <c r="T5" s="13">
        <v>5.55</v>
      </c>
      <c r="U5" s="13">
        <v>5.25</v>
      </c>
      <c r="V5" s="13">
        <v>4.95</v>
      </c>
      <c r="W5" s="13">
        <v>4.45</v>
      </c>
      <c r="X5" s="13">
        <v>5.3</v>
      </c>
      <c r="Y5" s="13">
        <v>5.35</v>
      </c>
      <c r="Z5" s="13">
        <v>5.25</v>
      </c>
      <c r="AA5" s="13">
        <v>5.4</v>
      </c>
      <c r="AB5" s="13">
        <v>5.45</v>
      </c>
      <c r="AC5" s="13">
        <v>4.4000000000000004</v>
      </c>
      <c r="AD5" s="13">
        <v>5.7</v>
      </c>
      <c r="AE5" s="13">
        <v>4.95</v>
      </c>
      <c r="AF5" s="13">
        <v>5.6</v>
      </c>
      <c r="AG5" s="13">
        <v>5.05</v>
      </c>
      <c r="AH5" s="13">
        <v>5.85</v>
      </c>
      <c r="AI5" s="13">
        <v>5.55</v>
      </c>
      <c r="AJ5" s="13">
        <v>5.7</v>
      </c>
      <c r="AK5" s="13">
        <v>5.65</v>
      </c>
      <c r="AL5" s="13">
        <v>4.95</v>
      </c>
      <c r="AN5" s="36" t="s">
        <v>520</v>
      </c>
      <c r="AO5" s="37">
        <v>500</v>
      </c>
      <c r="AP5" s="43">
        <v>8.1265500000000004E-2</v>
      </c>
      <c r="AQ5" s="48">
        <v>9</v>
      </c>
      <c r="AR5" s="37"/>
      <c r="AS5" s="37">
        <v>63.12</v>
      </c>
      <c r="AT5" s="37">
        <v>66.69</v>
      </c>
      <c r="AU5" s="37">
        <v>68.97</v>
      </c>
      <c r="AV5" s="37">
        <v>65.55</v>
      </c>
      <c r="AW5" s="37">
        <v>61.56</v>
      </c>
      <c r="AX5" s="37">
        <v>55.86</v>
      </c>
      <c r="AY5" s="37">
        <v>66.12</v>
      </c>
      <c r="AZ5" s="37">
        <v>66.69</v>
      </c>
      <c r="BA5" s="37">
        <v>65.55</v>
      </c>
      <c r="BB5" s="37">
        <v>67.260000000000005</v>
      </c>
      <c r="BC5" s="37">
        <v>67.83</v>
      </c>
      <c r="BD5" s="37">
        <v>54.72</v>
      </c>
      <c r="BE5" s="37">
        <v>70.680000000000007</v>
      </c>
      <c r="BF5" s="37">
        <v>61.56</v>
      </c>
      <c r="BG5" s="37">
        <v>69.540000000000006</v>
      </c>
      <c r="BH5" s="37">
        <v>62.7</v>
      </c>
      <c r="BI5" s="37">
        <v>72.39</v>
      </c>
      <c r="BJ5" s="37">
        <v>68.97</v>
      </c>
      <c r="BK5" s="37">
        <v>70.680000000000007</v>
      </c>
      <c r="BL5" s="37">
        <v>70.11</v>
      </c>
      <c r="BM5" s="37">
        <v>61.56</v>
      </c>
    </row>
    <row r="6" spans="1:65">
      <c r="A6" s="9">
        <v>4</v>
      </c>
      <c r="B6" s="13">
        <v>10</v>
      </c>
      <c r="C6" s="13">
        <v>10</v>
      </c>
      <c r="D6" s="13">
        <f t="shared" si="0"/>
        <v>100</v>
      </c>
      <c r="E6" s="13">
        <v>4</v>
      </c>
      <c r="F6" s="37">
        <f t="shared" si="3"/>
        <v>40</v>
      </c>
      <c r="G6" s="37">
        <f t="shared" si="4"/>
        <v>70</v>
      </c>
      <c r="H6" s="13">
        <v>10</v>
      </c>
      <c r="I6" s="9">
        <v>10</v>
      </c>
      <c r="J6" s="37">
        <f t="shared" si="1"/>
        <v>100</v>
      </c>
      <c r="K6" s="37">
        <v>4.7</v>
      </c>
      <c r="L6" s="30">
        <f t="shared" si="5"/>
        <v>47</v>
      </c>
      <c r="M6" s="30">
        <f t="shared" si="6"/>
        <v>73.5</v>
      </c>
      <c r="N6" s="37">
        <f t="shared" si="2"/>
        <v>1277.22</v>
      </c>
      <c r="O6" s="37">
        <v>-64.083302750000001</v>
      </c>
      <c r="P6" s="37">
        <v>39.916697250000006</v>
      </c>
      <c r="Q6" s="37">
        <v>-63.320227000000003</v>
      </c>
      <c r="R6" s="37">
        <v>40.679772999999997</v>
      </c>
      <c r="T6" s="13">
        <v>5.05</v>
      </c>
      <c r="U6" s="13">
        <v>5.2</v>
      </c>
      <c r="V6" s="13">
        <v>4.5999999999999996</v>
      </c>
      <c r="W6" s="13">
        <v>4.25</v>
      </c>
      <c r="X6" s="13">
        <v>4.8499999999999996</v>
      </c>
      <c r="Y6" s="13">
        <v>4.55</v>
      </c>
      <c r="Z6" s="13">
        <v>4.9000000000000004</v>
      </c>
      <c r="AA6" s="13">
        <v>4.7</v>
      </c>
      <c r="AB6" s="13">
        <v>4.6500000000000004</v>
      </c>
      <c r="AC6" s="13">
        <v>4.95</v>
      </c>
      <c r="AD6" s="13">
        <v>4.25</v>
      </c>
      <c r="AE6" s="13">
        <v>4.95</v>
      </c>
      <c r="AF6" s="13">
        <v>4.5</v>
      </c>
      <c r="AG6" s="13">
        <v>4.6500000000000004</v>
      </c>
      <c r="AH6" s="13">
        <v>5.25</v>
      </c>
      <c r="AI6" s="13">
        <v>5</v>
      </c>
      <c r="AJ6" s="13">
        <v>5.6</v>
      </c>
      <c r="AK6" s="13">
        <v>4.8499999999999996</v>
      </c>
      <c r="AL6" s="13">
        <v>5.5</v>
      </c>
      <c r="AN6" s="36" t="s">
        <v>521</v>
      </c>
      <c r="AO6" s="37">
        <v>500</v>
      </c>
      <c r="AP6" s="43">
        <v>6.0290999999999997E-2</v>
      </c>
      <c r="AQ6" s="48">
        <v>6</v>
      </c>
      <c r="AR6" s="37"/>
      <c r="AS6" s="37">
        <v>60.84</v>
      </c>
      <c r="AT6" s="37">
        <v>60.42</v>
      </c>
      <c r="AU6" s="37">
        <v>63.27</v>
      </c>
      <c r="AV6" s="37">
        <v>64.98</v>
      </c>
      <c r="AW6" s="37">
        <v>58.14</v>
      </c>
      <c r="AX6" s="37">
        <v>53.58</v>
      </c>
      <c r="AY6" s="37">
        <v>60.99</v>
      </c>
      <c r="AZ6" s="37">
        <v>57</v>
      </c>
      <c r="BA6" s="37">
        <v>61.56</v>
      </c>
      <c r="BB6" s="37">
        <v>59.28</v>
      </c>
      <c r="BC6" s="37">
        <v>58.14</v>
      </c>
      <c r="BD6" s="37">
        <v>62.13</v>
      </c>
      <c r="BE6" s="37">
        <v>54.15</v>
      </c>
      <c r="BF6" s="37">
        <v>62.13</v>
      </c>
      <c r="BG6" s="37">
        <v>56.43</v>
      </c>
      <c r="BH6" s="37">
        <v>58.14</v>
      </c>
      <c r="BI6" s="37">
        <v>65.55</v>
      </c>
      <c r="BJ6" s="37">
        <v>62.13</v>
      </c>
      <c r="BK6" s="37">
        <v>69.540000000000006</v>
      </c>
      <c r="BL6" s="37">
        <v>60.42</v>
      </c>
      <c r="BM6" s="37">
        <v>68.400000000000006</v>
      </c>
    </row>
    <row r="7" spans="1:65">
      <c r="A7" s="9">
        <v>5</v>
      </c>
      <c r="B7" s="13">
        <v>10</v>
      </c>
      <c r="C7" s="13">
        <v>9</v>
      </c>
      <c r="D7" s="13">
        <f t="shared" si="0"/>
        <v>90</v>
      </c>
      <c r="E7" s="13">
        <v>4</v>
      </c>
      <c r="F7" s="13">
        <f t="shared" si="3"/>
        <v>44.444444444444443</v>
      </c>
      <c r="G7" s="13">
        <f t="shared" si="4"/>
        <v>67.222222222222229</v>
      </c>
      <c r="H7" s="13">
        <v>10</v>
      </c>
      <c r="I7" s="9">
        <v>9</v>
      </c>
      <c r="J7" s="37">
        <f t="shared" si="1"/>
        <v>90</v>
      </c>
      <c r="K7" s="37">
        <v>4.55</v>
      </c>
      <c r="L7" s="30">
        <f t="shared" si="5"/>
        <v>50.555555555555557</v>
      </c>
      <c r="M7" s="30">
        <f t="shared" si="6"/>
        <v>70.277777777777771</v>
      </c>
      <c r="N7" s="37">
        <f t="shared" si="2"/>
        <v>1317.1200000000001</v>
      </c>
      <c r="O7" s="37">
        <v>-63.706507150000007</v>
      </c>
      <c r="P7" s="37">
        <v>40.29349285</v>
      </c>
      <c r="Q7" s="37">
        <v>-66.395569100000003</v>
      </c>
      <c r="R7" s="37">
        <v>37.604430899999997</v>
      </c>
      <c r="T7" s="13">
        <v>5.05</v>
      </c>
      <c r="U7" s="13">
        <v>5.0999999999999996</v>
      </c>
      <c r="V7" s="13">
        <v>5.25</v>
      </c>
      <c r="W7" s="13">
        <v>5.15</v>
      </c>
      <c r="X7" s="13">
        <v>4.6500000000000004</v>
      </c>
      <c r="Y7" s="13">
        <v>4.0999999999999996</v>
      </c>
      <c r="Z7" s="13">
        <v>5.25</v>
      </c>
      <c r="AA7" s="13">
        <v>5.2</v>
      </c>
      <c r="AB7" s="13">
        <v>4.95</v>
      </c>
      <c r="AC7" s="13">
        <v>5</v>
      </c>
      <c r="AD7" s="13">
        <v>5.15</v>
      </c>
      <c r="AE7" s="13">
        <v>4.7</v>
      </c>
      <c r="AF7" s="13">
        <v>5.45</v>
      </c>
      <c r="AG7" s="13">
        <v>5.4</v>
      </c>
      <c r="AH7" s="13">
        <v>5.5</v>
      </c>
      <c r="AI7" s="13">
        <v>5.15</v>
      </c>
      <c r="AJ7" s="13">
        <v>5.25</v>
      </c>
      <c r="AK7" s="13">
        <v>5.3</v>
      </c>
      <c r="AL7" s="13">
        <v>3.95</v>
      </c>
      <c r="AN7" s="36" t="s">
        <v>522</v>
      </c>
      <c r="AO7" s="37">
        <v>500</v>
      </c>
      <c r="AP7" s="43">
        <v>5.8547000000000002E-2</v>
      </c>
      <c r="AQ7" s="48">
        <v>6</v>
      </c>
      <c r="AR7" s="37"/>
      <c r="AS7" s="37">
        <v>59.13</v>
      </c>
      <c r="AT7" s="37">
        <v>63.84</v>
      </c>
      <c r="AU7" s="37">
        <v>63.27</v>
      </c>
      <c r="AV7" s="37">
        <v>63.84</v>
      </c>
      <c r="AW7" s="37">
        <v>65.55</v>
      </c>
      <c r="AX7" s="37">
        <v>64.41</v>
      </c>
      <c r="AY7" s="37">
        <v>58.14</v>
      </c>
      <c r="AZ7" s="37">
        <v>51.3</v>
      </c>
      <c r="BA7" s="37">
        <v>65.55</v>
      </c>
      <c r="BB7" s="37">
        <v>64.98</v>
      </c>
      <c r="BC7" s="37">
        <v>62.13</v>
      </c>
      <c r="BD7" s="37">
        <v>62.7</v>
      </c>
      <c r="BE7" s="37">
        <v>64.41</v>
      </c>
      <c r="BF7" s="37">
        <v>58.71</v>
      </c>
      <c r="BG7" s="37">
        <v>67.83</v>
      </c>
      <c r="BH7" s="37">
        <v>67.260000000000005</v>
      </c>
      <c r="BI7" s="37">
        <v>68.400000000000006</v>
      </c>
      <c r="BJ7" s="37">
        <v>64.41</v>
      </c>
      <c r="BK7" s="37">
        <v>65.55</v>
      </c>
      <c r="BL7" s="37">
        <v>66.12</v>
      </c>
      <c r="BM7" s="37">
        <v>49.59</v>
      </c>
    </row>
    <row r="8" spans="1:65">
      <c r="A8" s="9">
        <v>6</v>
      </c>
      <c r="B8" s="13">
        <v>10</v>
      </c>
      <c r="C8" s="13">
        <v>10</v>
      </c>
      <c r="D8" s="13">
        <f t="shared" si="0"/>
        <v>100</v>
      </c>
      <c r="E8" s="13">
        <v>2</v>
      </c>
      <c r="F8" s="13">
        <f t="shared" si="3"/>
        <v>20</v>
      </c>
      <c r="G8" s="13">
        <f t="shared" si="4"/>
        <v>60</v>
      </c>
      <c r="H8" s="13">
        <v>10</v>
      </c>
      <c r="I8" s="9">
        <v>10</v>
      </c>
      <c r="J8" s="37">
        <f t="shared" si="1"/>
        <v>100</v>
      </c>
      <c r="K8" s="37">
        <v>4.95</v>
      </c>
      <c r="L8" s="30">
        <f t="shared" si="5"/>
        <v>49.5</v>
      </c>
      <c r="M8" s="30">
        <f t="shared" si="6"/>
        <v>74.75</v>
      </c>
      <c r="N8" s="37">
        <f t="shared" si="2"/>
        <v>1358.73</v>
      </c>
      <c r="O8" s="37">
        <v>-64.010490400000009</v>
      </c>
      <c r="P8" s="37">
        <v>39.989509599999998</v>
      </c>
      <c r="Q8" s="37">
        <v>-64.01033480000001</v>
      </c>
      <c r="R8" s="37">
        <v>39.989665200000005</v>
      </c>
      <c r="T8" s="13">
        <v>5.25</v>
      </c>
      <c r="U8" s="13">
        <v>4.9000000000000004</v>
      </c>
      <c r="V8" s="13">
        <v>5.25</v>
      </c>
      <c r="W8" s="13">
        <v>4.75</v>
      </c>
      <c r="X8" s="13">
        <v>5.4</v>
      </c>
      <c r="Y8" s="13">
        <v>5.45</v>
      </c>
      <c r="Z8" s="13">
        <v>5.15</v>
      </c>
      <c r="AA8" s="13">
        <v>4.5999999999999996</v>
      </c>
      <c r="AB8" s="13">
        <v>5.15</v>
      </c>
      <c r="AC8" s="13">
        <v>4.1500000000000004</v>
      </c>
      <c r="AD8" s="13">
        <v>5.3</v>
      </c>
      <c r="AE8" s="13">
        <v>5.5</v>
      </c>
      <c r="AF8" s="13">
        <v>5.35</v>
      </c>
      <c r="AG8" s="13">
        <v>5.2</v>
      </c>
      <c r="AH8" s="13">
        <v>5.45</v>
      </c>
      <c r="AI8" s="13">
        <v>5.45</v>
      </c>
      <c r="AJ8" s="13">
        <v>5.0999999999999996</v>
      </c>
      <c r="AK8" s="13">
        <v>5.75</v>
      </c>
      <c r="AL8" s="13">
        <v>5.5</v>
      </c>
      <c r="AN8" s="36" t="s">
        <v>523</v>
      </c>
      <c r="AO8" s="37">
        <v>500</v>
      </c>
      <c r="AP8" s="43">
        <v>5.6264499999999995E-2</v>
      </c>
      <c r="AQ8" s="48">
        <v>8</v>
      </c>
      <c r="AR8" s="37"/>
      <c r="AS8" s="37">
        <v>63.69</v>
      </c>
      <c r="AT8" s="37">
        <v>65.55</v>
      </c>
      <c r="AU8" s="37">
        <v>65.55</v>
      </c>
      <c r="AV8" s="37">
        <v>60.99</v>
      </c>
      <c r="AW8" s="37">
        <v>65.55</v>
      </c>
      <c r="AX8" s="37">
        <v>59.28</v>
      </c>
      <c r="AY8" s="37">
        <v>67.260000000000005</v>
      </c>
      <c r="AZ8" s="37">
        <v>67.83</v>
      </c>
      <c r="BA8" s="37">
        <v>64.41</v>
      </c>
      <c r="BB8" s="37">
        <v>57.57</v>
      </c>
      <c r="BC8" s="37">
        <v>64.41</v>
      </c>
      <c r="BD8" s="37">
        <v>51.87</v>
      </c>
      <c r="BE8" s="37">
        <v>66.12</v>
      </c>
      <c r="BF8" s="37">
        <v>68.400000000000006</v>
      </c>
      <c r="BG8" s="37">
        <v>66.69</v>
      </c>
      <c r="BH8" s="37">
        <v>64.98</v>
      </c>
      <c r="BI8" s="37">
        <v>67.83</v>
      </c>
      <c r="BJ8" s="37">
        <v>67.83</v>
      </c>
      <c r="BK8" s="37">
        <v>63.27</v>
      </c>
      <c r="BL8" s="37">
        <v>71.25</v>
      </c>
      <c r="BM8" s="37">
        <v>68.400000000000006</v>
      </c>
    </row>
    <row r="9" spans="1:65">
      <c r="A9" s="9">
        <v>7</v>
      </c>
      <c r="B9" s="13">
        <v>10</v>
      </c>
      <c r="C9" s="13">
        <v>10</v>
      </c>
      <c r="D9" s="13">
        <f t="shared" si="0"/>
        <v>100</v>
      </c>
      <c r="E9" s="13">
        <v>6</v>
      </c>
      <c r="F9" s="13">
        <f t="shared" si="3"/>
        <v>60</v>
      </c>
      <c r="G9" s="13">
        <f t="shared" si="4"/>
        <v>80</v>
      </c>
      <c r="H9" s="13">
        <v>10</v>
      </c>
      <c r="I9" s="9">
        <v>10</v>
      </c>
      <c r="J9" s="37">
        <f t="shared" si="1"/>
        <v>100</v>
      </c>
      <c r="K9" s="37">
        <v>5</v>
      </c>
      <c r="L9" s="30">
        <f t="shared" si="5"/>
        <v>50</v>
      </c>
      <c r="M9" s="30">
        <f t="shared" si="6"/>
        <v>75</v>
      </c>
      <c r="N9" s="37">
        <f t="shared" si="2"/>
        <v>1402.62</v>
      </c>
      <c r="O9" s="37">
        <v>-61.666154849999998</v>
      </c>
      <c r="P9" s="37">
        <v>42.333845149999988</v>
      </c>
      <c r="Q9" s="37">
        <v>-60.626664199999993</v>
      </c>
      <c r="R9" s="37">
        <v>43.3733358</v>
      </c>
      <c r="T9" s="13">
        <v>5.55</v>
      </c>
      <c r="U9" s="13">
        <v>5.4</v>
      </c>
      <c r="V9" s="13">
        <v>5.4</v>
      </c>
      <c r="W9" s="13">
        <v>5.55</v>
      </c>
      <c r="X9" s="13">
        <v>4.55</v>
      </c>
      <c r="Y9" s="13">
        <v>5.2</v>
      </c>
      <c r="Z9" s="13">
        <v>5.25</v>
      </c>
      <c r="AA9" s="13">
        <v>5.25</v>
      </c>
      <c r="AB9" s="13">
        <v>5.15</v>
      </c>
      <c r="AC9" s="13">
        <v>5.55</v>
      </c>
      <c r="AD9" s="13">
        <v>4.75</v>
      </c>
      <c r="AE9" s="13">
        <v>5.7</v>
      </c>
      <c r="AF9" s="13">
        <v>5.8</v>
      </c>
      <c r="AG9" s="13">
        <v>5</v>
      </c>
      <c r="AH9" s="13">
        <v>5.65</v>
      </c>
      <c r="AI9" s="13">
        <v>5.65</v>
      </c>
      <c r="AJ9" s="13">
        <v>5.9</v>
      </c>
      <c r="AK9" s="13">
        <v>5</v>
      </c>
      <c r="AL9" s="13">
        <v>5.8</v>
      </c>
      <c r="AN9" s="36" t="s">
        <v>524</v>
      </c>
      <c r="AO9" s="37">
        <v>500</v>
      </c>
      <c r="AP9" s="43">
        <v>5.645466666666666E-2</v>
      </c>
      <c r="AQ9" s="48">
        <v>4</v>
      </c>
      <c r="AR9" s="37"/>
      <c r="AS9" s="37">
        <v>64.260000000000005</v>
      </c>
      <c r="AT9" s="37">
        <v>68.97</v>
      </c>
      <c r="AU9" s="37">
        <v>68.97</v>
      </c>
      <c r="AV9" s="37">
        <v>67.260000000000005</v>
      </c>
      <c r="AW9" s="37">
        <v>67.260000000000005</v>
      </c>
      <c r="AX9" s="37">
        <v>68.97</v>
      </c>
      <c r="AY9" s="37">
        <v>57</v>
      </c>
      <c r="AZ9" s="37">
        <v>64.98</v>
      </c>
      <c r="BA9" s="37">
        <v>64.98</v>
      </c>
      <c r="BB9" s="37">
        <v>65.55</v>
      </c>
      <c r="BC9" s="37">
        <v>64.41</v>
      </c>
      <c r="BD9" s="37">
        <v>68.97</v>
      </c>
      <c r="BE9" s="37">
        <v>59.28</v>
      </c>
      <c r="BF9" s="37">
        <v>70.680000000000007</v>
      </c>
      <c r="BG9" s="37">
        <v>71.819999999999993</v>
      </c>
      <c r="BH9" s="37">
        <v>62.13</v>
      </c>
      <c r="BI9" s="37">
        <v>70.11</v>
      </c>
      <c r="BJ9" s="37">
        <v>70.11</v>
      </c>
      <c r="BK9" s="37">
        <v>72.959999999999994</v>
      </c>
      <c r="BL9" s="37">
        <v>62.13</v>
      </c>
      <c r="BM9" s="37">
        <v>71.819999999999993</v>
      </c>
    </row>
    <row r="10" spans="1:65">
      <c r="A10" s="9">
        <v>8</v>
      </c>
      <c r="B10" s="13">
        <v>10</v>
      </c>
      <c r="C10" s="13">
        <v>10</v>
      </c>
      <c r="D10" s="13">
        <f t="shared" si="0"/>
        <v>100</v>
      </c>
      <c r="E10" s="13">
        <v>3</v>
      </c>
      <c r="F10" s="13">
        <f t="shared" si="3"/>
        <v>30</v>
      </c>
      <c r="G10" s="13">
        <f t="shared" si="4"/>
        <v>65</v>
      </c>
      <c r="H10" s="13">
        <v>10</v>
      </c>
      <c r="I10" s="9">
        <v>10</v>
      </c>
      <c r="J10" s="37">
        <f t="shared" si="1"/>
        <v>100</v>
      </c>
      <c r="K10" s="37">
        <v>5.05</v>
      </c>
      <c r="L10" s="30">
        <f t="shared" si="5"/>
        <v>50.5</v>
      </c>
      <c r="M10" s="30">
        <f t="shared" si="6"/>
        <v>75.25</v>
      </c>
      <c r="N10" s="37">
        <f t="shared" si="2"/>
        <v>1351.8899999999999</v>
      </c>
      <c r="O10" s="37">
        <v>-61.673017500000014</v>
      </c>
      <c r="P10" s="37">
        <v>42.3269825</v>
      </c>
      <c r="Q10" s="37">
        <v>-61.298186900000005</v>
      </c>
      <c r="R10" s="37">
        <v>42.701813100000003</v>
      </c>
      <c r="T10" s="13">
        <v>5.2</v>
      </c>
      <c r="U10" s="13">
        <v>5.4</v>
      </c>
      <c r="V10" s="13">
        <v>5.0999999999999996</v>
      </c>
      <c r="W10" s="13">
        <v>5.05</v>
      </c>
      <c r="X10" s="13">
        <v>5.55</v>
      </c>
      <c r="Y10" s="13">
        <v>4.8499999999999996</v>
      </c>
      <c r="Z10" s="13">
        <v>4.2</v>
      </c>
      <c r="AA10" s="13">
        <v>4.45</v>
      </c>
      <c r="AB10" s="13">
        <v>5.55</v>
      </c>
      <c r="AC10" s="13">
        <v>4.6500000000000004</v>
      </c>
      <c r="AD10" s="13">
        <v>4.8</v>
      </c>
      <c r="AE10" s="13">
        <v>4.6500000000000004</v>
      </c>
      <c r="AF10" s="13">
        <v>5.4</v>
      </c>
      <c r="AG10" s="13">
        <v>5.4</v>
      </c>
      <c r="AH10" s="13">
        <v>5.45</v>
      </c>
      <c r="AI10" s="13">
        <v>5.5</v>
      </c>
      <c r="AJ10" s="13">
        <v>5.75</v>
      </c>
      <c r="AK10" s="13">
        <v>5.6</v>
      </c>
      <c r="AL10" s="13">
        <v>5.4</v>
      </c>
      <c r="AN10" s="36" t="s">
        <v>525</v>
      </c>
      <c r="AO10" s="37">
        <v>500</v>
      </c>
      <c r="AP10" s="43">
        <v>5.7735000000000002E-2</v>
      </c>
      <c r="AQ10" s="48">
        <v>7</v>
      </c>
      <c r="AR10" s="37"/>
      <c r="AS10" s="37">
        <v>64.83</v>
      </c>
      <c r="AT10" s="37">
        <v>66.12</v>
      </c>
      <c r="AU10" s="37">
        <v>64.98</v>
      </c>
      <c r="AV10" s="37">
        <v>67.260000000000005</v>
      </c>
      <c r="AW10" s="37">
        <v>63.84</v>
      </c>
      <c r="AX10" s="37">
        <v>63.27</v>
      </c>
      <c r="AY10" s="37">
        <v>68.97</v>
      </c>
      <c r="AZ10" s="37">
        <v>60.42</v>
      </c>
      <c r="BA10" s="37">
        <v>52.44</v>
      </c>
      <c r="BB10" s="37">
        <v>55.86</v>
      </c>
      <c r="BC10" s="37">
        <v>68.97</v>
      </c>
      <c r="BD10" s="37">
        <v>58.14</v>
      </c>
      <c r="BE10" s="37">
        <v>59.85</v>
      </c>
      <c r="BF10" s="37">
        <v>58.14</v>
      </c>
      <c r="BG10" s="37">
        <v>67.260000000000005</v>
      </c>
      <c r="BH10" s="37">
        <v>67.260000000000005</v>
      </c>
      <c r="BI10" s="37">
        <v>67.83</v>
      </c>
      <c r="BJ10" s="37">
        <v>68.400000000000006</v>
      </c>
      <c r="BK10" s="37">
        <v>71.25</v>
      </c>
      <c r="BL10" s="37">
        <v>69.540000000000006</v>
      </c>
      <c r="BM10" s="37">
        <v>67.260000000000005</v>
      </c>
    </row>
    <row r="11" spans="1:65">
      <c r="A11" s="9">
        <v>9</v>
      </c>
      <c r="B11" s="13">
        <v>10</v>
      </c>
      <c r="C11" s="13">
        <v>10</v>
      </c>
      <c r="D11" s="13">
        <f t="shared" si="0"/>
        <v>100</v>
      </c>
      <c r="E11" s="13">
        <v>4</v>
      </c>
      <c r="F11" s="13">
        <f t="shared" si="3"/>
        <v>40</v>
      </c>
      <c r="G11" s="13">
        <f t="shared" si="4"/>
        <v>70</v>
      </c>
      <c r="H11" s="13">
        <v>10</v>
      </c>
      <c r="I11" s="9">
        <v>10</v>
      </c>
      <c r="J11" s="37">
        <f t="shared" si="1"/>
        <v>100</v>
      </c>
      <c r="K11" s="37">
        <v>5.0999999999999996</v>
      </c>
      <c r="L11" s="30">
        <f t="shared" si="5"/>
        <v>51</v>
      </c>
      <c r="M11" s="30">
        <f t="shared" si="6"/>
        <v>75.5</v>
      </c>
      <c r="N11" s="37">
        <f t="shared" si="2"/>
        <v>1333.6499999999999</v>
      </c>
      <c r="O11" s="37">
        <v>-58.838063999999996</v>
      </c>
      <c r="P11" s="37">
        <v>45.161936000000004</v>
      </c>
      <c r="Q11" s="37">
        <v>-57.240332200000012</v>
      </c>
      <c r="R11" s="37">
        <v>46.759667800000003</v>
      </c>
      <c r="T11" s="13">
        <v>5.5</v>
      </c>
      <c r="U11" s="13">
        <v>5.4</v>
      </c>
      <c r="V11" s="13">
        <v>5.0999999999999996</v>
      </c>
      <c r="W11" s="13">
        <v>5.15</v>
      </c>
      <c r="X11" s="13">
        <v>5.0999999999999996</v>
      </c>
      <c r="Y11" s="13">
        <v>5.2</v>
      </c>
      <c r="Z11" s="13">
        <v>4.5</v>
      </c>
      <c r="AA11" s="13">
        <v>4.7</v>
      </c>
      <c r="AB11" s="13">
        <v>5.25</v>
      </c>
      <c r="AC11" s="13">
        <v>5.45</v>
      </c>
      <c r="AD11" s="13">
        <v>5.35</v>
      </c>
      <c r="AE11" s="13">
        <v>4.8</v>
      </c>
      <c r="AF11" s="13">
        <v>5.3</v>
      </c>
      <c r="AG11" s="13">
        <v>4.9000000000000004</v>
      </c>
      <c r="AH11" s="13">
        <v>5.6</v>
      </c>
      <c r="AI11" s="13">
        <v>4.7</v>
      </c>
      <c r="AJ11" s="13">
        <v>5.0999999999999996</v>
      </c>
      <c r="AK11" s="13">
        <v>4.4000000000000004</v>
      </c>
      <c r="AL11" s="13">
        <v>4.8</v>
      </c>
      <c r="AN11" s="36" t="s">
        <v>526</v>
      </c>
      <c r="AO11" s="37">
        <v>500</v>
      </c>
      <c r="AP11" s="43">
        <v>5.6903500000000003E-2</v>
      </c>
      <c r="AQ11" s="48">
        <v>6</v>
      </c>
      <c r="AR11" s="37"/>
      <c r="AS11" s="37">
        <v>65.400000000000006</v>
      </c>
      <c r="AT11" s="37">
        <v>66.69</v>
      </c>
      <c r="AU11" s="37">
        <v>68.400000000000006</v>
      </c>
      <c r="AV11" s="37">
        <v>67.260000000000005</v>
      </c>
      <c r="AW11" s="37">
        <v>63.84</v>
      </c>
      <c r="AX11" s="37">
        <v>64.41</v>
      </c>
      <c r="AY11" s="37">
        <v>63.84</v>
      </c>
      <c r="AZ11" s="37">
        <v>64.98</v>
      </c>
      <c r="BA11" s="37">
        <v>56.43</v>
      </c>
      <c r="BB11" s="37">
        <v>58.71</v>
      </c>
      <c r="BC11" s="37">
        <v>65.55</v>
      </c>
      <c r="BD11" s="37">
        <v>67.83</v>
      </c>
      <c r="BE11" s="37">
        <v>66.69</v>
      </c>
      <c r="BF11" s="37">
        <v>59.85</v>
      </c>
      <c r="BG11" s="37">
        <v>66.12</v>
      </c>
      <c r="BH11" s="37">
        <v>60.99</v>
      </c>
      <c r="BI11" s="37">
        <v>69.540000000000006</v>
      </c>
      <c r="BJ11" s="37">
        <v>58.71</v>
      </c>
      <c r="BK11" s="37">
        <v>63.84</v>
      </c>
      <c r="BL11" s="37">
        <v>54.72</v>
      </c>
      <c r="BM11" s="37">
        <v>59.85</v>
      </c>
    </row>
    <row r="12" spans="1:65">
      <c r="A12" s="9">
        <v>10</v>
      </c>
      <c r="B12" s="13">
        <v>10</v>
      </c>
      <c r="C12" s="13">
        <v>10</v>
      </c>
      <c r="D12" s="13">
        <f t="shared" si="0"/>
        <v>100</v>
      </c>
      <c r="E12" s="13">
        <v>4</v>
      </c>
      <c r="F12" s="13">
        <f t="shared" si="3"/>
        <v>40</v>
      </c>
      <c r="G12" s="13">
        <f t="shared" si="4"/>
        <v>70</v>
      </c>
      <c r="H12" s="13">
        <v>10</v>
      </c>
      <c r="I12" s="9">
        <v>10</v>
      </c>
      <c r="J12" s="37">
        <f t="shared" si="1"/>
        <v>100</v>
      </c>
      <c r="K12" s="37">
        <v>4.8</v>
      </c>
      <c r="L12" s="30">
        <f t="shared" si="5"/>
        <v>48</v>
      </c>
      <c r="M12" s="30">
        <f t="shared" si="6"/>
        <v>74</v>
      </c>
      <c r="N12" s="37">
        <f t="shared" si="2"/>
        <v>1253.2799999999997</v>
      </c>
      <c r="O12" s="37">
        <v>-58.311061700000003</v>
      </c>
      <c r="P12" s="37">
        <v>45.688938300000004</v>
      </c>
      <c r="Q12" s="37">
        <v>-58.477946499999995</v>
      </c>
      <c r="R12" s="37">
        <v>45.522053500000005</v>
      </c>
      <c r="T12" s="13">
        <v>5.05</v>
      </c>
      <c r="U12" s="13">
        <v>4.8499999999999996</v>
      </c>
      <c r="V12" s="13">
        <v>5</v>
      </c>
      <c r="W12" s="13">
        <v>4.6500000000000004</v>
      </c>
      <c r="X12" s="13">
        <v>4.6500000000000004</v>
      </c>
      <c r="Y12" s="13">
        <v>4.5999999999999996</v>
      </c>
      <c r="Z12" s="13">
        <v>4.1500000000000004</v>
      </c>
      <c r="AA12" s="13">
        <v>4.95</v>
      </c>
      <c r="AB12" s="13">
        <v>5.15</v>
      </c>
      <c r="AC12" s="13">
        <v>4.3499999999999996</v>
      </c>
      <c r="AD12" s="13">
        <v>5.2</v>
      </c>
      <c r="AE12" s="13">
        <v>5.25</v>
      </c>
      <c r="AF12" s="13">
        <v>5.25</v>
      </c>
      <c r="AG12" s="13">
        <v>5.05</v>
      </c>
      <c r="AH12" s="13">
        <v>5.0999999999999996</v>
      </c>
      <c r="AI12" s="13">
        <v>4.3499999999999996</v>
      </c>
      <c r="AJ12" s="13">
        <v>4.3</v>
      </c>
      <c r="AK12" s="13">
        <v>3.9</v>
      </c>
      <c r="AL12" s="13">
        <v>4.3499999999999996</v>
      </c>
      <c r="AN12" s="36" t="s">
        <v>527</v>
      </c>
      <c r="AO12" s="37">
        <v>500</v>
      </c>
      <c r="AP12" s="43">
        <v>5.7570249999999996E-2</v>
      </c>
      <c r="AQ12" s="48">
        <v>6</v>
      </c>
      <c r="AR12" s="37"/>
      <c r="AS12" s="37">
        <v>61.98</v>
      </c>
      <c r="AT12" s="37">
        <v>62.13</v>
      </c>
      <c r="AU12" s="37">
        <v>63.27</v>
      </c>
      <c r="AV12" s="37">
        <v>60.99</v>
      </c>
      <c r="AW12" s="37">
        <v>62.7</v>
      </c>
      <c r="AX12" s="37">
        <v>58.71</v>
      </c>
      <c r="AY12" s="37">
        <v>58.71</v>
      </c>
      <c r="AZ12" s="37">
        <v>57.57</v>
      </c>
      <c r="BA12" s="37">
        <v>51.87</v>
      </c>
      <c r="BB12" s="37">
        <v>62.13</v>
      </c>
      <c r="BC12" s="37">
        <v>64.41</v>
      </c>
      <c r="BD12" s="37">
        <v>54.15</v>
      </c>
      <c r="BE12" s="37">
        <v>64.98</v>
      </c>
      <c r="BF12" s="37">
        <v>65.55</v>
      </c>
      <c r="BG12" s="37">
        <v>65.55</v>
      </c>
      <c r="BH12" s="37">
        <v>63.27</v>
      </c>
      <c r="BI12" s="37">
        <v>63.84</v>
      </c>
      <c r="BJ12" s="37">
        <v>54.15</v>
      </c>
      <c r="BK12" s="37">
        <v>53.58</v>
      </c>
      <c r="BL12" s="37">
        <v>49.02</v>
      </c>
      <c r="BM12" s="37">
        <v>54.72</v>
      </c>
    </row>
    <row r="13" spans="1:65">
      <c r="A13" s="9">
        <v>11</v>
      </c>
      <c r="B13" s="13">
        <v>10</v>
      </c>
      <c r="C13" s="13">
        <v>10</v>
      </c>
      <c r="D13" s="13">
        <f t="shared" si="0"/>
        <v>100</v>
      </c>
      <c r="E13" s="13">
        <v>1</v>
      </c>
      <c r="F13" s="13">
        <f t="shared" si="3"/>
        <v>10</v>
      </c>
      <c r="G13" s="13">
        <f t="shared" si="4"/>
        <v>55</v>
      </c>
      <c r="H13" s="13">
        <v>10</v>
      </c>
      <c r="I13" s="9">
        <v>10</v>
      </c>
      <c r="J13" s="37">
        <f t="shared" si="1"/>
        <v>100</v>
      </c>
      <c r="K13" s="37">
        <v>5.9</v>
      </c>
      <c r="L13" s="30">
        <f t="shared" si="5"/>
        <v>59.000000000000007</v>
      </c>
      <c r="M13" s="30">
        <f t="shared" si="6"/>
        <v>79.5</v>
      </c>
      <c r="N13" s="37">
        <f t="shared" si="2"/>
        <v>1476.7200000000003</v>
      </c>
      <c r="O13" s="37">
        <v>-57.011062300000013</v>
      </c>
      <c r="P13" s="37">
        <v>46.988937699999994</v>
      </c>
      <c r="Q13" s="37">
        <v>-59.584600800000011</v>
      </c>
      <c r="R13" s="37">
        <v>44.415399199999996</v>
      </c>
      <c r="T13" s="13">
        <v>5.75</v>
      </c>
      <c r="U13" s="13">
        <v>5.7</v>
      </c>
      <c r="V13" s="13">
        <v>5.75</v>
      </c>
      <c r="W13" s="13">
        <v>5.3</v>
      </c>
      <c r="X13" s="13">
        <v>5.55</v>
      </c>
      <c r="Y13" s="13">
        <v>5.7</v>
      </c>
      <c r="Z13" s="13">
        <v>5.65</v>
      </c>
      <c r="AA13" s="13">
        <v>5.85</v>
      </c>
      <c r="AB13" s="13">
        <v>5.65</v>
      </c>
      <c r="AC13" s="13">
        <v>6.15</v>
      </c>
      <c r="AD13" s="13">
        <v>6.05</v>
      </c>
      <c r="AE13" s="13">
        <v>5.9</v>
      </c>
      <c r="AF13" s="13">
        <v>5.55</v>
      </c>
      <c r="AG13" s="13">
        <v>5.9</v>
      </c>
      <c r="AH13" s="13">
        <v>5.2</v>
      </c>
      <c r="AI13" s="13">
        <v>5.45</v>
      </c>
      <c r="AJ13" s="13">
        <v>4.7</v>
      </c>
      <c r="AK13" s="13">
        <v>6.1</v>
      </c>
      <c r="AL13" s="13">
        <v>5.75</v>
      </c>
      <c r="AN13" s="36" t="s">
        <v>528</v>
      </c>
      <c r="AO13" s="37">
        <v>500</v>
      </c>
      <c r="AP13" s="43">
        <v>5.0866000000000001E-2</v>
      </c>
      <c r="AQ13" s="48">
        <v>9</v>
      </c>
      <c r="AR13" s="37"/>
      <c r="AS13" s="37">
        <v>74.52</v>
      </c>
      <c r="AT13" s="37">
        <v>69.540000000000006</v>
      </c>
      <c r="AU13" s="37">
        <v>71.25</v>
      </c>
      <c r="AV13" s="37">
        <v>70.680000000000007</v>
      </c>
      <c r="AW13" s="37">
        <v>71.25</v>
      </c>
      <c r="AX13" s="37">
        <v>66.12</v>
      </c>
      <c r="AY13" s="37">
        <v>68.97</v>
      </c>
      <c r="AZ13" s="37">
        <v>70.680000000000007</v>
      </c>
      <c r="BA13" s="37">
        <v>70.11</v>
      </c>
      <c r="BB13" s="37">
        <v>72.39</v>
      </c>
      <c r="BC13" s="37">
        <v>70.11</v>
      </c>
      <c r="BD13" s="37">
        <v>75.81</v>
      </c>
      <c r="BE13" s="37">
        <v>74.67</v>
      </c>
      <c r="BF13" s="37">
        <v>72.959999999999994</v>
      </c>
      <c r="BG13" s="37">
        <v>68.400000000000006</v>
      </c>
      <c r="BH13" s="37">
        <v>72.959999999999994</v>
      </c>
      <c r="BI13" s="37">
        <v>64.41</v>
      </c>
      <c r="BJ13" s="37">
        <v>67.260000000000005</v>
      </c>
      <c r="BK13" s="37">
        <v>58.14</v>
      </c>
      <c r="BL13" s="37">
        <v>75.239999999999995</v>
      </c>
      <c r="BM13" s="37">
        <v>71.25</v>
      </c>
    </row>
    <row r="14" spans="1:65">
      <c r="A14" s="9">
        <v>12</v>
      </c>
      <c r="B14" s="13">
        <v>10</v>
      </c>
      <c r="C14" s="13">
        <v>10</v>
      </c>
      <c r="D14" s="13">
        <f t="shared" si="0"/>
        <v>100</v>
      </c>
      <c r="E14" s="13">
        <v>8</v>
      </c>
      <c r="F14" s="13">
        <f t="shared" si="3"/>
        <v>80</v>
      </c>
      <c r="G14" s="13">
        <f t="shared" si="4"/>
        <v>90</v>
      </c>
      <c r="H14" s="13">
        <v>10</v>
      </c>
      <c r="I14" s="9">
        <v>10</v>
      </c>
      <c r="J14" s="37">
        <f t="shared" si="1"/>
        <v>100</v>
      </c>
      <c r="K14" s="37">
        <v>5.15</v>
      </c>
      <c r="L14" s="30">
        <f t="shared" si="5"/>
        <v>51.5</v>
      </c>
      <c r="M14" s="30">
        <f t="shared" si="6"/>
        <v>75.75</v>
      </c>
      <c r="N14" s="37">
        <f t="shared" si="2"/>
        <v>1430.5499999999997</v>
      </c>
      <c r="O14" s="37">
        <v>-57.668125549999999</v>
      </c>
      <c r="P14" s="37">
        <v>46.331874450000001</v>
      </c>
      <c r="Q14" s="37">
        <v>-58.245940099999999</v>
      </c>
      <c r="R14" s="37">
        <v>45.754059900000001</v>
      </c>
      <c r="T14" s="13">
        <v>5.65</v>
      </c>
      <c r="U14" s="13">
        <v>5.8</v>
      </c>
      <c r="V14" s="13">
        <v>5.55</v>
      </c>
      <c r="W14" s="13">
        <v>5.45</v>
      </c>
      <c r="X14" s="13">
        <v>5.45</v>
      </c>
      <c r="Y14" s="13">
        <v>5.6</v>
      </c>
      <c r="Z14" s="13">
        <v>5.3</v>
      </c>
      <c r="AA14" s="13">
        <v>5.65</v>
      </c>
      <c r="AB14" s="13">
        <v>5.45</v>
      </c>
      <c r="AC14" s="13">
        <v>5.8</v>
      </c>
      <c r="AD14" s="13">
        <v>5.7</v>
      </c>
      <c r="AE14" s="13">
        <v>5.9</v>
      </c>
      <c r="AF14" s="13">
        <v>5.8</v>
      </c>
      <c r="AG14" s="13">
        <v>5.65</v>
      </c>
      <c r="AH14" s="13">
        <v>4.9000000000000004</v>
      </c>
      <c r="AI14" s="13">
        <v>5.05</v>
      </c>
      <c r="AJ14" s="13">
        <v>5.6</v>
      </c>
      <c r="AK14" s="13">
        <v>5.5</v>
      </c>
      <c r="AL14" s="13">
        <v>4.75</v>
      </c>
      <c r="AN14" s="36" t="s">
        <v>529</v>
      </c>
      <c r="AO14" s="37">
        <v>500</v>
      </c>
      <c r="AP14" s="43">
        <v>5.7464625000000005E-2</v>
      </c>
      <c r="AQ14" s="48">
        <v>2</v>
      </c>
      <c r="AR14" s="37"/>
      <c r="AS14" s="37">
        <v>65.97</v>
      </c>
      <c r="AT14" s="37">
        <v>67.260000000000005</v>
      </c>
      <c r="AU14" s="37">
        <v>70.11</v>
      </c>
      <c r="AV14" s="37">
        <v>71.819999999999993</v>
      </c>
      <c r="AW14" s="37">
        <v>68.97</v>
      </c>
      <c r="AX14" s="37">
        <v>67.83</v>
      </c>
      <c r="AY14" s="37">
        <v>67.83</v>
      </c>
      <c r="AZ14" s="37">
        <v>69.540000000000006</v>
      </c>
      <c r="BA14" s="37">
        <v>65.55</v>
      </c>
      <c r="BB14" s="37">
        <v>70.11</v>
      </c>
      <c r="BC14" s="37">
        <v>67.83</v>
      </c>
      <c r="BD14" s="37">
        <v>71.819999999999993</v>
      </c>
      <c r="BE14" s="37">
        <v>70.680000000000007</v>
      </c>
      <c r="BF14" s="37">
        <v>72.959999999999994</v>
      </c>
      <c r="BG14" s="37">
        <v>71.819999999999993</v>
      </c>
      <c r="BH14" s="37">
        <v>70.11</v>
      </c>
      <c r="BI14" s="37">
        <v>60.99</v>
      </c>
      <c r="BJ14" s="37">
        <v>62.7</v>
      </c>
      <c r="BK14" s="37">
        <v>69.540000000000006</v>
      </c>
      <c r="BL14" s="37">
        <v>67.83</v>
      </c>
      <c r="BM14" s="37">
        <v>59.28</v>
      </c>
    </row>
    <row r="15" spans="1:65">
      <c r="A15" s="9">
        <v>13</v>
      </c>
      <c r="B15" s="13">
        <v>10</v>
      </c>
      <c r="C15" s="13">
        <v>10</v>
      </c>
      <c r="D15" s="13">
        <f t="shared" si="0"/>
        <v>100</v>
      </c>
      <c r="E15" s="13">
        <v>7</v>
      </c>
      <c r="F15" s="13">
        <f t="shared" si="3"/>
        <v>70</v>
      </c>
      <c r="G15" s="13">
        <f t="shared" si="4"/>
        <v>85</v>
      </c>
      <c r="H15" s="13">
        <v>10</v>
      </c>
      <c r="I15" s="9">
        <v>9</v>
      </c>
      <c r="J15" s="37">
        <f t="shared" si="1"/>
        <v>90</v>
      </c>
      <c r="K15" s="37">
        <v>5.55</v>
      </c>
      <c r="L15" s="30">
        <f t="shared" si="5"/>
        <v>61.666666666666671</v>
      </c>
      <c r="M15" s="30">
        <f t="shared" si="6"/>
        <v>75.833333333333343</v>
      </c>
      <c r="N15" s="37">
        <f t="shared" si="2"/>
        <v>1421.9999999999998</v>
      </c>
      <c r="O15" s="37">
        <v>-56.121236249999995</v>
      </c>
      <c r="P15" s="37">
        <v>47.878763750000005</v>
      </c>
      <c r="Q15" s="37">
        <v>-56.652009999999997</v>
      </c>
      <c r="R15" s="37">
        <v>47.347990000000003</v>
      </c>
      <c r="T15" s="13">
        <v>5.75</v>
      </c>
      <c r="U15" s="13">
        <v>5.85</v>
      </c>
      <c r="V15" s="13">
        <v>5.55</v>
      </c>
      <c r="W15" s="13">
        <v>5.35</v>
      </c>
      <c r="X15" s="13">
        <v>5.55</v>
      </c>
      <c r="Y15" s="13">
        <v>5.4</v>
      </c>
      <c r="Z15" s="13">
        <v>4.45</v>
      </c>
      <c r="AA15" s="13">
        <v>5.4</v>
      </c>
      <c r="AB15" s="13">
        <v>5.05</v>
      </c>
      <c r="AC15" s="13">
        <v>5.2</v>
      </c>
      <c r="AD15" s="13">
        <v>6</v>
      </c>
      <c r="AE15" s="13">
        <v>6.05</v>
      </c>
      <c r="AF15" s="13">
        <v>5.25</v>
      </c>
      <c r="AG15" s="13">
        <v>5.85</v>
      </c>
      <c r="AH15" s="13">
        <v>5.2</v>
      </c>
      <c r="AI15" s="13">
        <v>5.65</v>
      </c>
      <c r="AJ15" s="13">
        <v>5.55</v>
      </c>
      <c r="AK15" s="13">
        <v>5.15</v>
      </c>
      <c r="AL15" s="13">
        <v>4.95</v>
      </c>
      <c r="AN15" s="36" t="s">
        <v>530</v>
      </c>
      <c r="AO15" s="37">
        <v>500</v>
      </c>
      <c r="AP15" s="43">
        <v>5.6526714285714298E-2</v>
      </c>
      <c r="AQ15" s="48">
        <v>3</v>
      </c>
      <c r="AR15" s="37"/>
      <c r="AS15" s="37">
        <v>70.53</v>
      </c>
      <c r="AT15" s="37">
        <v>71.25</v>
      </c>
      <c r="AU15" s="37">
        <v>71.25</v>
      </c>
      <c r="AV15" s="37">
        <v>72.39</v>
      </c>
      <c r="AW15" s="37">
        <v>68.97</v>
      </c>
      <c r="AX15" s="37">
        <v>66.69</v>
      </c>
      <c r="AY15" s="37">
        <v>68.97</v>
      </c>
      <c r="AZ15" s="37">
        <v>67.260000000000005</v>
      </c>
      <c r="BA15" s="37">
        <v>55.29</v>
      </c>
      <c r="BB15" s="37">
        <v>67.260000000000005</v>
      </c>
      <c r="BC15" s="37">
        <v>62.7</v>
      </c>
      <c r="BD15" s="37">
        <v>64.41</v>
      </c>
      <c r="BE15" s="37">
        <v>74.099999999999994</v>
      </c>
      <c r="BF15" s="37">
        <v>74.67</v>
      </c>
      <c r="BG15" s="37">
        <v>64.98</v>
      </c>
      <c r="BH15" s="37">
        <v>72.39</v>
      </c>
      <c r="BI15" s="37">
        <v>64.41</v>
      </c>
      <c r="BJ15" s="37">
        <v>70.11</v>
      </c>
      <c r="BK15" s="37">
        <v>68.97</v>
      </c>
      <c r="BL15" s="37">
        <v>63.84</v>
      </c>
      <c r="BM15" s="37">
        <v>61.56</v>
      </c>
    </row>
    <row r="16" spans="1:65">
      <c r="A16" s="9">
        <v>14</v>
      </c>
      <c r="B16" s="13">
        <v>10</v>
      </c>
      <c r="C16" s="13">
        <v>10</v>
      </c>
      <c r="D16" s="13">
        <f t="shared" si="0"/>
        <v>100</v>
      </c>
      <c r="E16" s="13">
        <v>6</v>
      </c>
      <c r="F16" s="13">
        <f t="shared" si="3"/>
        <v>60</v>
      </c>
      <c r="G16" s="13">
        <f t="shared" si="4"/>
        <v>80</v>
      </c>
      <c r="H16" s="13">
        <v>10</v>
      </c>
      <c r="I16" s="9">
        <v>10</v>
      </c>
      <c r="J16" s="37">
        <f t="shared" si="1"/>
        <v>100</v>
      </c>
      <c r="K16" s="37">
        <v>5.35</v>
      </c>
      <c r="L16" s="30">
        <f t="shared" si="5"/>
        <v>53.499999999999993</v>
      </c>
      <c r="M16" s="30">
        <f t="shared" si="6"/>
        <v>76.75</v>
      </c>
      <c r="N16" s="37">
        <f t="shared" si="2"/>
        <v>1406.6100000000001</v>
      </c>
      <c r="O16" s="37">
        <v>-59.700273100000004</v>
      </c>
      <c r="P16" s="37">
        <v>44.299726900000003</v>
      </c>
      <c r="Q16" s="37">
        <v>-57.5475086</v>
      </c>
      <c r="R16" s="37">
        <v>46.4524914</v>
      </c>
      <c r="T16" s="13">
        <v>5.55</v>
      </c>
      <c r="U16" s="13">
        <v>5.6</v>
      </c>
      <c r="V16" s="13">
        <v>5.3</v>
      </c>
      <c r="W16" s="13">
        <v>5.2</v>
      </c>
      <c r="X16" s="13">
        <v>5.0999999999999996</v>
      </c>
      <c r="Y16" s="13">
        <v>5.35</v>
      </c>
      <c r="Z16" s="13">
        <v>5.35</v>
      </c>
      <c r="AA16" s="13">
        <v>5.35</v>
      </c>
      <c r="AB16" s="13">
        <v>5.35</v>
      </c>
      <c r="AC16" s="13">
        <v>5.8</v>
      </c>
      <c r="AD16" s="13">
        <v>5.15</v>
      </c>
      <c r="AE16" s="13">
        <v>5.25</v>
      </c>
      <c r="AF16" s="13">
        <v>5.55</v>
      </c>
      <c r="AG16" s="13">
        <v>5.65</v>
      </c>
      <c r="AH16" s="13">
        <v>5.45</v>
      </c>
      <c r="AI16" s="13">
        <v>5.4</v>
      </c>
      <c r="AJ16" s="13">
        <v>4.8</v>
      </c>
      <c r="AK16" s="13">
        <v>5.4</v>
      </c>
      <c r="AL16" s="13">
        <v>5.5</v>
      </c>
      <c r="AN16" s="36" t="s">
        <v>531</v>
      </c>
      <c r="AO16" s="37">
        <v>500</v>
      </c>
      <c r="AP16" s="43">
        <v>5.6104333333333339E-2</v>
      </c>
      <c r="AQ16" s="48">
        <v>4</v>
      </c>
      <c r="AR16" s="37"/>
      <c r="AS16" s="37">
        <v>68.25</v>
      </c>
      <c r="AT16" s="37">
        <v>67.83</v>
      </c>
      <c r="AU16" s="37">
        <v>68.97</v>
      </c>
      <c r="AV16" s="37">
        <v>69.540000000000006</v>
      </c>
      <c r="AW16" s="37">
        <v>66.12</v>
      </c>
      <c r="AX16" s="37">
        <v>64.98</v>
      </c>
      <c r="AY16" s="37">
        <v>63.84</v>
      </c>
      <c r="AZ16" s="37">
        <v>66.69</v>
      </c>
      <c r="BA16" s="37">
        <v>66.69</v>
      </c>
      <c r="BB16" s="37">
        <v>66.69</v>
      </c>
      <c r="BC16" s="37">
        <v>66.69</v>
      </c>
      <c r="BD16" s="37">
        <v>71.819999999999993</v>
      </c>
      <c r="BE16" s="37">
        <v>63.84</v>
      </c>
      <c r="BF16" s="37">
        <v>64.98</v>
      </c>
      <c r="BG16" s="37">
        <v>68.97</v>
      </c>
      <c r="BH16" s="37">
        <v>70.11</v>
      </c>
      <c r="BI16" s="37">
        <v>67.83</v>
      </c>
      <c r="BJ16" s="37">
        <v>67.260000000000005</v>
      </c>
      <c r="BK16" s="37">
        <v>59.85</v>
      </c>
      <c r="BL16" s="37">
        <v>67.260000000000005</v>
      </c>
      <c r="BM16" s="37">
        <v>68.400000000000006</v>
      </c>
    </row>
    <row r="17" spans="1:65">
      <c r="A17" s="9">
        <v>15</v>
      </c>
      <c r="B17" s="13">
        <v>10</v>
      </c>
      <c r="C17" s="13">
        <v>9</v>
      </c>
      <c r="D17" s="13">
        <f t="shared" si="0"/>
        <v>90</v>
      </c>
      <c r="E17" s="13">
        <v>4</v>
      </c>
      <c r="F17" s="13">
        <f t="shared" si="3"/>
        <v>44.444444444444443</v>
      </c>
      <c r="G17" s="13">
        <f t="shared" si="4"/>
        <v>67.222222222222229</v>
      </c>
      <c r="H17" s="13">
        <v>10</v>
      </c>
      <c r="I17" s="9">
        <v>10</v>
      </c>
      <c r="J17" s="37">
        <f t="shared" si="1"/>
        <v>100</v>
      </c>
      <c r="K17" s="37">
        <v>5.0999999999999996</v>
      </c>
      <c r="L17" s="30">
        <f t="shared" si="5"/>
        <v>51</v>
      </c>
      <c r="M17" s="30">
        <f t="shared" si="6"/>
        <v>75.5</v>
      </c>
      <c r="N17" s="37">
        <f t="shared" si="2"/>
        <v>1357.59</v>
      </c>
      <c r="O17" s="37">
        <v>-57.954499050000003</v>
      </c>
      <c r="P17" s="37">
        <v>46.045500950000005</v>
      </c>
      <c r="Q17" s="37">
        <v>-58.440528500000006</v>
      </c>
      <c r="R17" s="37">
        <v>45.559471499999994</v>
      </c>
      <c r="T17" s="13">
        <v>5.3</v>
      </c>
      <c r="U17" s="13">
        <v>5.15</v>
      </c>
      <c r="V17" s="13">
        <v>5.15</v>
      </c>
      <c r="W17" s="13">
        <v>5.15</v>
      </c>
      <c r="X17" s="13">
        <v>5.05</v>
      </c>
      <c r="Y17" s="13">
        <v>5.0999999999999996</v>
      </c>
      <c r="Z17" s="13">
        <v>5</v>
      </c>
      <c r="AA17" s="13">
        <v>5.15</v>
      </c>
      <c r="AB17" s="13">
        <v>4.9000000000000004</v>
      </c>
      <c r="AC17" s="13">
        <v>4.8</v>
      </c>
      <c r="AD17" s="13">
        <v>5.2</v>
      </c>
      <c r="AE17" s="13">
        <v>5.5</v>
      </c>
      <c r="AF17" s="13">
        <v>5.55</v>
      </c>
      <c r="AG17" s="13">
        <v>5.4</v>
      </c>
      <c r="AH17" s="13">
        <v>5.55</v>
      </c>
      <c r="AI17" s="13">
        <v>5.35</v>
      </c>
      <c r="AJ17" s="13">
        <v>4.75</v>
      </c>
      <c r="AK17" s="13">
        <v>5.0999999999999996</v>
      </c>
      <c r="AL17" s="13">
        <v>5</v>
      </c>
      <c r="AN17" s="36" t="s">
        <v>532</v>
      </c>
      <c r="AO17" s="37">
        <v>500</v>
      </c>
      <c r="AP17" s="43">
        <v>5.556875E-2</v>
      </c>
      <c r="AQ17" s="48">
        <v>6</v>
      </c>
      <c r="AR17" s="37"/>
      <c r="AS17" s="37">
        <v>65.400000000000006</v>
      </c>
      <c r="AT17" s="37">
        <v>65.55</v>
      </c>
      <c r="AU17" s="37">
        <v>66.12</v>
      </c>
      <c r="AV17" s="37">
        <v>64.41</v>
      </c>
      <c r="AW17" s="37">
        <v>64.41</v>
      </c>
      <c r="AX17" s="37">
        <v>64.41</v>
      </c>
      <c r="AY17" s="37">
        <v>63.27</v>
      </c>
      <c r="AZ17" s="37">
        <v>63.84</v>
      </c>
      <c r="BA17" s="37">
        <v>62.7</v>
      </c>
      <c r="BB17" s="37">
        <v>64.41</v>
      </c>
      <c r="BC17" s="37">
        <v>61.56</v>
      </c>
      <c r="BD17" s="37">
        <v>59.85</v>
      </c>
      <c r="BE17" s="37">
        <v>64.98</v>
      </c>
      <c r="BF17" s="37">
        <v>68.400000000000006</v>
      </c>
      <c r="BG17" s="37">
        <v>68.97</v>
      </c>
      <c r="BH17" s="37">
        <v>67.260000000000005</v>
      </c>
      <c r="BI17" s="37">
        <v>68.97</v>
      </c>
      <c r="BJ17" s="37">
        <v>66.69</v>
      </c>
      <c r="BK17" s="37">
        <v>59.85</v>
      </c>
      <c r="BL17" s="37">
        <v>63.84</v>
      </c>
      <c r="BM17" s="37">
        <v>62.7</v>
      </c>
    </row>
    <row r="18" spans="1:65">
      <c r="A18" s="9">
        <v>16</v>
      </c>
      <c r="B18" s="13">
        <v>10</v>
      </c>
      <c r="C18" s="13">
        <v>10</v>
      </c>
      <c r="D18" s="13">
        <f t="shared" si="0"/>
        <v>100</v>
      </c>
      <c r="E18" s="13">
        <v>4</v>
      </c>
      <c r="F18" s="13">
        <f t="shared" si="3"/>
        <v>40</v>
      </c>
      <c r="G18" s="13">
        <f t="shared" si="4"/>
        <v>70</v>
      </c>
      <c r="H18" s="13">
        <v>10</v>
      </c>
      <c r="I18" s="9">
        <v>10</v>
      </c>
      <c r="J18" s="37">
        <f t="shared" si="1"/>
        <v>100</v>
      </c>
      <c r="K18" s="37">
        <v>5.55</v>
      </c>
      <c r="L18" s="30">
        <f t="shared" si="5"/>
        <v>55.499999999999993</v>
      </c>
      <c r="M18" s="30">
        <f t="shared" si="6"/>
        <v>77.75</v>
      </c>
      <c r="N18" s="37">
        <f t="shared" si="2"/>
        <v>1453.9199999999998</v>
      </c>
      <c r="O18" s="37">
        <v>-57.723630150000005</v>
      </c>
      <c r="P18" s="37">
        <v>46.276369850000009</v>
      </c>
      <c r="Q18" s="37">
        <v>-57.151857199999981</v>
      </c>
      <c r="R18" s="37">
        <v>46.848142800000005</v>
      </c>
      <c r="T18" s="13">
        <v>5.55</v>
      </c>
      <c r="U18" s="13">
        <v>5.9</v>
      </c>
      <c r="V18" s="13">
        <v>5.55</v>
      </c>
      <c r="W18" s="13">
        <v>5.55</v>
      </c>
      <c r="X18" s="13">
        <v>5.35</v>
      </c>
      <c r="Y18" s="13">
        <v>5.55</v>
      </c>
      <c r="Z18" s="13">
        <v>5.55</v>
      </c>
      <c r="AA18" s="13">
        <v>5.65</v>
      </c>
      <c r="AB18" s="13">
        <v>5.5</v>
      </c>
      <c r="AC18" s="13">
        <v>5.3</v>
      </c>
      <c r="AD18" s="13">
        <v>6.1</v>
      </c>
      <c r="AE18" s="13">
        <v>5.95</v>
      </c>
      <c r="AF18" s="13">
        <v>5.85</v>
      </c>
      <c r="AG18" s="13">
        <v>6.2</v>
      </c>
      <c r="AH18" s="13">
        <v>5.35</v>
      </c>
      <c r="AI18" s="13">
        <v>6.15</v>
      </c>
      <c r="AJ18" s="13">
        <v>4.9000000000000004</v>
      </c>
      <c r="AK18" s="13">
        <v>5.4</v>
      </c>
      <c r="AL18" s="13">
        <v>4.9000000000000004</v>
      </c>
      <c r="AN18" s="36" t="s">
        <v>533</v>
      </c>
      <c r="AO18" s="37">
        <v>500</v>
      </c>
      <c r="AP18" s="43">
        <v>5.5585250000000003E-2</v>
      </c>
      <c r="AQ18" s="48">
        <v>6</v>
      </c>
      <c r="AR18" s="37"/>
      <c r="AS18" s="37">
        <v>70.53</v>
      </c>
      <c r="AT18" s="37">
        <v>66.12</v>
      </c>
      <c r="AU18" s="37">
        <v>68.97</v>
      </c>
      <c r="AV18" s="37">
        <v>72.959999999999994</v>
      </c>
      <c r="AW18" s="37">
        <v>68.97</v>
      </c>
      <c r="AX18" s="37">
        <v>68.97</v>
      </c>
      <c r="AY18" s="37">
        <v>66.69</v>
      </c>
      <c r="AZ18" s="37">
        <v>68.97</v>
      </c>
      <c r="BA18" s="37">
        <v>68.97</v>
      </c>
      <c r="BB18" s="37">
        <v>70.11</v>
      </c>
      <c r="BC18" s="37">
        <v>68.400000000000006</v>
      </c>
      <c r="BD18" s="37">
        <v>65.55</v>
      </c>
      <c r="BE18" s="37">
        <v>75.239999999999995</v>
      </c>
      <c r="BF18" s="37">
        <v>73.53</v>
      </c>
      <c r="BG18" s="37">
        <v>72.39</v>
      </c>
      <c r="BH18" s="37">
        <v>76.38</v>
      </c>
      <c r="BI18" s="37">
        <v>66.12</v>
      </c>
      <c r="BJ18" s="37">
        <v>75.81</v>
      </c>
      <c r="BK18" s="37">
        <v>60.99</v>
      </c>
      <c r="BL18" s="37">
        <v>67.260000000000005</v>
      </c>
      <c r="BM18" s="37">
        <v>60.99</v>
      </c>
    </row>
    <row r="19" spans="1:65">
      <c r="A19" s="9">
        <v>17</v>
      </c>
      <c r="B19" s="13">
        <v>10</v>
      </c>
      <c r="C19" s="13">
        <v>10</v>
      </c>
      <c r="D19" s="13">
        <f t="shared" si="0"/>
        <v>100</v>
      </c>
      <c r="E19" s="13">
        <v>4</v>
      </c>
      <c r="F19" s="13">
        <f t="shared" si="3"/>
        <v>40</v>
      </c>
      <c r="G19" s="13">
        <f t="shared" si="4"/>
        <v>70</v>
      </c>
      <c r="H19" s="13">
        <v>10</v>
      </c>
      <c r="I19" s="9">
        <v>10</v>
      </c>
      <c r="J19" s="37">
        <f t="shared" si="1"/>
        <v>100</v>
      </c>
      <c r="K19" s="37">
        <v>5.2</v>
      </c>
      <c r="L19" s="30">
        <f t="shared" si="5"/>
        <v>52</v>
      </c>
      <c r="M19" s="30">
        <f t="shared" si="6"/>
        <v>76</v>
      </c>
      <c r="N19" s="37">
        <f t="shared" si="2"/>
        <v>1341.6300000000003</v>
      </c>
      <c r="O19" s="37">
        <v>-60.652309700000011</v>
      </c>
      <c r="P19" s="37">
        <v>43.347690299999989</v>
      </c>
      <c r="Q19" s="37">
        <v>-57.32553209999999</v>
      </c>
      <c r="R19" s="37">
        <v>46.674467900000003</v>
      </c>
      <c r="T19" s="13">
        <v>5.45</v>
      </c>
      <c r="U19" s="13">
        <v>5.3</v>
      </c>
      <c r="V19" s="13">
        <v>5.2</v>
      </c>
      <c r="W19" s="13">
        <v>5.05</v>
      </c>
      <c r="X19" s="13">
        <v>4.55</v>
      </c>
      <c r="Y19" s="13">
        <v>4.6500000000000004</v>
      </c>
      <c r="Z19" s="13">
        <v>5.0999999999999996</v>
      </c>
      <c r="AA19" s="13">
        <v>5.15</v>
      </c>
      <c r="AB19" s="13">
        <v>4.7</v>
      </c>
      <c r="AC19" s="13">
        <v>5</v>
      </c>
      <c r="AD19" s="13">
        <v>5.55</v>
      </c>
      <c r="AE19" s="13">
        <v>5.6</v>
      </c>
      <c r="AF19" s="13">
        <v>5.25</v>
      </c>
      <c r="AG19" s="13">
        <v>5.85</v>
      </c>
      <c r="AH19" s="13">
        <v>5.35</v>
      </c>
      <c r="AI19" s="13">
        <v>4.45</v>
      </c>
      <c r="AJ19" s="13">
        <v>4.75</v>
      </c>
      <c r="AK19" s="13">
        <v>4.95</v>
      </c>
      <c r="AL19" s="13">
        <v>4.95</v>
      </c>
      <c r="AN19" s="36" t="s">
        <v>534</v>
      </c>
      <c r="AO19" s="37">
        <v>500</v>
      </c>
      <c r="AP19" s="43">
        <v>5.3830250000000003E-2</v>
      </c>
      <c r="AQ19" s="48">
        <v>6</v>
      </c>
      <c r="AR19" s="37"/>
      <c r="AS19" s="37">
        <v>66.540000000000006</v>
      </c>
      <c r="AT19" s="37">
        <v>66.12</v>
      </c>
      <c r="AU19" s="37">
        <v>67.83</v>
      </c>
      <c r="AV19" s="37">
        <v>66.12</v>
      </c>
      <c r="AW19" s="37">
        <v>64.98</v>
      </c>
      <c r="AX19" s="37">
        <v>63.27</v>
      </c>
      <c r="AY19" s="37">
        <v>57</v>
      </c>
      <c r="AZ19" s="37">
        <v>58.14</v>
      </c>
      <c r="BA19" s="37">
        <v>63.84</v>
      </c>
      <c r="BB19" s="37">
        <v>64.41</v>
      </c>
      <c r="BC19" s="37">
        <v>58.71</v>
      </c>
      <c r="BD19" s="37">
        <v>62.7</v>
      </c>
      <c r="BE19" s="37">
        <v>68.97</v>
      </c>
      <c r="BF19" s="37">
        <v>69.540000000000006</v>
      </c>
      <c r="BG19" s="37">
        <v>65.55</v>
      </c>
      <c r="BH19" s="37">
        <v>72.39</v>
      </c>
      <c r="BI19" s="37">
        <v>66.69</v>
      </c>
      <c r="BJ19" s="37">
        <v>55.29</v>
      </c>
      <c r="BK19" s="37">
        <v>59.28</v>
      </c>
      <c r="BL19" s="37">
        <v>62.13</v>
      </c>
      <c r="BM19" s="37">
        <v>62.13</v>
      </c>
    </row>
    <row r="20" spans="1:65">
      <c r="A20" s="9">
        <v>18</v>
      </c>
      <c r="B20" s="13">
        <v>10</v>
      </c>
      <c r="C20" s="13">
        <v>10</v>
      </c>
      <c r="D20" s="13">
        <f t="shared" si="0"/>
        <v>100</v>
      </c>
      <c r="E20" s="13">
        <v>9</v>
      </c>
      <c r="F20" s="13">
        <f t="shared" si="3"/>
        <v>90</v>
      </c>
      <c r="G20" s="13">
        <f t="shared" si="4"/>
        <v>95</v>
      </c>
      <c r="H20" s="13">
        <v>10</v>
      </c>
      <c r="I20" s="9">
        <v>9</v>
      </c>
      <c r="J20" s="37">
        <f t="shared" si="1"/>
        <v>90</v>
      </c>
      <c r="K20" s="37">
        <v>5.45</v>
      </c>
      <c r="L20" s="30">
        <f t="shared" si="5"/>
        <v>60.555555555555564</v>
      </c>
      <c r="M20" s="30">
        <f t="shared" si="6"/>
        <v>75.277777777777786</v>
      </c>
      <c r="N20" s="37">
        <f t="shared" si="2"/>
        <v>1388.37</v>
      </c>
      <c r="O20" s="37">
        <v>-60.750856799999994</v>
      </c>
      <c r="P20" s="37">
        <v>43.249143199999992</v>
      </c>
      <c r="Q20" s="37">
        <v>-58.315581999999992</v>
      </c>
      <c r="R20" s="37">
        <v>45.684418000000001</v>
      </c>
      <c r="T20" s="13">
        <v>5.6</v>
      </c>
      <c r="U20" s="13">
        <v>5.55</v>
      </c>
      <c r="V20" s="13">
        <v>5.6</v>
      </c>
      <c r="W20" s="13">
        <v>5.65</v>
      </c>
      <c r="X20" s="13">
        <v>5.3</v>
      </c>
      <c r="Y20" s="13">
        <v>5.4</v>
      </c>
      <c r="Z20" s="13">
        <v>5.45</v>
      </c>
      <c r="AA20" s="13">
        <v>5.4</v>
      </c>
      <c r="AB20" s="13">
        <v>5.35</v>
      </c>
      <c r="AC20" s="13">
        <v>4.8499999999999996</v>
      </c>
      <c r="AD20" s="13">
        <v>5.15</v>
      </c>
      <c r="AE20" s="13">
        <v>5.55</v>
      </c>
      <c r="AF20" s="13">
        <v>5.6</v>
      </c>
      <c r="AG20" s="13">
        <v>5.65</v>
      </c>
      <c r="AH20" s="13">
        <v>5.45</v>
      </c>
      <c r="AI20" s="13">
        <v>4.5</v>
      </c>
      <c r="AJ20" s="13">
        <v>4.8499999999999996</v>
      </c>
      <c r="AK20" s="13">
        <v>5.45</v>
      </c>
      <c r="AL20" s="13">
        <v>4.3499999999999996</v>
      </c>
      <c r="AN20" s="36" t="s">
        <v>535</v>
      </c>
      <c r="AO20" s="37">
        <v>500</v>
      </c>
      <c r="AP20" s="43">
        <v>5.5672444444444441E-2</v>
      </c>
      <c r="AQ20" s="48">
        <v>1</v>
      </c>
      <c r="AR20" s="37"/>
      <c r="AS20" s="37">
        <v>69.39</v>
      </c>
      <c r="AT20" s="37">
        <v>66.69</v>
      </c>
      <c r="AU20" s="37">
        <v>69.540000000000006</v>
      </c>
      <c r="AV20" s="37">
        <v>68.97</v>
      </c>
      <c r="AW20" s="37">
        <v>69.540000000000006</v>
      </c>
      <c r="AX20" s="37">
        <v>70.11</v>
      </c>
      <c r="AY20" s="37">
        <v>66.12</v>
      </c>
      <c r="AZ20" s="37">
        <v>67.260000000000005</v>
      </c>
      <c r="BA20" s="37">
        <v>67.83</v>
      </c>
      <c r="BB20" s="37">
        <v>67.260000000000005</v>
      </c>
      <c r="BC20" s="37">
        <v>66.69</v>
      </c>
      <c r="BD20" s="37">
        <v>60.42</v>
      </c>
      <c r="BE20" s="37">
        <v>63.84</v>
      </c>
      <c r="BF20" s="37">
        <v>68.97</v>
      </c>
      <c r="BG20" s="37">
        <v>69.540000000000006</v>
      </c>
      <c r="BH20" s="37">
        <v>70.11</v>
      </c>
      <c r="BI20" s="37">
        <v>67.83</v>
      </c>
      <c r="BJ20" s="37">
        <v>55.86</v>
      </c>
      <c r="BK20" s="37">
        <v>60.42</v>
      </c>
      <c r="BL20" s="37">
        <v>67.83</v>
      </c>
      <c r="BM20" s="37">
        <v>54.15</v>
      </c>
    </row>
    <row r="21" spans="1:65">
      <c r="A21" s="9">
        <v>19</v>
      </c>
      <c r="B21" s="13">
        <v>10</v>
      </c>
      <c r="C21" s="13">
        <v>8</v>
      </c>
      <c r="D21" s="13">
        <f t="shared" si="0"/>
        <v>80</v>
      </c>
      <c r="E21" s="13">
        <v>5</v>
      </c>
      <c r="F21" s="13">
        <f t="shared" si="3"/>
        <v>62.5</v>
      </c>
      <c r="G21" s="13">
        <f t="shared" si="4"/>
        <v>71.25</v>
      </c>
      <c r="H21" s="13">
        <v>10</v>
      </c>
      <c r="I21" s="9">
        <v>10</v>
      </c>
      <c r="J21" s="37">
        <f t="shared" si="1"/>
        <v>100</v>
      </c>
      <c r="K21" s="37">
        <v>5.35</v>
      </c>
      <c r="L21" s="30">
        <f t="shared" si="5"/>
        <v>53.499999999999993</v>
      </c>
      <c r="M21" s="30">
        <f t="shared" si="6"/>
        <v>76.75</v>
      </c>
      <c r="N21" s="37">
        <f t="shared" si="2"/>
        <v>1396.9200000000003</v>
      </c>
      <c r="O21" s="37">
        <v>-61.536293050000005</v>
      </c>
      <c r="P21" s="37">
        <v>42.463706950000002</v>
      </c>
      <c r="Q21" s="37">
        <v>-62.411453200000004</v>
      </c>
      <c r="R21" s="37">
        <v>41.588546799999996</v>
      </c>
      <c r="T21" s="13">
        <v>5.55</v>
      </c>
      <c r="U21" s="13">
        <v>5.4</v>
      </c>
      <c r="V21" s="13">
        <v>5.3</v>
      </c>
      <c r="W21" s="13">
        <v>5.3</v>
      </c>
      <c r="X21" s="13">
        <v>5.15</v>
      </c>
      <c r="Y21" s="13">
        <v>5.35</v>
      </c>
      <c r="Z21" s="13">
        <v>5.5</v>
      </c>
      <c r="AA21" s="13">
        <v>5.15</v>
      </c>
      <c r="AB21" s="13">
        <v>5.3</v>
      </c>
      <c r="AC21" s="13">
        <v>5.15</v>
      </c>
      <c r="AD21" s="13">
        <v>5.7</v>
      </c>
      <c r="AE21" s="13">
        <v>5.5</v>
      </c>
      <c r="AF21" s="13">
        <v>5.9</v>
      </c>
      <c r="AG21" s="13">
        <v>5.95</v>
      </c>
      <c r="AH21" s="13">
        <v>5.9</v>
      </c>
      <c r="AI21" s="13">
        <v>5.2</v>
      </c>
      <c r="AJ21" s="13">
        <v>5.2</v>
      </c>
      <c r="AK21" s="13">
        <v>5</v>
      </c>
      <c r="AL21" s="13">
        <v>4.0999999999999996</v>
      </c>
      <c r="AN21" s="36" t="s">
        <v>536</v>
      </c>
      <c r="AO21" s="37">
        <v>500</v>
      </c>
      <c r="AP21" s="43">
        <v>5.8079599999999995E-2</v>
      </c>
      <c r="AQ21" s="48">
        <v>5</v>
      </c>
      <c r="AR21" s="37"/>
      <c r="AS21" s="37">
        <v>68.25</v>
      </c>
      <c r="AT21" s="37">
        <v>64.41</v>
      </c>
      <c r="AU21" s="37">
        <v>68.97</v>
      </c>
      <c r="AV21" s="37">
        <v>67.260000000000005</v>
      </c>
      <c r="AW21" s="37">
        <v>66.12</v>
      </c>
      <c r="AX21" s="37">
        <v>66.12</v>
      </c>
      <c r="AY21" s="37">
        <v>64.41</v>
      </c>
      <c r="AZ21" s="37">
        <v>66.69</v>
      </c>
      <c r="BA21" s="37">
        <v>68.400000000000006</v>
      </c>
      <c r="BB21" s="37">
        <v>64.41</v>
      </c>
      <c r="BC21" s="37">
        <v>66.12</v>
      </c>
      <c r="BD21" s="37">
        <v>64.41</v>
      </c>
      <c r="BE21" s="37">
        <v>70.680000000000007</v>
      </c>
      <c r="BF21" s="37">
        <v>68.400000000000006</v>
      </c>
      <c r="BG21" s="37">
        <v>72.959999999999994</v>
      </c>
      <c r="BH21" s="37">
        <v>73.53</v>
      </c>
      <c r="BI21" s="37">
        <v>72.959999999999994</v>
      </c>
      <c r="BJ21" s="37">
        <v>64.41</v>
      </c>
      <c r="BK21" s="37">
        <v>64.41</v>
      </c>
      <c r="BL21" s="37">
        <v>62.7</v>
      </c>
      <c r="BM21" s="37">
        <v>51.3</v>
      </c>
    </row>
    <row r="22" spans="1:65">
      <c r="A22" s="9">
        <v>20</v>
      </c>
      <c r="B22" s="13">
        <v>10</v>
      </c>
      <c r="C22" s="13">
        <v>10</v>
      </c>
      <c r="D22" s="13">
        <f t="shared" si="0"/>
        <v>100</v>
      </c>
      <c r="E22" s="13">
        <v>7</v>
      </c>
      <c r="F22" s="13">
        <f t="shared" si="3"/>
        <v>70</v>
      </c>
      <c r="G22" s="13">
        <f t="shared" si="4"/>
        <v>85</v>
      </c>
      <c r="H22" s="13">
        <v>10</v>
      </c>
      <c r="I22" s="9">
        <v>10</v>
      </c>
      <c r="J22" s="37">
        <f t="shared" si="1"/>
        <v>100</v>
      </c>
      <c r="K22" s="37">
        <v>4.8499999999999996</v>
      </c>
      <c r="L22" s="30">
        <f t="shared" si="5"/>
        <v>48.5</v>
      </c>
      <c r="M22" s="30">
        <f t="shared" si="6"/>
        <v>74.25</v>
      </c>
      <c r="N22" s="37">
        <f t="shared" si="2"/>
        <v>1297.1700000000003</v>
      </c>
      <c r="O22" s="37">
        <v>-62.962038100000008</v>
      </c>
      <c r="P22" s="37">
        <v>41.037961900000006</v>
      </c>
      <c r="Q22" s="37">
        <v>-58.563284500000009</v>
      </c>
      <c r="R22" s="37">
        <v>45.436715500000005</v>
      </c>
      <c r="T22" s="13">
        <v>4.95</v>
      </c>
      <c r="U22" s="13">
        <v>4.9000000000000004</v>
      </c>
      <c r="V22" s="13">
        <v>5.15</v>
      </c>
      <c r="W22" s="13">
        <v>4.8</v>
      </c>
      <c r="X22" s="13">
        <v>4.9000000000000004</v>
      </c>
      <c r="Y22" s="13">
        <v>4.8499999999999996</v>
      </c>
      <c r="Z22" s="13">
        <v>4.75</v>
      </c>
      <c r="AA22" s="13">
        <v>5</v>
      </c>
      <c r="AB22" s="13">
        <v>4.5</v>
      </c>
      <c r="AC22" s="13">
        <v>5</v>
      </c>
      <c r="AD22" s="13">
        <v>4.5999999999999996</v>
      </c>
      <c r="AE22" s="13">
        <v>5</v>
      </c>
      <c r="AF22" s="13">
        <v>4.8499999999999996</v>
      </c>
      <c r="AG22" s="13">
        <v>4.7</v>
      </c>
      <c r="AH22" s="13">
        <v>5.15</v>
      </c>
      <c r="AI22" s="13">
        <v>5.55</v>
      </c>
      <c r="AJ22" s="13">
        <v>5.35</v>
      </c>
      <c r="AK22" s="13">
        <v>4.5999999999999996</v>
      </c>
      <c r="AL22" s="13">
        <v>4.75</v>
      </c>
      <c r="AN22" s="36" t="s">
        <v>537</v>
      </c>
      <c r="AO22" s="37">
        <v>500</v>
      </c>
      <c r="AP22" s="43">
        <v>5.7112285714285713E-2</v>
      </c>
      <c r="AQ22" s="48">
        <v>3</v>
      </c>
      <c r="AR22" s="37"/>
      <c r="AS22" s="37">
        <v>62.55</v>
      </c>
      <c r="AT22" s="37">
        <v>63.84</v>
      </c>
      <c r="AU22" s="37">
        <v>62.13</v>
      </c>
      <c r="AV22" s="37">
        <v>61.56</v>
      </c>
      <c r="AW22" s="37">
        <v>64.41</v>
      </c>
      <c r="AX22" s="37">
        <v>60.42</v>
      </c>
      <c r="AY22" s="37">
        <v>61.56</v>
      </c>
      <c r="AZ22" s="37">
        <v>60.99</v>
      </c>
      <c r="BA22" s="37">
        <v>59.85</v>
      </c>
      <c r="BB22" s="37">
        <v>62.7</v>
      </c>
      <c r="BC22" s="37">
        <v>56.43</v>
      </c>
      <c r="BD22" s="37">
        <v>62.7</v>
      </c>
      <c r="BE22" s="37">
        <v>58.14</v>
      </c>
      <c r="BF22" s="37">
        <v>62.7</v>
      </c>
      <c r="BG22" s="37">
        <v>60.42</v>
      </c>
      <c r="BH22" s="37">
        <v>58.71</v>
      </c>
      <c r="BI22" s="37">
        <v>64.41</v>
      </c>
      <c r="BJ22" s="37">
        <v>68.97</v>
      </c>
      <c r="BK22" s="37">
        <v>66.69</v>
      </c>
      <c r="BL22" s="37">
        <v>58.14</v>
      </c>
      <c r="BM22" s="37">
        <v>59.85</v>
      </c>
    </row>
    <row r="23" spans="1:65">
      <c r="A23" s="9">
        <v>21</v>
      </c>
      <c r="B23" s="13">
        <v>10</v>
      </c>
      <c r="C23" s="13">
        <v>10</v>
      </c>
      <c r="D23" s="13">
        <f t="shared" si="0"/>
        <v>100</v>
      </c>
      <c r="E23" s="13">
        <v>8</v>
      </c>
      <c r="F23" s="13">
        <f t="shared" si="3"/>
        <v>80</v>
      </c>
      <c r="G23" s="13">
        <f t="shared" si="4"/>
        <v>90</v>
      </c>
      <c r="H23" s="13">
        <v>10</v>
      </c>
      <c r="I23" s="9">
        <v>10</v>
      </c>
      <c r="J23" s="37">
        <f t="shared" si="1"/>
        <v>100</v>
      </c>
      <c r="K23" s="37">
        <v>5</v>
      </c>
      <c r="L23" s="30">
        <f t="shared" si="5"/>
        <v>50</v>
      </c>
      <c r="M23" s="30">
        <f t="shared" si="6"/>
        <v>75</v>
      </c>
      <c r="N23" s="37">
        <f t="shared" si="2"/>
        <v>1342.2</v>
      </c>
      <c r="O23" s="37">
        <v>-61.803317499999977</v>
      </c>
      <c r="P23" s="37">
        <v>42.196682499999994</v>
      </c>
      <c r="Q23" s="37">
        <v>-64.603591199999997</v>
      </c>
      <c r="R23" s="37">
        <v>39.396408800000003</v>
      </c>
      <c r="T23" s="13">
        <v>5.35</v>
      </c>
      <c r="U23" s="13">
        <v>5.2</v>
      </c>
      <c r="V23" s="13">
        <v>5.25</v>
      </c>
      <c r="W23" s="13">
        <v>5</v>
      </c>
      <c r="X23" s="13">
        <v>5.0999999999999996</v>
      </c>
      <c r="Y23" s="13">
        <v>5.15</v>
      </c>
      <c r="Z23" s="13">
        <v>5.0999999999999996</v>
      </c>
      <c r="AA23" s="13">
        <v>5.05</v>
      </c>
      <c r="AB23" s="13">
        <v>5.2</v>
      </c>
      <c r="AC23" s="13">
        <v>4.9000000000000004</v>
      </c>
      <c r="AD23" s="13">
        <v>4.55</v>
      </c>
      <c r="AE23" s="13">
        <v>5.15</v>
      </c>
      <c r="AF23" s="13">
        <v>5.45</v>
      </c>
      <c r="AG23" s="13">
        <v>5.0999999999999996</v>
      </c>
      <c r="AH23" s="13">
        <v>4.95</v>
      </c>
      <c r="AI23" s="13">
        <v>5.6</v>
      </c>
      <c r="AJ23" s="13">
        <v>5.5</v>
      </c>
      <c r="AK23" s="13">
        <v>4.55</v>
      </c>
      <c r="AL23" s="13">
        <v>5.05</v>
      </c>
      <c r="AN23" s="36" t="s">
        <v>538</v>
      </c>
      <c r="AO23" s="37">
        <v>500</v>
      </c>
      <c r="AP23" s="43">
        <v>5.7149999999999999E-2</v>
      </c>
      <c r="AQ23" s="48">
        <v>2</v>
      </c>
      <c r="AR23" s="37"/>
      <c r="AS23" s="37">
        <v>64.260000000000005</v>
      </c>
      <c r="AT23" s="37">
        <v>64.41</v>
      </c>
      <c r="AU23" s="37">
        <v>66.69</v>
      </c>
      <c r="AV23" s="37">
        <v>64.98</v>
      </c>
      <c r="AW23" s="37">
        <v>65.55</v>
      </c>
      <c r="AX23" s="37">
        <v>62.7</v>
      </c>
      <c r="AY23" s="37">
        <v>63.84</v>
      </c>
      <c r="AZ23" s="37">
        <v>64.41</v>
      </c>
      <c r="BA23" s="37">
        <v>63.84</v>
      </c>
      <c r="BB23" s="37">
        <v>63.27</v>
      </c>
      <c r="BC23" s="37">
        <v>64.98</v>
      </c>
      <c r="BD23" s="37">
        <v>61.56</v>
      </c>
      <c r="BE23" s="37">
        <v>57</v>
      </c>
      <c r="BF23" s="37">
        <v>63.84</v>
      </c>
      <c r="BG23" s="37">
        <v>67.83</v>
      </c>
      <c r="BH23" s="37">
        <v>63.27</v>
      </c>
      <c r="BI23" s="37">
        <v>61.56</v>
      </c>
      <c r="BJ23" s="37">
        <v>69.540000000000006</v>
      </c>
      <c r="BK23" s="37">
        <v>68.400000000000006</v>
      </c>
      <c r="BL23" s="37">
        <v>57</v>
      </c>
      <c r="BM23" s="37">
        <v>63.27</v>
      </c>
    </row>
    <row r="24" spans="1:65">
      <c r="A24" s="9">
        <v>22</v>
      </c>
      <c r="B24" s="13">
        <v>10</v>
      </c>
      <c r="C24" s="13">
        <v>10</v>
      </c>
      <c r="D24" s="13">
        <f t="shared" si="0"/>
        <v>100</v>
      </c>
      <c r="E24" s="13">
        <v>4</v>
      </c>
      <c r="F24" s="13">
        <f t="shared" si="3"/>
        <v>40</v>
      </c>
      <c r="G24" s="13">
        <f t="shared" si="4"/>
        <v>70</v>
      </c>
      <c r="H24" s="13">
        <v>10</v>
      </c>
      <c r="I24" s="9">
        <v>9</v>
      </c>
      <c r="J24" s="37">
        <f t="shared" si="1"/>
        <v>90</v>
      </c>
      <c r="K24" s="37">
        <v>5.95</v>
      </c>
      <c r="L24" s="30">
        <f t="shared" si="5"/>
        <v>66.111111111111114</v>
      </c>
      <c r="M24" s="30">
        <f t="shared" si="6"/>
        <v>78.055555555555557</v>
      </c>
      <c r="N24" s="37">
        <f t="shared" si="2"/>
        <v>1514.91</v>
      </c>
      <c r="O24" s="37">
        <v>-64.157763950000003</v>
      </c>
      <c r="P24" s="37">
        <v>39.842236050000011</v>
      </c>
      <c r="Q24" s="37">
        <v>-63.075708600000006</v>
      </c>
      <c r="R24" s="37">
        <v>40.924291400000001</v>
      </c>
      <c r="T24" s="13">
        <v>5.95</v>
      </c>
      <c r="U24" s="13">
        <v>5.6</v>
      </c>
      <c r="V24" s="13">
        <v>5.95</v>
      </c>
      <c r="W24" s="13">
        <v>6.05</v>
      </c>
      <c r="X24" s="13">
        <v>5.8</v>
      </c>
      <c r="Y24" s="13">
        <v>5.55</v>
      </c>
      <c r="Z24" s="13">
        <v>5.8</v>
      </c>
      <c r="AA24" s="13">
        <v>5.6</v>
      </c>
      <c r="AB24" s="13">
        <v>5.7</v>
      </c>
      <c r="AC24" s="13">
        <v>6.1</v>
      </c>
      <c r="AD24" s="13">
        <v>6.1</v>
      </c>
      <c r="AE24" s="13">
        <v>5.65</v>
      </c>
      <c r="AF24" s="13">
        <v>6.2</v>
      </c>
      <c r="AG24" s="13">
        <v>5.6</v>
      </c>
      <c r="AH24" s="13">
        <v>5.55</v>
      </c>
      <c r="AI24" s="13">
        <v>6.35</v>
      </c>
      <c r="AJ24" s="13">
        <v>5.9</v>
      </c>
      <c r="AK24" s="13">
        <v>5.9</v>
      </c>
      <c r="AL24" s="13">
        <v>5.75</v>
      </c>
      <c r="AN24" s="36" t="s">
        <v>539</v>
      </c>
      <c r="AO24" s="37">
        <v>500</v>
      </c>
      <c r="AP24" s="43">
        <v>5.9140749999999999E-2</v>
      </c>
      <c r="AQ24" s="48">
        <v>6</v>
      </c>
      <c r="AR24" s="37"/>
      <c r="AS24" s="37">
        <v>75.09</v>
      </c>
      <c r="AT24" s="37">
        <v>67.260000000000005</v>
      </c>
      <c r="AU24" s="37">
        <v>73.53</v>
      </c>
      <c r="AV24" s="37">
        <v>69.540000000000006</v>
      </c>
      <c r="AW24" s="37">
        <v>73.53</v>
      </c>
      <c r="AX24" s="37">
        <v>74.67</v>
      </c>
      <c r="AY24" s="37">
        <v>71.819999999999993</v>
      </c>
      <c r="AZ24" s="37">
        <v>68.97</v>
      </c>
      <c r="BA24" s="37">
        <v>71.819999999999993</v>
      </c>
      <c r="BB24" s="37">
        <v>69.540000000000006</v>
      </c>
      <c r="BC24" s="37">
        <v>70.680000000000007</v>
      </c>
      <c r="BD24" s="37">
        <v>75.239999999999995</v>
      </c>
      <c r="BE24" s="37">
        <v>75.239999999999995</v>
      </c>
      <c r="BF24" s="37">
        <v>69.540000000000006</v>
      </c>
      <c r="BG24" s="37">
        <v>76.38</v>
      </c>
      <c r="BH24" s="37">
        <v>68.97</v>
      </c>
      <c r="BI24" s="37">
        <v>68.400000000000006</v>
      </c>
      <c r="BJ24" s="37">
        <v>78.09</v>
      </c>
      <c r="BK24" s="37">
        <v>72.39</v>
      </c>
      <c r="BL24" s="37">
        <v>72.959999999999994</v>
      </c>
      <c r="BM24" s="37">
        <v>71.25</v>
      </c>
    </row>
    <row r="25" spans="1:65">
      <c r="A25" s="9">
        <v>23</v>
      </c>
      <c r="B25" s="13">
        <v>10</v>
      </c>
      <c r="C25" s="13">
        <v>10</v>
      </c>
      <c r="D25" s="13">
        <f t="shared" si="0"/>
        <v>100</v>
      </c>
      <c r="E25" s="13">
        <v>4</v>
      </c>
      <c r="F25" s="13">
        <f t="shared" si="3"/>
        <v>40</v>
      </c>
      <c r="G25" s="13">
        <f t="shared" si="4"/>
        <v>70</v>
      </c>
      <c r="H25" s="13">
        <v>10</v>
      </c>
      <c r="I25" s="9">
        <v>10</v>
      </c>
      <c r="J25" s="37">
        <f t="shared" si="1"/>
        <v>100</v>
      </c>
      <c r="K25" s="37">
        <v>4.6500000000000004</v>
      </c>
      <c r="L25" s="30">
        <f t="shared" si="5"/>
        <v>46.5</v>
      </c>
      <c r="M25" s="30">
        <f t="shared" si="6"/>
        <v>73.25</v>
      </c>
      <c r="N25" s="37">
        <f t="shared" si="2"/>
        <v>1270.3800000000001</v>
      </c>
      <c r="O25" s="37">
        <v>-65.173651850000013</v>
      </c>
      <c r="P25" s="37">
        <v>38.826348149999994</v>
      </c>
      <c r="Q25" s="37">
        <v>-64.018141799999995</v>
      </c>
      <c r="R25" s="37">
        <v>39.981858199999998</v>
      </c>
      <c r="T25" s="13">
        <v>4.75</v>
      </c>
      <c r="U25" s="13">
        <v>4.9000000000000004</v>
      </c>
      <c r="V25" s="13">
        <v>5</v>
      </c>
      <c r="W25" s="13">
        <v>4.5</v>
      </c>
      <c r="X25" s="13">
        <v>4.5</v>
      </c>
      <c r="Y25" s="13">
        <v>4.3499999999999996</v>
      </c>
      <c r="Z25" s="13">
        <v>4.8499999999999996</v>
      </c>
      <c r="AA25" s="13">
        <v>4.75</v>
      </c>
      <c r="AB25" s="13">
        <v>4.75</v>
      </c>
      <c r="AC25" s="13">
        <v>4.5999999999999996</v>
      </c>
      <c r="AD25" s="13">
        <v>4.9000000000000004</v>
      </c>
      <c r="AE25" s="13">
        <v>4.8499999999999996</v>
      </c>
      <c r="AF25" s="13">
        <v>4.95</v>
      </c>
      <c r="AG25" s="13">
        <v>4.95</v>
      </c>
      <c r="AH25" s="13">
        <v>4.8499999999999996</v>
      </c>
      <c r="AI25" s="13">
        <v>5.15</v>
      </c>
      <c r="AJ25" s="13">
        <v>5.05</v>
      </c>
      <c r="AK25" s="13">
        <v>5.15</v>
      </c>
      <c r="AL25" s="13">
        <v>4.55</v>
      </c>
      <c r="AN25" s="36" t="s">
        <v>540</v>
      </c>
      <c r="AO25" s="37">
        <v>500</v>
      </c>
      <c r="AP25" s="43">
        <v>5.7512199999999999E-2</v>
      </c>
      <c r="AQ25" s="48">
        <v>6</v>
      </c>
      <c r="AR25" s="37"/>
      <c r="AS25" s="37">
        <v>60.27</v>
      </c>
      <c r="AT25" s="37">
        <v>60.42</v>
      </c>
      <c r="AU25" s="37">
        <v>59.85</v>
      </c>
      <c r="AV25" s="37">
        <v>61.56</v>
      </c>
      <c r="AW25" s="37">
        <v>62.7</v>
      </c>
      <c r="AX25" s="37">
        <v>57</v>
      </c>
      <c r="AY25" s="37">
        <v>57</v>
      </c>
      <c r="AZ25" s="37">
        <v>55.29</v>
      </c>
      <c r="BA25" s="37">
        <v>60.99</v>
      </c>
      <c r="BB25" s="37">
        <v>59.85</v>
      </c>
      <c r="BC25" s="37">
        <v>59.85</v>
      </c>
      <c r="BD25" s="37">
        <v>58.14</v>
      </c>
      <c r="BE25" s="37">
        <v>61.56</v>
      </c>
      <c r="BF25" s="37">
        <v>60.99</v>
      </c>
      <c r="BG25" s="37">
        <v>62.13</v>
      </c>
      <c r="BH25" s="37">
        <v>62.13</v>
      </c>
      <c r="BI25" s="37">
        <v>60.99</v>
      </c>
      <c r="BJ25" s="37">
        <v>64.41</v>
      </c>
      <c r="BK25" s="37">
        <v>63.27</v>
      </c>
      <c r="BL25" s="37">
        <v>64.41</v>
      </c>
      <c r="BM25" s="37">
        <v>57.57</v>
      </c>
    </row>
    <row r="26" spans="1:65">
      <c r="A26" s="9">
        <v>24</v>
      </c>
      <c r="B26" s="13">
        <v>10</v>
      </c>
      <c r="C26" s="13">
        <v>10</v>
      </c>
      <c r="D26" s="13">
        <f t="shared" si="0"/>
        <v>100</v>
      </c>
      <c r="E26" s="13">
        <v>7</v>
      </c>
      <c r="F26" s="13">
        <f t="shared" si="3"/>
        <v>70</v>
      </c>
      <c r="G26" s="13">
        <f t="shared" si="4"/>
        <v>85</v>
      </c>
      <c r="H26" s="13">
        <v>10</v>
      </c>
      <c r="I26" s="9">
        <v>10</v>
      </c>
      <c r="J26" s="37">
        <f t="shared" si="1"/>
        <v>100</v>
      </c>
      <c r="K26" s="37">
        <v>5.15</v>
      </c>
      <c r="L26" s="30">
        <f t="shared" si="5"/>
        <v>51.5</v>
      </c>
      <c r="M26" s="30">
        <f t="shared" si="6"/>
        <v>75.75</v>
      </c>
      <c r="N26" s="37">
        <f t="shared" si="2"/>
        <v>1407.1800000000005</v>
      </c>
      <c r="O26" s="37">
        <v>-66.207460049999995</v>
      </c>
      <c r="P26" s="37">
        <v>37.792539949999991</v>
      </c>
      <c r="Q26" s="37">
        <v>-64.568457199999997</v>
      </c>
      <c r="R26" s="37">
        <v>39.431542800000003</v>
      </c>
      <c r="T26" s="13">
        <v>5.6</v>
      </c>
      <c r="U26" s="13">
        <v>5.35</v>
      </c>
      <c r="V26" s="13">
        <v>5.45</v>
      </c>
      <c r="W26" s="13">
        <v>5.2</v>
      </c>
      <c r="X26" s="13">
        <v>5.2</v>
      </c>
      <c r="Y26" s="13">
        <v>5.4</v>
      </c>
      <c r="Z26" s="13">
        <v>5.15</v>
      </c>
      <c r="AA26" s="13">
        <v>5.2</v>
      </c>
      <c r="AB26" s="13">
        <v>5.45</v>
      </c>
      <c r="AC26" s="13">
        <v>5.2</v>
      </c>
      <c r="AD26" s="13">
        <v>5.45</v>
      </c>
      <c r="AE26" s="13">
        <v>5.55</v>
      </c>
      <c r="AF26" s="13">
        <v>5.75</v>
      </c>
      <c r="AG26" s="13">
        <v>5.7</v>
      </c>
      <c r="AH26" s="13">
        <v>4.9000000000000004</v>
      </c>
      <c r="AI26" s="13">
        <v>5.35</v>
      </c>
      <c r="AJ26" s="13">
        <v>5.85</v>
      </c>
      <c r="AK26" s="13">
        <v>5.5</v>
      </c>
      <c r="AL26" s="13">
        <v>5.2</v>
      </c>
      <c r="AN26" s="36" t="s">
        <v>541</v>
      </c>
      <c r="AO26" s="37">
        <v>500</v>
      </c>
      <c r="AP26" s="43">
        <v>5.9210714285714283E-2</v>
      </c>
      <c r="AQ26" s="48">
        <v>3</v>
      </c>
      <c r="AR26" s="37"/>
      <c r="AS26" s="37">
        <v>65.97</v>
      </c>
      <c r="AT26" s="37">
        <v>66.12</v>
      </c>
      <c r="AU26" s="37">
        <v>69.540000000000006</v>
      </c>
      <c r="AV26" s="37">
        <v>66.69</v>
      </c>
      <c r="AW26" s="37">
        <v>67.83</v>
      </c>
      <c r="AX26" s="37">
        <v>64.98</v>
      </c>
      <c r="AY26" s="37">
        <v>64.98</v>
      </c>
      <c r="AZ26" s="37">
        <v>67.260000000000005</v>
      </c>
      <c r="BA26" s="37">
        <v>64.41</v>
      </c>
      <c r="BB26" s="37">
        <v>64.98</v>
      </c>
      <c r="BC26" s="37">
        <v>67.83</v>
      </c>
      <c r="BD26" s="37">
        <v>64.98</v>
      </c>
      <c r="BE26" s="37">
        <v>67.83</v>
      </c>
      <c r="BF26" s="37">
        <v>68.97</v>
      </c>
      <c r="BG26" s="37">
        <v>71.25</v>
      </c>
      <c r="BH26" s="37">
        <v>70.680000000000007</v>
      </c>
      <c r="BI26" s="37">
        <v>60.99</v>
      </c>
      <c r="BJ26" s="37">
        <v>66.12</v>
      </c>
      <c r="BK26" s="37">
        <v>72.39</v>
      </c>
      <c r="BL26" s="37">
        <v>68.400000000000006</v>
      </c>
      <c r="BM26" s="37">
        <v>64.98</v>
      </c>
    </row>
    <row r="27" spans="1:65">
      <c r="A27" s="9">
        <v>25</v>
      </c>
      <c r="B27" s="13">
        <v>10</v>
      </c>
      <c r="C27" s="13">
        <v>9</v>
      </c>
      <c r="D27" s="13">
        <f t="shared" si="0"/>
        <v>90</v>
      </c>
      <c r="E27" s="13">
        <v>4</v>
      </c>
      <c r="F27" s="13">
        <f t="shared" si="3"/>
        <v>44.444444444444443</v>
      </c>
      <c r="G27" s="13">
        <f t="shared" si="4"/>
        <v>67.222222222222229</v>
      </c>
      <c r="H27" s="13">
        <v>10</v>
      </c>
      <c r="I27" s="9">
        <v>9</v>
      </c>
      <c r="J27" s="37">
        <f t="shared" si="1"/>
        <v>90</v>
      </c>
      <c r="K27" s="37">
        <v>5.2</v>
      </c>
      <c r="L27" s="30">
        <f t="shared" si="5"/>
        <v>57.777777777777786</v>
      </c>
      <c r="M27" s="30">
        <f t="shared" si="6"/>
        <v>73.888888888888886</v>
      </c>
      <c r="N27" s="37">
        <f t="shared" si="2"/>
        <v>1393.5</v>
      </c>
      <c r="O27" s="37">
        <v>-67.830161199999992</v>
      </c>
      <c r="P27" s="37">
        <v>36.169838799999994</v>
      </c>
      <c r="Q27" s="37">
        <v>-64.919738899999999</v>
      </c>
      <c r="R27" s="37">
        <v>39.080261100000001</v>
      </c>
      <c r="T27" s="13">
        <v>5.7</v>
      </c>
      <c r="U27" s="13">
        <v>5.6</v>
      </c>
      <c r="V27" s="13">
        <v>5.2</v>
      </c>
      <c r="W27" s="13">
        <v>5.3</v>
      </c>
      <c r="X27" s="13">
        <v>5.2</v>
      </c>
      <c r="Y27" s="13">
        <v>5.05</v>
      </c>
      <c r="Z27" s="13">
        <v>5.6</v>
      </c>
      <c r="AA27" s="13">
        <v>5.25</v>
      </c>
      <c r="AB27" s="13">
        <v>5.45</v>
      </c>
      <c r="AC27" s="13">
        <v>5.25</v>
      </c>
      <c r="AD27" s="13">
        <v>5.35</v>
      </c>
      <c r="AE27" s="13">
        <v>5.6</v>
      </c>
      <c r="AF27" s="13">
        <v>5.45</v>
      </c>
      <c r="AG27" s="13">
        <v>5.6</v>
      </c>
      <c r="AH27" s="13">
        <v>5.3</v>
      </c>
      <c r="AI27" s="13">
        <v>5.45</v>
      </c>
      <c r="AJ27" s="13">
        <v>5.25</v>
      </c>
      <c r="AK27" s="13">
        <v>4.9000000000000004</v>
      </c>
      <c r="AL27" s="13">
        <v>4.95</v>
      </c>
      <c r="AN27" s="36" t="s">
        <v>542</v>
      </c>
      <c r="AO27" s="37">
        <v>500</v>
      </c>
      <c r="AP27" s="43">
        <v>6.0576749999999999E-2</v>
      </c>
      <c r="AQ27" s="48">
        <v>4</v>
      </c>
      <c r="AR27" s="37"/>
      <c r="AS27" s="37">
        <v>66.540000000000006</v>
      </c>
      <c r="AT27" s="37">
        <v>64.41</v>
      </c>
      <c r="AU27" s="37">
        <v>70.680000000000007</v>
      </c>
      <c r="AV27" s="37">
        <v>69.540000000000006</v>
      </c>
      <c r="AW27" s="37">
        <v>64.98</v>
      </c>
      <c r="AX27" s="37">
        <v>66.12</v>
      </c>
      <c r="AY27" s="37">
        <v>64.98</v>
      </c>
      <c r="AZ27" s="37">
        <v>63.27</v>
      </c>
      <c r="BA27" s="37">
        <v>69.540000000000006</v>
      </c>
      <c r="BB27" s="37">
        <v>65.55</v>
      </c>
      <c r="BC27" s="37">
        <v>67.83</v>
      </c>
      <c r="BD27" s="37">
        <v>65.55</v>
      </c>
      <c r="BE27" s="37">
        <v>66.69</v>
      </c>
      <c r="BF27" s="37">
        <v>69.540000000000006</v>
      </c>
      <c r="BG27" s="37">
        <v>67.83</v>
      </c>
      <c r="BH27" s="37">
        <v>69.540000000000006</v>
      </c>
      <c r="BI27" s="37">
        <v>65.55</v>
      </c>
      <c r="BJ27" s="37">
        <v>67.83</v>
      </c>
      <c r="BK27" s="37">
        <v>64.98</v>
      </c>
      <c r="BL27" s="37">
        <v>60.99</v>
      </c>
      <c r="BM27" s="37">
        <v>61.56</v>
      </c>
    </row>
    <row r="28" spans="1:65">
      <c r="A28" s="9">
        <v>26</v>
      </c>
      <c r="B28" s="13">
        <v>10</v>
      </c>
      <c r="C28" s="13">
        <v>10</v>
      </c>
      <c r="D28" s="13">
        <f t="shared" si="0"/>
        <v>100</v>
      </c>
      <c r="E28" s="13">
        <v>6</v>
      </c>
      <c r="F28" s="37">
        <f t="shared" si="3"/>
        <v>60</v>
      </c>
      <c r="G28" s="37">
        <f t="shared" si="4"/>
        <v>80</v>
      </c>
      <c r="H28" s="13">
        <v>10</v>
      </c>
      <c r="I28" s="9">
        <v>10</v>
      </c>
      <c r="J28" s="37">
        <f t="shared" si="1"/>
        <v>100</v>
      </c>
      <c r="K28" s="37">
        <v>5.4</v>
      </c>
      <c r="L28" s="30">
        <f t="shared" si="5"/>
        <v>54</v>
      </c>
      <c r="M28" s="30">
        <f t="shared" si="6"/>
        <v>77</v>
      </c>
      <c r="N28" s="37">
        <f t="shared" si="2"/>
        <v>1487.5500000000002</v>
      </c>
      <c r="O28" s="37">
        <v>-66.092305750000008</v>
      </c>
      <c r="P28" s="37">
        <v>37.907694250000006</v>
      </c>
      <c r="Q28" s="37">
        <v>-64.830130600000004</v>
      </c>
      <c r="R28" s="37">
        <v>39.169869399999996</v>
      </c>
      <c r="T28" s="13">
        <v>6.1</v>
      </c>
      <c r="U28" s="13">
        <v>5.9</v>
      </c>
      <c r="V28" s="13">
        <v>5.7</v>
      </c>
      <c r="W28" s="13">
        <v>5.85</v>
      </c>
      <c r="X28" s="13">
        <v>5.95</v>
      </c>
      <c r="Y28" s="13">
        <v>5.6</v>
      </c>
      <c r="Z28" s="13">
        <v>5.55</v>
      </c>
      <c r="AA28" s="13">
        <v>5.85</v>
      </c>
      <c r="AB28" s="13">
        <v>5.65</v>
      </c>
      <c r="AC28" s="13">
        <v>5.35</v>
      </c>
      <c r="AD28" s="13">
        <v>5.0999999999999996</v>
      </c>
      <c r="AE28" s="13">
        <v>5.75</v>
      </c>
      <c r="AF28" s="13">
        <v>5.95</v>
      </c>
      <c r="AG28" s="13">
        <v>6.1</v>
      </c>
      <c r="AH28" s="13">
        <v>5.9</v>
      </c>
      <c r="AI28" s="13">
        <v>6.1</v>
      </c>
      <c r="AJ28" s="13">
        <v>6</v>
      </c>
      <c r="AK28" s="13">
        <v>5</v>
      </c>
      <c r="AL28" s="13">
        <v>5.7</v>
      </c>
      <c r="AN28" s="36" t="s">
        <v>543</v>
      </c>
      <c r="AO28" s="37">
        <v>500</v>
      </c>
      <c r="AP28" s="43">
        <v>5.7722833333333334E-2</v>
      </c>
      <c r="AQ28" s="48">
        <v>4</v>
      </c>
      <c r="AR28" s="37"/>
      <c r="AS28" s="37">
        <v>68.819999999999993</v>
      </c>
      <c r="AT28" s="37">
        <v>68.400000000000006</v>
      </c>
      <c r="AU28" s="37">
        <v>75.239999999999995</v>
      </c>
      <c r="AV28" s="37">
        <v>72.959999999999994</v>
      </c>
      <c r="AW28" s="37">
        <v>70.680000000000007</v>
      </c>
      <c r="AX28" s="37">
        <v>72.39</v>
      </c>
      <c r="AY28" s="37">
        <v>73.53</v>
      </c>
      <c r="AZ28" s="37">
        <v>69.540000000000006</v>
      </c>
      <c r="BA28" s="37">
        <v>68.97</v>
      </c>
      <c r="BB28" s="37">
        <v>72.39</v>
      </c>
      <c r="BC28" s="37">
        <v>70.11</v>
      </c>
      <c r="BD28" s="37">
        <v>66.69</v>
      </c>
      <c r="BE28" s="37">
        <v>63.27</v>
      </c>
      <c r="BF28" s="37">
        <v>71.25</v>
      </c>
      <c r="BG28" s="37">
        <v>73.53</v>
      </c>
      <c r="BH28" s="37">
        <v>75.239999999999995</v>
      </c>
      <c r="BI28" s="37">
        <v>72.39</v>
      </c>
      <c r="BJ28" s="37">
        <v>75.239999999999995</v>
      </c>
      <c r="BK28" s="37">
        <v>74.099999999999994</v>
      </c>
      <c r="BL28" s="37">
        <v>62.13</v>
      </c>
      <c r="BM28" s="37">
        <v>70.680000000000007</v>
      </c>
    </row>
    <row r="29" spans="1:65">
      <c r="A29" s="9">
        <v>27</v>
      </c>
      <c r="B29" s="13">
        <v>10</v>
      </c>
      <c r="C29" s="13">
        <v>10</v>
      </c>
      <c r="D29" s="13">
        <f t="shared" si="0"/>
        <v>100</v>
      </c>
      <c r="E29" s="13">
        <v>6</v>
      </c>
      <c r="F29" s="37">
        <f t="shared" si="3"/>
        <v>60</v>
      </c>
      <c r="G29" s="37">
        <f t="shared" si="4"/>
        <v>80</v>
      </c>
      <c r="H29" s="13">
        <v>10</v>
      </c>
      <c r="I29" s="9">
        <v>10</v>
      </c>
      <c r="J29" s="37">
        <f t="shared" si="1"/>
        <v>100</v>
      </c>
      <c r="K29" s="37">
        <v>4.8</v>
      </c>
      <c r="L29" s="30">
        <f t="shared" si="5"/>
        <v>48</v>
      </c>
      <c r="M29" s="30">
        <f t="shared" si="6"/>
        <v>74</v>
      </c>
      <c r="N29" s="37">
        <f t="shared" si="2"/>
        <v>1370.7</v>
      </c>
      <c r="O29" s="37">
        <v>-66.801608200000004</v>
      </c>
      <c r="P29" s="37">
        <v>37.198391800000003</v>
      </c>
      <c r="Q29" s="37">
        <v>-65.495372399999994</v>
      </c>
      <c r="R29" s="37">
        <v>38.504627599999999</v>
      </c>
      <c r="T29" s="13">
        <v>5.5</v>
      </c>
      <c r="U29" s="13">
        <v>5.6</v>
      </c>
      <c r="V29" s="13">
        <v>5.45</v>
      </c>
      <c r="W29" s="13">
        <v>5.3</v>
      </c>
      <c r="X29" s="13">
        <v>4.9000000000000004</v>
      </c>
      <c r="Y29" s="13">
        <v>5.15</v>
      </c>
      <c r="Z29" s="13">
        <v>5.0999999999999996</v>
      </c>
      <c r="AA29" s="13">
        <v>4.8499999999999996</v>
      </c>
      <c r="AB29" s="13">
        <v>5.3</v>
      </c>
      <c r="AC29" s="13">
        <v>4.6500000000000004</v>
      </c>
      <c r="AD29" s="13">
        <v>5.2</v>
      </c>
      <c r="AE29" s="13">
        <v>5.25</v>
      </c>
      <c r="AF29" s="13">
        <v>5.55</v>
      </c>
      <c r="AG29" s="13">
        <v>5.5</v>
      </c>
      <c r="AH29" s="13">
        <v>5.75</v>
      </c>
      <c r="AI29" s="13">
        <v>5.4</v>
      </c>
      <c r="AJ29" s="13">
        <v>5.55</v>
      </c>
      <c r="AK29" s="13">
        <v>5.6</v>
      </c>
      <c r="AL29" s="13">
        <v>4.2</v>
      </c>
      <c r="AN29" s="36" t="s">
        <v>544</v>
      </c>
      <c r="AO29" s="37">
        <v>500</v>
      </c>
      <c r="AP29" s="43">
        <v>5.8779499999999991E-2</v>
      </c>
      <c r="AQ29" s="48">
        <v>4</v>
      </c>
      <c r="AR29" s="37"/>
      <c r="AS29" s="37">
        <v>61.98</v>
      </c>
      <c r="AT29" s="37">
        <v>64.41</v>
      </c>
      <c r="AU29" s="37">
        <v>68.400000000000006</v>
      </c>
      <c r="AV29" s="37">
        <v>69.540000000000006</v>
      </c>
      <c r="AW29" s="37">
        <v>67.83</v>
      </c>
      <c r="AX29" s="37">
        <v>66.12</v>
      </c>
      <c r="AY29" s="37">
        <v>61.56</v>
      </c>
      <c r="AZ29" s="37">
        <v>64.41</v>
      </c>
      <c r="BA29" s="37">
        <v>63.84</v>
      </c>
      <c r="BB29" s="37">
        <v>60.99</v>
      </c>
      <c r="BC29" s="37">
        <v>66.12</v>
      </c>
      <c r="BD29" s="37">
        <v>58.14</v>
      </c>
      <c r="BE29" s="37">
        <v>64.98</v>
      </c>
      <c r="BF29" s="37">
        <v>65.55</v>
      </c>
      <c r="BG29" s="37">
        <v>68.97</v>
      </c>
      <c r="BH29" s="37">
        <v>68.400000000000006</v>
      </c>
      <c r="BI29" s="37">
        <v>71.25</v>
      </c>
      <c r="BJ29" s="37">
        <v>67.260000000000005</v>
      </c>
      <c r="BK29" s="37">
        <v>68.97</v>
      </c>
      <c r="BL29" s="37">
        <v>69.540000000000006</v>
      </c>
      <c r="BM29" s="37">
        <v>52.44</v>
      </c>
    </row>
    <row r="30" spans="1:65">
      <c r="A30" s="9">
        <v>28</v>
      </c>
      <c r="B30" s="13">
        <v>10</v>
      </c>
      <c r="C30" s="13">
        <v>10</v>
      </c>
      <c r="D30" s="13">
        <f t="shared" si="0"/>
        <v>100</v>
      </c>
      <c r="E30" s="13">
        <v>9</v>
      </c>
      <c r="F30" s="37">
        <f t="shared" si="3"/>
        <v>90</v>
      </c>
      <c r="G30" s="37">
        <f t="shared" si="4"/>
        <v>95</v>
      </c>
      <c r="H30" s="13">
        <v>10</v>
      </c>
      <c r="I30" s="9">
        <v>9</v>
      </c>
      <c r="J30" s="37">
        <f t="shared" si="1"/>
        <v>90</v>
      </c>
      <c r="K30" s="37">
        <v>5.65</v>
      </c>
      <c r="L30" s="30">
        <f t="shared" si="5"/>
        <v>62.777777777777779</v>
      </c>
      <c r="M30" s="30">
        <f t="shared" si="6"/>
        <v>76.388888888888886</v>
      </c>
      <c r="N30" s="37">
        <f t="shared" si="2"/>
        <v>1554.2400000000002</v>
      </c>
      <c r="O30" s="37">
        <v>-67.023038800000009</v>
      </c>
      <c r="P30" s="37">
        <v>36.976961200000012</v>
      </c>
      <c r="Q30" s="37">
        <v>-67.8621531</v>
      </c>
      <c r="R30" s="37">
        <v>36.137846900000007</v>
      </c>
      <c r="T30" s="13">
        <v>5.95</v>
      </c>
      <c r="U30" s="13">
        <v>6.3</v>
      </c>
      <c r="V30" s="13">
        <v>6.2</v>
      </c>
      <c r="W30" s="13">
        <v>5.95</v>
      </c>
      <c r="X30" s="13">
        <v>6.05</v>
      </c>
      <c r="Y30" s="13">
        <v>6.15</v>
      </c>
      <c r="Z30" s="13">
        <v>6.2</v>
      </c>
      <c r="AA30" s="13">
        <v>5.85</v>
      </c>
      <c r="AB30" s="13">
        <v>6.2</v>
      </c>
      <c r="AC30" s="13">
        <v>5.9</v>
      </c>
      <c r="AD30" s="13">
        <v>6.05</v>
      </c>
      <c r="AE30" s="13">
        <v>6.3</v>
      </c>
      <c r="AF30" s="13">
        <v>6.05</v>
      </c>
      <c r="AG30" s="13">
        <v>5.9</v>
      </c>
      <c r="AH30" s="13">
        <v>6.05</v>
      </c>
      <c r="AI30" s="13">
        <v>6.05</v>
      </c>
      <c r="AJ30" s="13">
        <v>6.05</v>
      </c>
      <c r="AK30" s="13">
        <v>5.85</v>
      </c>
      <c r="AL30" s="13">
        <v>5.3</v>
      </c>
      <c r="AN30" s="36" t="s">
        <v>545</v>
      </c>
      <c r="AO30" s="37">
        <v>500</v>
      </c>
      <c r="AP30" s="43">
        <v>5.6054222222222228E-2</v>
      </c>
      <c r="AQ30" s="48">
        <v>1</v>
      </c>
      <c r="AR30" s="37"/>
      <c r="AS30" s="37">
        <v>71.67</v>
      </c>
      <c r="AT30" s="37">
        <v>71.25</v>
      </c>
      <c r="AU30" s="37">
        <v>73.53</v>
      </c>
      <c r="AV30" s="37">
        <v>77.52</v>
      </c>
      <c r="AW30" s="37">
        <v>76.38</v>
      </c>
      <c r="AX30" s="37">
        <v>73.53</v>
      </c>
      <c r="AY30" s="37">
        <v>74.67</v>
      </c>
      <c r="AZ30" s="37">
        <v>75.81</v>
      </c>
      <c r="BA30" s="37">
        <v>76.38</v>
      </c>
      <c r="BB30" s="37">
        <v>72.39</v>
      </c>
      <c r="BC30" s="37">
        <v>76.38</v>
      </c>
      <c r="BD30" s="37">
        <v>72.959999999999994</v>
      </c>
      <c r="BE30" s="37">
        <v>74.67</v>
      </c>
      <c r="BF30" s="37">
        <v>77.52</v>
      </c>
      <c r="BG30" s="37">
        <v>74.67</v>
      </c>
      <c r="BH30" s="37">
        <v>72.959999999999994</v>
      </c>
      <c r="BI30" s="37">
        <v>74.67</v>
      </c>
      <c r="BJ30" s="37">
        <v>74.67</v>
      </c>
      <c r="BK30" s="37">
        <v>74.67</v>
      </c>
      <c r="BL30" s="37">
        <v>72.39</v>
      </c>
      <c r="BM30" s="37">
        <v>65.55</v>
      </c>
    </row>
    <row r="31" spans="1:65">
      <c r="A31" s="9">
        <v>29</v>
      </c>
      <c r="B31" s="13">
        <v>10</v>
      </c>
      <c r="C31" s="13">
        <v>10</v>
      </c>
      <c r="D31" s="13">
        <f t="shared" si="0"/>
        <v>100</v>
      </c>
      <c r="E31" s="13">
        <v>7</v>
      </c>
      <c r="F31" s="37">
        <f t="shared" si="3"/>
        <v>70</v>
      </c>
      <c r="G31" s="37">
        <f t="shared" si="4"/>
        <v>85</v>
      </c>
      <c r="H31" s="13">
        <v>10</v>
      </c>
      <c r="I31" s="9">
        <v>10</v>
      </c>
      <c r="J31" s="37">
        <f t="shared" si="1"/>
        <v>100</v>
      </c>
      <c r="K31" s="37">
        <v>4.9000000000000004</v>
      </c>
      <c r="L31" s="30">
        <f t="shared" si="5"/>
        <v>49.000000000000007</v>
      </c>
      <c r="M31" s="30">
        <f t="shared" si="6"/>
        <v>74.5</v>
      </c>
      <c r="N31" s="37">
        <f t="shared" si="2"/>
        <v>1452.2099999999996</v>
      </c>
      <c r="O31" s="37">
        <v>-70.070329300000012</v>
      </c>
      <c r="P31" s="37">
        <v>33.929670700000003</v>
      </c>
      <c r="Q31" s="9">
        <v>-68.071517700000015</v>
      </c>
      <c r="R31" s="9">
        <v>35.928482299999999</v>
      </c>
      <c r="T31" s="13">
        <v>5.55</v>
      </c>
      <c r="U31" s="13">
        <v>5.8</v>
      </c>
      <c r="V31" s="13">
        <v>5.7</v>
      </c>
      <c r="W31" s="13">
        <v>5.65</v>
      </c>
      <c r="X31" s="13">
        <v>5.45</v>
      </c>
      <c r="Y31" s="13">
        <v>5.45</v>
      </c>
      <c r="Z31" s="13">
        <v>5.55</v>
      </c>
      <c r="AA31" s="13">
        <v>5.4</v>
      </c>
      <c r="AB31" s="13">
        <v>5.6</v>
      </c>
      <c r="AC31" s="13">
        <v>5.25</v>
      </c>
      <c r="AD31" s="13">
        <v>5.15</v>
      </c>
      <c r="AE31" s="13">
        <v>5.6</v>
      </c>
      <c r="AF31" s="13">
        <v>5.8</v>
      </c>
      <c r="AG31" s="13">
        <v>5.7</v>
      </c>
      <c r="AH31" s="13">
        <v>5.3</v>
      </c>
      <c r="AI31" s="13">
        <v>6</v>
      </c>
      <c r="AJ31" s="13">
        <v>5.75</v>
      </c>
      <c r="AK31" s="13">
        <v>6</v>
      </c>
      <c r="AL31" s="13">
        <v>5.65</v>
      </c>
      <c r="AN31" s="36" t="s">
        <v>546</v>
      </c>
      <c r="AO31" s="37">
        <v>500</v>
      </c>
      <c r="AP31" s="43">
        <v>5.9202428571428566E-2</v>
      </c>
      <c r="AQ31" s="48">
        <v>3</v>
      </c>
      <c r="AR31" s="37"/>
      <c r="AS31" s="37">
        <v>63.12</v>
      </c>
      <c r="AT31" s="37">
        <v>68.97</v>
      </c>
      <c r="AU31" s="37">
        <v>68.97</v>
      </c>
      <c r="AV31" s="37">
        <v>71.819999999999993</v>
      </c>
      <c r="AW31" s="37">
        <v>70.680000000000007</v>
      </c>
      <c r="AX31" s="37">
        <v>70.11</v>
      </c>
      <c r="AY31" s="37">
        <v>67.83</v>
      </c>
      <c r="AZ31" s="37">
        <v>67.83</v>
      </c>
      <c r="BA31" s="37">
        <v>68.97</v>
      </c>
      <c r="BB31" s="37">
        <v>67.260000000000005</v>
      </c>
      <c r="BC31" s="37">
        <v>69.540000000000006</v>
      </c>
      <c r="BD31" s="37">
        <v>65.55</v>
      </c>
      <c r="BE31" s="37">
        <v>64.41</v>
      </c>
      <c r="BF31" s="37">
        <v>69.540000000000006</v>
      </c>
      <c r="BG31" s="37">
        <v>71.819999999999993</v>
      </c>
      <c r="BH31" s="37">
        <v>70.680000000000007</v>
      </c>
      <c r="BI31" s="37">
        <v>65.55</v>
      </c>
      <c r="BJ31" s="37">
        <v>74.099999999999994</v>
      </c>
      <c r="BK31" s="37">
        <v>71.25</v>
      </c>
      <c r="BL31" s="37">
        <v>74.099999999999994</v>
      </c>
      <c r="BM31" s="37">
        <v>70.11</v>
      </c>
    </row>
    <row r="32" spans="1:65">
      <c r="A32" s="9">
        <v>30</v>
      </c>
      <c r="B32" s="13">
        <v>10</v>
      </c>
      <c r="C32" s="13">
        <v>10</v>
      </c>
      <c r="D32" s="13">
        <f t="shared" si="0"/>
        <v>100</v>
      </c>
      <c r="E32" s="13">
        <v>5</v>
      </c>
      <c r="F32" s="37">
        <f t="shared" si="3"/>
        <v>50</v>
      </c>
      <c r="G32" s="37">
        <f t="shared" si="4"/>
        <v>75</v>
      </c>
      <c r="H32" s="13">
        <v>10</v>
      </c>
      <c r="I32" s="9">
        <v>10</v>
      </c>
      <c r="J32" s="37">
        <f t="shared" si="1"/>
        <v>100</v>
      </c>
      <c r="K32" s="37">
        <v>5.4</v>
      </c>
      <c r="L32" s="30">
        <f t="shared" si="5"/>
        <v>54</v>
      </c>
      <c r="M32" s="30">
        <f t="shared" si="6"/>
        <v>77</v>
      </c>
      <c r="N32" s="37">
        <f>SUM(AS32:BM32)</f>
        <v>1485.84</v>
      </c>
      <c r="O32" s="9">
        <v>-70.117471999999992</v>
      </c>
      <c r="P32" s="9">
        <v>33.882527999999994</v>
      </c>
      <c r="Q32" s="9">
        <v>-68.165075400000006</v>
      </c>
      <c r="R32" s="9">
        <v>35.834924600000001</v>
      </c>
      <c r="T32" s="13">
        <v>5.8</v>
      </c>
      <c r="U32" s="13">
        <v>5.6</v>
      </c>
      <c r="V32" s="13">
        <v>5.85</v>
      </c>
      <c r="W32" s="13">
        <v>5.7</v>
      </c>
      <c r="X32" s="13">
        <v>5.8</v>
      </c>
      <c r="Y32" s="13">
        <v>5.6</v>
      </c>
      <c r="Z32" s="13">
        <v>5.55</v>
      </c>
      <c r="AA32" s="13">
        <v>5.45</v>
      </c>
      <c r="AB32" s="13">
        <v>5.9</v>
      </c>
      <c r="AC32" s="13">
        <v>5.45</v>
      </c>
      <c r="AD32" s="13">
        <v>5.6</v>
      </c>
      <c r="AE32" s="13">
        <v>5.7</v>
      </c>
      <c r="AF32" s="13">
        <v>5.7</v>
      </c>
      <c r="AG32" s="13">
        <v>5.65</v>
      </c>
      <c r="AH32" s="13">
        <v>5.95</v>
      </c>
      <c r="AI32" s="13">
        <v>5.8</v>
      </c>
      <c r="AJ32" s="13">
        <v>6</v>
      </c>
      <c r="AK32" s="13">
        <v>5.75</v>
      </c>
      <c r="AL32" s="13">
        <v>5.95</v>
      </c>
      <c r="AN32" s="36" t="s">
        <v>547</v>
      </c>
      <c r="AO32" s="37">
        <v>500</v>
      </c>
      <c r="AP32" s="43">
        <v>5.8587800000000002E-2</v>
      </c>
      <c r="AQ32" s="48">
        <v>5</v>
      </c>
      <c r="AR32" s="37"/>
      <c r="AS32" s="37">
        <v>68.819999999999993</v>
      </c>
      <c r="AT32" s="37">
        <v>68.400000000000006</v>
      </c>
      <c r="AU32" s="37">
        <v>71.819999999999993</v>
      </c>
      <c r="AV32" s="37">
        <v>69.540000000000006</v>
      </c>
      <c r="AW32" s="37">
        <v>72.39</v>
      </c>
      <c r="AX32" s="37">
        <v>70.680000000000007</v>
      </c>
      <c r="AY32" s="37">
        <v>71.819999999999993</v>
      </c>
      <c r="AZ32" s="37">
        <v>69.540000000000006</v>
      </c>
      <c r="BA32" s="37">
        <v>68.97</v>
      </c>
      <c r="BB32" s="37">
        <v>67.83</v>
      </c>
      <c r="BC32" s="37">
        <v>72.959999999999994</v>
      </c>
      <c r="BD32" s="37">
        <v>67.83</v>
      </c>
      <c r="BE32" s="37">
        <v>69.540000000000006</v>
      </c>
      <c r="BF32" s="37">
        <v>70.680000000000007</v>
      </c>
      <c r="BG32" s="37">
        <v>70.680000000000007</v>
      </c>
      <c r="BH32" s="37">
        <v>70.11</v>
      </c>
      <c r="BI32" s="37">
        <v>73.53</v>
      </c>
      <c r="BJ32" s="37">
        <v>71.819999999999993</v>
      </c>
      <c r="BK32" s="37">
        <v>74.099999999999994</v>
      </c>
      <c r="BL32" s="37">
        <v>71.25</v>
      </c>
      <c r="BM32" s="37">
        <v>73.53</v>
      </c>
    </row>
    <row r="33" spans="2:56">
      <c r="B33" s="11"/>
      <c r="C33" s="11"/>
      <c r="D33" s="11"/>
      <c r="E33" s="11"/>
      <c r="F33" s="76">
        <f>AVERAGE(F4:F32)</f>
        <v>50.890804597701148</v>
      </c>
      <c r="G33" s="76">
        <f>AVERAGE(G4:G32)</f>
        <v>74.583333333333329</v>
      </c>
      <c r="L33" s="76">
        <f>AVERAGE(L4:L32)</f>
        <v>52.825670498084293</v>
      </c>
      <c r="M33" s="76">
        <f>AVERAGE(M4:M32)</f>
        <v>75.205938697318018</v>
      </c>
      <c r="AC33" s="37"/>
      <c r="AD33" s="37"/>
      <c r="AE33" s="37"/>
      <c r="AF33" s="37"/>
      <c r="AG33" s="37"/>
      <c r="AH33" s="37"/>
      <c r="AI33" s="37"/>
      <c r="AJ33" s="37"/>
      <c r="AK33" s="37"/>
      <c r="AL33" s="37"/>
    </row>
    <row r="34" spans="2:56">
      <c r="E34" s="11"/>
      <c r="AC34" s="37"/>
      <c r="AD34" s="37"/>
      <c r="AE34" s="37"/>
      <c r="AF34" s="37"/>
      <c r="AG34" s="37"/>
      <c r="AH34" s="37"/>
      <c r="AI34" s="37"/>
      <c r="AJ34" s="37"/>
      <c r="AK34" s="37"/>
      <c r="AL34" s="37"/>
      <c r="AY34" s="46"/>
    </row>
    <row r="35" spans="2:56">
      <c r="E35" s="11"/>
      <c r="AC35" s="37"/>
      <c r="AD35" s="37"/>
      <c r="AE35" s="37"/>
      <c r="AF35" s="37"/>
      <c r="AG35" s="37"/>
      <c r="AH35" s="37"/>
      <c r="AI35" s="37"/>
      <c r="AJ35" s="37"/>
      <c r="AK35" s="37"/>
      <c r="AL35" s="37"/>
      <c r="AN35" s="90" t="s">
        <v>785</v>
      </c>
      <c r="AO35" s="90"/>
      <c r="AP35" s="90"/>
      <c r="AQ35" s="90"/>
      <c r="AX35" s="37" t="s">
        <v>840</v>
      </c>
      <c r="AY35" s="46" t="s">
        <v>841</v>
      </c>
      <c r="AZ35" s="48" t="s">
        <v>885</v>
      </c>
    </row>
    <row r="36" spans="2:56">
      <c r="E36" s="11"/>
      <c r="AC36" s="37"/>
      <c r="AD36" s="37"/>
      <c r="AE36" s="37"/>
      <c r="AF36" s="37"/>
      <c r="AG36" s="37"/>
      <c r="AH36" s="37"/>
      <c r="AI36" s="37"/>
      <c r="AJ36" s="37"/>
      <c r="AK36" s="37"/>
      <c r="AL36" s="37"/>
      <c r="AN36" s="37"/>
      <c r="AO36" s="37" t="s">
        <v>808</v>
      </c>
      <c r="AP36" s="37" t="s">
        <v>809</v>
      </c>
      <c r="AQ36" s="37" t="s">
        <v>810</v>
      </c>
      <c r="AR36" s="9" t="s">
        <v>164</v>
      </c>
      <c r="AS36" s="9" t="s">
        <v>811</v>
      </c>
      <c r="AT36" s="9" t="s">
        <v>812</v>
      </c>
      <c r="AU36" s="9">
        <v>11</v>
      </c>
      <c r="AV36" s="9" t="s">
        <v>813</v>
      </c>
      <c r="AW36" s="9" t="s">
        <v>807</v>
      </c>
      <c r="AX36" s="9">
        <f>AV37+AV39/2</f>
        <v>8.5195999999999994E-2</v>
      </c>
      <c r="AY36" s="9">
        <v>20</v>
      </c>
      <c r="AZ36" s="9">
        <v>8</v>
      </c>
    </row>
    <row r="37" spans="2:56">
      <c r="E37" s="11"/>
      <c r="AC37" s="37"/>
      <c r="AD37" s="37"/>
      <c r="AE37" s="37"/>
      <c r="AF37" s="37"/>
      <c r="AG37" s="37"/>
      <c r="AH37" s="37"/>
      <c r="AI37" s="37"/>
      <c r="AJ37" s="37"/>
      <c r="AK37" s="37"/>
      <c r="AL37" s="37"/>
      <c r="AN37" s="37"/>
      <c r="AO37" s="37" t="s">
        <v>814</v>
      </c>
      <c r="AP37" s="37" t="s">
        <v>167</v>
      </c>
      <c r="AQ37" s="37" t="s">
        <v>815</v>
      </c>
      <c r="AR37" s="9">
        <v>500</v>
      </c>
      <c r="AS37" s="9" t="s">
        <v>816</v>
      </c>
      <c r="AT37" s="9" t="s">
        <v>817</v>
      </c>
      <c r="AU37" s="9" t="s">
        <v>818</v>
      </c>
      <c r="AV37" s="9">
        <v>5.8858000000000001E-2</v>
      </c>
      <c r="AW37" s="9" t="s">
        <v>806</v>
      </c>
      <c r="AX37" s="9">
        <f>AV41+AV43/2</f>
        <v>8.1265500000000004E-2</v>
      </c>
      <c r="AY37" s="9">
        <v>30</v>
      </c>
      <c r="AZ37" s="9">
        <v>9</v>
      </c>
    </row>
    <row r="38" spans="2:56">
      <c r="E38" s="11"/>
      <c r="AC38" s="37"/>
      <c r="AD38" s="37"/>
      <c r="AE38" s="37"/>
      <c r="AF38" s="37"/>
      <c r="AG38" s="37"/>
      <c r="AH38" s="37"/>
      <c r="AI38" s="37"/>
      <c r="AJ38" s="37"/>
      <c r="AK38" s="37"/>
      <c r="AL38" s="37"/>
      <c r="AN38" s="37"/>
      <c r="AO38" s="37" t="s">
        <v>808</v>
      </c>
      <c r="AP38" s="37" t="s">
        <v>169</v>
      </c>
      <c r="AQ38" s="37" t="s">
        <v>810</v>
      </c>
      <c r="AR38" s="9" t="s">
        <v>178</v>
      </c>
      <c r="AS38" s="9" t="s">
        <v>811</v>
      </c>
      <c r="AT38" s="9" t="s">
        <v>812</v>
      </c>
      <c r="AU38" s="9">
        <v>17</v>
      </c>
      <c r="AV38" s="9" t="s">
        <v>813</v>
      </c>
      <c r="AW38" s="9" t="s">
        <v>807</v>
      </c>
      <c r="AX38" s="9">
        <f>AVERAGE(AV43,AV45:AV47)</f>
        <v>6.0290999999999997E-2</v>
      </c>
      <c r="AY38" s="9">
        <v>40</v>
      </c>
      <c r="AZ38" s="9">
        <v>6</v>
      </c>
    </row>
    <row r="39" spans="2:56">
      <c r="E39" s="11"/>
      <c r="AC39" s="37"/>
      <c r="AD39" s="37"/>
      <c r="AE39" s="37"/>
      <c r="AF39" s="37"/>
      <c r="AG39" s="37"/>
      <c r="AH39" s="37"/>
      <c r="AI39" s="37"/>
      <c r="AJ39" s="37"/>
      <c r="AK39" s="37"/>
      <c r="AL39" s="37"/>
      <c r="AN39" s="37"/>
      <c r="AO39" s="37" t="s">
        <v>814</v>
      </c>
      <c r="AP39" s="37" t="s">
        <v>180</v>
      </c>
      <c r="AQ39" s="37" t="s">
        <v>815</v>
      </c>
      <c r="AR39" s="9">
        <v>500</v>
      </c>
      <c r="AS39" s="9" t="s">
        <v>816</v>
      </c>
      <c r="AT39" s="9" t="s">
        <v>817</v>
      </c>
      <c r="AU39" s="9" t="s">
        <v>818</v>
      </c>
      <c r="AV39" s="9">
        <v>5.2676000000000001E-2</v>
      </c>
      <c r="AW39" s="9" t="s">
        <v>806</v>
      </c>
      <c r="AX39" s="9">
        <f>AVERAGE(AV49,AV51:AV53)</f>
        <v>5.8547000000000002E-2</v>
      </c>
      <c r="AY39" s="9">
        <v>50</v>
      </c>
      <c r="AZ39" s="9">
        <v>6</v>
      </c>
    </row>
    <row r="40" spans="2:56">
      <c r="E40" s="11"/>
      <c r="G40" s="11"/>
      <c r="AC40" s="37"/>
      <c r="AD40" s="37"/>
      <c r="AE40" s="37"/>
      <c r="AF40" s="37"/>
      <c r="AG40" s="37"/>
      <c r="AH40" s="37"/>
      <c r="AI40" s="37"/>
      <c r="AJ40" s="37"/>
      <c r="AK40" s="37"/>
      <c r="AL40" s="37"/>
      <c r="AN40" s="37"/>
      <c r="AO40" s="37" t="s">
        <v>808</v>
      </c>
      <c r="AP40" s="54" t="s">
        <v>182</v>
      </c>
      <c r="AQ40" s="54" t="s">
        <v>810</v>
      </c>
      <c r="AR40" s="54" t="s">
        <v>192</v>
      </c>
      <c r="AS40" s="9" t="s">
        <v>811</v>
      </c>
      <c r="AT40" s="9" t="s">
        <v>812</v>
      </c>
      <c r="AU40" s="9">
        <v>24</v>
      </c>
      <c r="AV40" s="9" t="s">
        <v>813</v>
      </c>
      <c r="AW40" s="9" t="s">
        <v>807</v>
      </c>
      <c r="AX40" s="9">
        <f>AVERAGE(AV55:AV56)</f>
        <v>5.6264499999999995E-2</v>
      </c>
      <c r="AY40" s="9">
        <v>60</v>
      </c>
      <c r="AZ40" s="9">
        <v>8</v>
      </c>
    </row>
    <row r="41" spans="2:56">
      <c r="E41" s="11"/>
      <c r="AC41" s="37"/>
      <c r="AD41" s="37"/>
      <c r="AE41" s="37"/>
      <c r="AF41" s="37"/>
      <c r="AG41" s="37"/>
      <c r="AH41" s="37"/>
      <c r="AI41" s="37"/>
      <c r="AJ41" s="37"/>
      <c r="AK41" s="37"/>
      <c r="AL41" s="37"/>
      <c r="AN41" s="37"/>
      <c r="AO41" s="37" t="s">
        <v>814</v>
      </c>
      <c r="AP41" s="54" t="s">
        <v>193</v>
      </c>
      <c r="AQ41" s="54" t="s">
        <v>815</v>
      </c>
      <c r="AR41" s="54">
        <v>500</v>
      </c>
      <c r="AS41" s="9" t="s">
        <v>816</v>
      </c>
      <c r="AT41" s="9" t="s">
        <v>817</v>
      </c>
      <c r="AU41" s="9" t="s">
        <v>818</v>
      </c>
      <c r="AV41" s="9">
        <v>5.4475000000000003E-2</v>
      </c>
      <c r="AW41" s="9" t="s">
        <v>806</v>
      </c>
      <c r="AX41" s="9">
        <f>AVERAGE(AV58,AV60:AV62,AV64:AV65)</f>
        <v>5.645466666666666E-2</v>
      </c>
      <c r="AY41" s="9">
        <v>70</v>
      </c>
      <c r="AZ41" s="9">
        <v>4</v>
      </c>
    </row>
    <row r="42" spans="2:56">
      <c r="E42" s="11"/>
      <c r="AC42" s="37"/>
      <c r="AD42" s="37"/>
      <c r="AE42" s="37"/>
      <c r="AF42" s="37"/>
      <c r="AG42" s="37"/>
      <c r="AH42" s="37"/>
      <c r="AI42" s="37"/>
      <c r="AJ42" s="37"/>
      <c r="AK42" s="37"/>
      <c r="AL42" s="37"/>
      <c r="AN42" s="37"/>
      <c r="AO42" s="37" t="s">
        <v>808</v>
      </c>
      <c r="AP42" s="54" t="s">
        <v>194</v>
      </c>
      <c r="AQ42" s="54" t="s">
        <v>810</v>
      </c>
      <c r="AR42" s="54" t="s">
        <v>198</v>
      </c>
      <c r="AS42" s="9" t="s">
        <v>811</v>
      </c>
      <c r="AT42" s="9" t="s">
        <v>812</v>
      </c>
      <c r="AU42" s="9">
        <v>28</v>
      </c>
      <c r="AV42" s="9" t="s">
        <v>813</v>
      </c>
      <c r="AW42" s="9" t="s">
        <v>807</v>
      </c>
      <c r="AX42" s="9">
        <f>AVERAGE(AV66,AV68,AV70)</f>
        <v>5.7735000000000002E-2</v>
      </c>
      <c r="AY42" s="9">
        <v>80</v>
      </c>
      <c r="AZ42" s="9">
        <v>7</v>
      </c>
    </row>
    <row r="43" spans="2:56">
      <c r="E43" s="11"/>
      <c r="AC43" s="37"/>
      <c r="AD43" s="37"/>
      <c r="AE43" s="37"/>
      <c r="AF43" s="37"/>
      <c r="AG43" s="37"/>
      <c r="AH43" s="37"/>
      <c r="AI43" s="37"/>
      <c r="AJ43" s="37"/>
      <c r="AK43" s="37"/>
      <c r="AL43" s="37"/>
      <c r="AN43" s="37"/>
      <c r="AO43" s="37" t="s">
        <v>814</v>
      </c>
      <c r="AP43" s="54" t="s">
        <v>199</v>
      </c>
      <c r="AQ43" s="54" t="s">
        <v>815</v>
      </c>
      <c r="AR43" s="54">
        <v>500</v>
      </c>
      <c r="AS43" s="9" t="s">
        <v>816</v>
      </c>
      <c r="AT43" s="9" t="s">
        <v>817</v>
      </c>
      <c r="AU43" s="9" t="s">
        <v>818</v>
      </c>
      <c r="AV43" s="9">
        <v>5.3580999999999997E-2</v>
      </c>
      <c r="AW43" s="9" t="s">
        <v>806</v>
      </c>
      <c r="AX43" s="9">
        <f>AVERAGE(AV71,AV73:AV75)</f>
        <v>5.6903500000000003E-2</v>
      </c>
      <c r="AY43" s="9">
        <v>90</v>
      </c>
      <c r="AZ43" s="9">
        <v>6</v>
      </c>
    </row>
    <row r="44" spans="2:56">
      <c r="E44" s="11"/>
      <c r="AN44" s="37"/>
      <c r="AO44" s="37" t="s">
        <v>808</v>
      </c>
      <c r="AP44" s="54" t="s">
        <v>201</v>
      </c>
      <c r="AQ44" s="54" t="s">
        <v>810</v>
      </c>
      <c r="AR44" s="54" t="s">
        <v>201</v>
      </c>
      <c r="AS44" s="9" t="s">
        <v>811</v>
      </c>
      <c r="AT44" s="9" t="s">
        <v>812</v>
      </c>
      <c r="AU44" s="9">
        <v>29</v>
      </c>
      <c r="AV44" s="9" t="s">
        <v>813</v>
      </c>
      <c r="AW44" s="9" t="s">
        <v>807</v>
      </c>
      <c r="AX44" s="9">
        <f>AVERAGE(AV77,AV79:AV81)</f>
        <v>5.7570249999999996E-2</v>
      </c>
      <c r="AY44" s="9">
        <v>100</v>
      </c>
      <c r="AZ44" s="9">
        <v>6</v>
      </c>
    </row>
    <row r="45" spans="2:56">
      <c r="E45" s="11"/>
      <c r="AN45" s="37"/>
      <c r="AO45" s="37" t="s">
        <v>814</v>
      </c>
      <c r="AP45" s="54" t="s">
        <v>203</v>
      </c>
      <c r="AQ45" s="54" t="s">
        <v>815</v>
      </c>
      <c r="AR45" s="54">
        <v>500</v>
      </c>
      <c r="AS45" s="9" t="s">
        <v>816</v>
      </c>
      <c r="AT45" s="9" t="s">
        <v>817</v>
      </c>
      <c r="AU45" s="9" t="s">
        <v>818</v>
      </c>
      <c r="AV45" s="9">
        <v>5.9891E-2</v>
      </c>
      <c r="AW45" s="9" t="s">
        <v>806</v>
      </c>
      <c r="AX45" s="37">
        <v>5.0866000000000001E-2</v>
      </c>
      <c r="AY45" s="9">
        <v>110</v>
      </c>
      <c r="AZ45" s="9">
        <v>9</v>
      </c>
      <c r="BC45" s="41"/>
      <c r="BD45" s="41"/>
    </row>
    <row r="46" spans="2:56">
      <c r="E46" s="11"/>
      <c r="AN46" s="37"/>
      <c r="AO46" s="37" t="s">
        <v>814</v>
      </c>
      <c r="AP46" s="54" t="s">
        <v>204</v>
      </c>
      <c r="AQ46" s="54" t="s">
        <v>815</v>
      </c>
      <c r="AR46" s="54">
        <v>500</v>
      </c>
      <c r="AS46" s="9" t="s">
        <v>816</v>
      </c>
      <c r="AT46" s="9" t="s">
        <v>817</v>
      </c>
      <c r="AU46" s="9" t="s">
        <v>818</v>
      </c>
      <c r="AV46" s="9">
        <v>6.3342999999999997E-2</v>
      </c>
      <c r="AW46" s="9" t="s">
        <v>806</v>
      </c>
      <c r="AX46" s="9">
        <f>AVERAGE(AV85:AV92)</f>
        <v>5.7464625000000005E-2</v>
      </c>
      <c r="AY46" s="9">
        <v>120</v>
      </c>
      <c r="AZ46" s="9">
        <v>2</v>
      </c>
      <c r="BC46" s="41"/>
      <c r="BD46" s="41"/>
    </row>
    <row r="47" spans="2:56">
      <c r="E47" s="11"/>
      <c r="AN47" s="37"/>
      <c r="AO47" s="37" t="s">
        <v>814</v>
      </c>
      <c r="AP47" s="54" t="s">
        <v>205</v>
      </c>
      <c r="AQ47" s="54" t="s">
        <v>815</v>
      </c>
      <c r="AR47" s="54">
        <v>500</v>
      </c>
      <c r="AS47" s="9" t="s">
        <v>816</v>
      </c>
      <c r="AT47" s="9" t="s">
        <v>817</v>
      </c>
      <c r="AU47" s="9" t="s">
        <v>818</v>
      </c>
      <c r="AV47" s="9">
        <v>6.4349000000000003E-2</v>
      </c>
      <c r="AW47" s="9" t="s">
        <v>806</v>
      </c>
      <c r="AX47" s="9">
        <f>AVERAGE(AV94,AV96:AV99,AV101,AV103)</f>
        <v>5.6526714285714298E-2</v>
      </c>
      <c r="AY47" s="9">
        <v>130</v>
      </c>
      <c r="AZ47" s="9">
        <v>3</v>
      </c>
      <c r="BC47" s="41"/>
      <c r="BD47" s="41"/>
    </row>
    <row r="48" spans="2:56">
      <c r="E48" s="11"/>
      <c r="AN48" s="37"/>
      <c r="AO48" s="37" t="s">
        <v>808</v>
      </c>
      <c r="AP48" s="54" t="s">
        <v>207</v>
      </c>
      <c r="AQ48" s="54" t="s">
        <v>810</v>
      </c>
      <c r="AR48" s="54" t="s">
        <v>211</v>
      </c>
      <c r="AS48" s="9" t="s">
        <v>811</v>
      </c>
      <c r="AT48" s="9" t="s">
        <v>812</v>
      </c>
      <c r="AU48" s="9">
        <v>33</v>
      </c>
      <c r="AV48" s="9" t="s">
        <v>813</v>
      </c>
      <c r="AW48" s="9" t="s">
        <v>807</v>
      </c>
      <c r="AX48" s="9">
        <f>AVERAGE(AV105:AV107,AV109,AV111,AV113)</f>
        <v>5.6104333333333339E-2</v>
      </c>
      <c r="AY48" s="9">
        <v>140</v>
      </c>
      <c r="AZ48" s="9">
        <v>4</v>
      </c>
      <c r="BC48" s="41"/>
      <c r="BD48" s="41"/>
    </row>
    <row r="49" spans="5:56">
      <c r="E49" s="11"/>
      <c r="AO49" s="37" t="s">
        <v>814</v>
      </c>
      <c r="AP49" s="54" t="s">
        <v>212</v>
      </c>
      <c r="AQ49" s="54" t="s">
        <v>815</v>
      </c>
      <c r="AR49" s="54">
        <v>500</v>
      </c>
      <c r="AS49" s="9" t="s">
        <v>816</v>
      </c>
      <c r="AT49" s="9" t="s">
        <v>817</v>
      </c>
      <c r="AU49" s="9" t="s">
        <v>818</v>
      </c>
      <c r="AV49" s="9">
        <v>6.0137999999999997E-2</v>
      </c>
      <c r="AW49" s="9" t="s">
        <v>806</v>
      </c>
      <c r="AX49" s="9">
        <f>AVERAGE(AV115,AV117:AV119)</f>
        <v>5.556875E-2</v>
      </c>
      <c r="AY49" s="9">
        <v>150</v>
      </c>
      <c r="AZ49" s="9">
        <v>6</v>
      </c>
      <c r="BC49" s="41"/>
      <c r="BD49" s="41"/>
    </row>
    <row r="50" spans="5:56">
      <c r="E50" s="11"/>
      <c r="AO50" s="37" t="s">
        <v>808</v>
      </c>
      <c r="AP50" s="54" t="s">
        <v>213</v>
      </c>
      <c r="AQ50" s="54" t="s">
        <v>810</v>
      </c>
      <c r="AR50" s="54" t="s">
        <v>217</v>
      </c>
      <c r="AS50" s="9" t="s">
        <v>811</v>
      </c>
      <c r="AT50" s="9" t="s">
        <v>812</v>
      </c>
      <c r="AU50" s="9">
        <v>37</v>
      </c>
      <c r="AV50" s="9" t="s">
        <v>813</v>
      </c>
      <c r="AW50" s="9" t="s">
        <v>807</v>
      </c>
      <c r="AX50" s="9">
        <f>AVERAGE(AV121:AV124)</f>
        <v>5.5585250000000003E-2</v>
      </c>
      <c r="AY50" s="9">
        <v>160</v>
      </c>
      <c r="AZ50" s="9">
        <v>6</v>
      </c>
      <c r="BC50" s="41"/>
      <c r="BD50" s="41"/>
    </row>
    <row r="51" spans="5:56">
      <c r="E51" s="11"/>
      <c r="AO51" s="37" t="s">
        <v>814</v>
      </c>
      <c r="AP51" s="54" t="s">
        <v>218</v>
      </c>
      <c r="AQ51" s="54" t="s">
        <v>815</v>
      </c>
      <c r="AR51" s="54">
        <v>500</v>
      </c>
      <c r="AS51" s="9" t="s">
        <v>816</v>
      </c>
      <c r="AT51" s="9" t="s">
        <v>817</v>
      </c>
      <c r="AU51" s="9" t="s">
        <v>818</v>
      </c>
      <c r="AV51" s="9">
        <v>6.0705000000000002E-2</v>
      </c>
      <c r="AW51" s="9" t="s">
        <v>806</v>
      </c>
      <c r="AX51" s="9">
        <f>AVERAGE(AV126,AV128,AV129,AV130)</f>
        <v>5.3830250000000003E-2</v>
      </c>
      <c r="AY51" s="9">
        <v>170</v>
      </c>
      <c r="AZ51" s="9">
        <v>6</v>
      </c>
      <c r="BC51" s="41"/>
      <c r="BD51" s="41"/>
    </row>
    <row r="52" spans="5:56">
      <c r="E52" s="11"/>
      <c r="AO52" s="37" t="s">
        <v>814</v>
      </c>
      <c r="AP52" s="54" t="s">
        <v>220</v>
      </c>
      <c r="AQ52" s="54" t="s">
        <v>815</v>
      </c>
      <c r="AR52" s="54">
        <v>500</v>
      </c>
      <c r="AS52" s="9" t="s">
        <v>816</v>
      </c>
      <c r="AT52" s="9" t="s">
        <v>817</v>
      </c>
      <c r="AU52" s="9" t="s">
        <v>818</v>
      </c>
      <c r="AV52" s="9">
        <v>5.3529E-2</v>
      </c>
      <c r="AW52" s="9" t="s">
        <v>806</v>
      </c>
      <c r="AX52" s="9">
        <f>AVERAGE(AV131:AV133,AV135:AV140)</f>
        <v>5.5672444444444441E-2</v>
      </c>
      <c r="AY52" s="9">
        <v>180</v>
      </c>
      <c r="AZ52" s="9">
        <v>1</v>
      </c>
      <c r="BC52" s="41"/>
      <c r="BD52" s="41"/>
    </row>
    <row r="53" spans="5:56">
      <c r="E53" s="11"/>
      <c r="AO53" s="37" t="s">
        <v>814</v>
      </c>
      <c r="AP53" s="54" t="s">
        <v>222</v>
      </c>
      <c r="AQ53" s="54" t="s">
        <v>815</v>
      </c>
      <c r="AR53" s="54">
        <v>500</v>
      </c>
      <c r="AS53" s="9" t="s">
        <v>816</v>
      </c>
      <c r="AT53" s="9" t="s">
        <v>817</v>
      </c>
      <c r="AU53" s="9" t="s">
        <v>818</v>
      </c>
      <c r="AV53" s="9">
        <v>5.9816000000000001E-2</v>
      </c>
      <c r="AW53" s="9" t="s">
        <v>806</v>
      </c>
      <c r="AX53" s="9">
        <f>AVERAGE(AV142,AV144,AV146:AV147,AV149)</f>
        <v>5.8079599999999995E-2</v>
      </c>
      <c r="AY53" s="9">
        <v>190</v>
      </c>
      <c r="AZ53" s="9">
        <v>5</v>
      </c>
      <c r="BC53" s="41"/>
      <c r="BD53" s="41"/>
    </row>
    <row r="54" spans="5:56">
      <c r="E54" s="11"/>
      <c r="AO54" s="37" t="s">
        <v>808</v>
      </c>
      <c r="AP54" s="54" t="s">
        <v>223</v>
      </c>
      <c r="AQ54" s="54" t="s">
        <v>810</v>
      </c>
      <c r="AR54" s="54" t="s">
        <v>232</v>
      </c>
      <c r="AS54" s="9" t="s">
        <v>811</v>
      </c>
      <c r="AT54" s="9" t="s">
        <v>812</v>
      </c>
      <c r="AU54" s="9">
        <v>46</v>
      </c>
      <c r="AV54" s="9" t="s">
        <v>813</v>
      </c>
      <c r="AW54" s="9" t="s">
        <v>807</v>
      </c>
      <c r="AX54" s="9">
        <f>AVERAGE(AV151,AV153:AV155,AV157:AV159)</f>
        <v>5.7112285714285713E-2</v>
      </c>
      <c r="AY54" s="9">
        <v>200</v>
      </c>
      <c r="AZ54" s="9">
        <v>3</v>
      </c>
      <c r="BC54" s="41"/>
      <c r="BD54" s="41"/>
    </row>
    <row r="55" spans="5:56">
      <c r="E55" s="11"/>
      <c r="AO55" s="37" t="s">
        <v>814</v>
      </c>
      <c r="AP55" s="54" t="s">
        <v>233</v>
      </c>
      <c r="AQ55" s="54" t="s">
        <v>815</v>
      </c>
      <c r="AR55" s="54">
        <v>500</v>
      </c>
      <c r="AS55" s="9" t="s">
        <v>816</v>
      </c>
      <c r="AT55" s="9" t="s">
        <v>817</v>
      </c>
      <c r="AU55" s="9" t="s">
        <v>818</v>
      </c>
      <c r="AV55" s="9">
        <v>5.1771999999999999E-2</v>
      </c>
      <c r="AW55" s="9" t="s">
        <v>806</v>
      </c>
      <c r="AX55" s="9">
        <f>AVERAGE(AV161:AV164,AV166:AV169)</f>
        <v>5.7149999999999999E-2</v>
      </c>
      <c r="AY55" s="9">
        <v>210</v>
      </c>
      <c r="AZ55" s="9">
        <v>2</v>
      </c>
      <c r="BC55" s="41"/>
      <c r="BD55" s="41"/>
    </row>
    <row r="56" spans="5:56">
      <c r="E56" s="11"/>
      <c r="AO56" s="37" t="s">
        <v>814</v>
      </c>
      <c r="AP56" s="54" t="s">
        <v>234</v>
      </c>
      <c r="AQ56" s="54" t="s">
        <v>815</v>
      </c>
      <c r="AR56" s="54">
        <v>500</v>
      </c>
      <c r="AS56" s="9" t="s">
        <v>816</v>
      </c>
      <c r="AT56" s="9" t="s">
        <v>817</v>
      </c>
      <c r="AU56" s="9" t="s">
        <v>818</v>
      </c>
      <c r="AV56" s="9">
        <v>6.0756999999999999E-2</v>
      </c>
      <c r="AW56" s="9" t="s">
        <v>806</v>
      </c>
      <c r="AX56" s="9">
        <f>AVERAGE(AV171,AV173:AV174,AV176)</f>
        <v>5.9140749999999999E-2</v>
      </c>
      <c r="AY56" s="9">
        <v>220</v>
      </c>
      <c r="AZ56" s="9">
        <v>6</v>
      </c>
      <c r="BC56" s="41"/>
      <c r="BD56" s="41"/>
    </row>
    <row r="57" spans="5:56">
      <c r="E57" s="11"/>
      <c r="AO57" s="37" t="s">
        <v>808</v>
      </c>
      <c r="AP57" s="54" t="s">
        <v>235</v>
      </c>
      <c r="AQ57" s="54" t="s">
        <v>810</v>
      </c>
      <c r="AR57" s="54" t="s">
        <v>237</v>
      </c>
      <c r="AS57" s="9" t="s">
        <v>811</v>
      </c>
      <c r="AT57" s="9" t="s">
        <v>812</v>
      </c>
      <c r="AU57" s="9">
        <v>49</v>
      </c>
      <c r="AV57" s="9" t="s">
        <v>813</v>
      </c>
      <c r="AW57" s="9" t="s">
        <v>807</v>
      </c>
      <c r="AX57" s="9">
        <f>AVERAGE(AV176,AV178,AV180,AV182,AV184)</f>
        <v>5.7512199999999999E-2</v>
      </c>
      <c r="AY57" s="9">
        <v>230</v>
      </c>
      <c r="AZ57" s="9">
        <v>6</v>
      </c>
      <c r="BC57" s="41"/>
      <c r="BD57" s="41"/>
    </row>
    <row r="58" spans="5:56">
      <c r="E58" s="11"/>
      <c r="AO58" s="37" t="s">
        <v>814</v>
      </c>
      <c r="AP58" s="54" t="s">
        <v>238</v>
      </c>
      <c r="AQ58" s="54" t="s">
        <v>815</v>
      </c>
      <c r="AR58" s="54">
        <v>500</v>
      </c>
      <c r="AS58" s="9" t="s">
        <v>816</v>
      </c>
      <c r="AT58" s="9" t="s">
        <v>817</v>
      </c>
      <c r="AU58" s="9" t="s">
        <v>818</v>
      </c>
      <c r="AV58" s="9">
        <v>5.7138000000000001E-2</v>
      </c>
      <c r="AW58" s="9" t="s">
        <v>806</v>
      </c>
      <c r="AX58" s="9">
        <f>AVERAGE(AV186:AV187,AV189,AV191,AV193:AV195)</f>
        <v>5.9210714285714283E-2</v>
      </c>
      <c r="AY58" s="9">
        <v>240</v>
      </c>
      <c r="AZ58" s="9">
        <v>3</v>
      </c>
      <c r="BC58" s="41"/>
      <c r="BD58" s="41"/>
    </row>
    <row r="59" spans="5:56">
      <c r="E59" s="11"/>
      <c r="AO59" s="37" t="s">
        <v>808</v>
      </c>
      <c r="AP59" s="54" t="s">
        <v>239</v>
      </c>
      <c r="AQ59" s="54" t="s">
        <v>810</v>
      </c>
      <c r="AR59" s="54" t="s">
        <v>239</v>
      </c>
      <c r="AS59" s="9" t="s">
        <v>811</v>
      </c>
      <c r="AT59" s="9" t="s">
        <v>812</v>
      </c>
      <c r="AU59" s="9">
        <v>50</v>
      </c>
      <c r="AV59" s="9" t="s">
        <v>813</v>
      </c>
      <c r="AW59" s="9" t="s">
        <v>807</v>
      </c>
      <c r="AX59" s="9">
        <f>AVERAGE(AV197,AV202,AV199:AV200)</f>
        <v>6.0576749999999999E-2</v>
      </c>
      <c r="AY59" s="9">
        <v>250</v>
      </c>
      <c r="AZ59" s="9">
        <v>4</v>
      </c>
      <c r="BC59" s="41"/>
      <c r="BD59" s="41"/>
    </row>
    <row r="60" spans="5:56">
      <c r="E60" s="11"/>
      <c r="AO60" s="37" t="s">
        <v>814</v>
      </c>
      <c r="AP60" s="54" t="s">
        <v>240</v>
      </c>
      <c r="AQ60" s="54" t="s">
        <v>815</v>
      </c>
      <c r="AR60" s="54">
        <v>500</v>
      </c>
      <c r="AS60" s="9" t="s">
        <v>816</v>
      </c>
      <c r="AT60" s="9" t="s">
        <v>817</v>
      </c>
      <c r="AU60" s="9" t="s">
        <v>818</v>
      </c>
      <c r="AV60" s="9">
        <v>6.0953E-2</v>
      </c>
      <c r="AW60" s="9" t="s">
        <v>806</v>
      </c>
      <c r="AX60" s="9">
        <f>AVERAGE(AV204,AV206:AV208,AV210,AV212)</f>
        <v>5.7722833333333334E-2</v>
      </c>
      <c r="AY60" s="9">
        <v>260</v>
      </c>
      <c r="AZ60" s="9">
        <v>4</v>
      </c>
      <c r="BC60" s="41"/>
      <c r="BD60" s="41"/>
    </row>
    <row r="61" spans="5:56">
      <c r="E61" s="11"/>
      <c r="AO61" s="37" t="s">
        <v>814</v>
      </c>
      <c r="AP61" s="54" t="s">
        <v>241</v>
      </c>
      <c r="AQ61" s="54" t="s">
        <v>815</v>
      </c>
      <c r="AR61" s="54">
        <v>500</v>
      </c>
      <c r="AS61" s="9" t="s">
        <v>816</v>
      </c>
      <c r="AT61" s="9" t="s">
        <v>817</v>
      </c>
      <c r="AU61" s="9" t="s">
        <v>818</v>
      </c>
      <c r="AV61" s="9">
        <v>5.3555999999999999E-2</v>
      </c>
      <c r="AW61" s="9" t="s">
        <v>806</v>
      </c>
      <c r="AX61" s="9">
        <f>AVERAGE(AV213:AV215,AV217:AV219)</f>
        <v>5.8779499999999991E-2</v>
      </c>
      <c r="AY61" s="9">
        <v>270</v>
      </c>
      <c r="AZ61" s="9">
        <v>4</v>
      </c>
      <c r="BC61" s="41"/>
      <c r="BD61" s="41"/>
    </row>
    <row r="62" spans="5:56">
      <c r="E62" s="11"/>
      <c r="AO62" s="37" t="s">
        <v>814</v>
      </c>
      <c r="AP62" s="54" t="s">
        <v>242</v>
      </c>
      <c r="AQ62" s="54" t="s">
        <v>815</v>
      </c>
      <c r="AR62" s="54">
        <v>500</v>
      </c>
      <c r="AS62" s="9" t="s">
        <v>816</v>
      </c>
      <c r="AT62" s="9" t="s">
        <v>817</v>
      </c>
      <c r="AU62" s="9" t="s">
        <v>818</v>
      </c>
      <c r="AV62" s="9">
        <v>5.2663000000000001E-2</v>
      </c>
      <c r="AW62" s="9" t="s">
        <v>806</v>
      </c>
      <c r="AX62" s="9">
        <f>AVERAGE(AV221:AV228,AV230)</f>
        <v>5.6054222222222228E-2</v>
      </c>
      <c r="AY62" s="9">
        <v>280</v>
      </c>
      <c r="AZ62" s="9">
        <v>1</v>
      </c>
      <c r="BC62" s="41"/>
      <c r="BD62" s="41"/>
    </row>
    <row r="63" spans="5:56">
      <c r="E63" s="11"/>
      <c r="AO63" s="37" t="s">
        <v>808</v>
      </c>
      <c r="AP63" s="54" t="s">
        <v>243</v>
      </c>
      <c r="AQ63" s="54" t="s">
        <v>810</v>
      </c>
      <c r="AR63" s="54" t="s">
        <v>243</v>
      </c>
      <c r="AS63" s="9" t="s">
        <v>811</v>
      </c>
      <c r="AT63" s="9" t="s">
        <v>812</v>
      </c>
      <c r="AU63" s="9">
        <v>51</v>
      </c>
      <c r="AV63" s="9" t="s">
        <v>813</v>
      </c>
      <c r="AW63" s="9" t="s">
        <v>807</v>
      </c>
      <c r="AX63" s="9">
        <f>AVERAGE(AV232,AV234:AV239)</f>
        <v>5.9202428571428566E-2</v>
      </c>
      <c r="AY63" s="9">
        <v>290</v>
      </c>
      <c r="AZ63" s="9">
        <v>3</v>
      </c>
      <c r="BC63" s="41"/>
      <c r="BD63" s="41"/>
    </row>
    <row r="64" spans="5:56">
      <c r="E64" s="11"/>
      <c r="AO64" s="37" t="s">
        <v>814</v>
      </c>
      <c r="AP64" s="54" t="s">
        <v>244</v>
      </c>
      <c r="AQ64" s="54" t="s">
        <v>815</v>
      </c>
      <c r="AR64" s="54">
        <v>500</v>
      </c>
      <c r="AS64" s="9" t="s">
        <v>816</v>
      </c>
      <c r="AT64" s="9" t="s">
        <v>817</v>
      </c>
      <c r="AU64" s="9" t="s">
        <v>818</v>
      </c>
      <c r="AV64" s="9">
        <v>5.7125000000000002E-2</v>
      </c>
      <c r="AW64" s="9" t="s">
        <v>806</v>
      </c>
      <c r="AX64" s="9">
        <f>AVERAGE(AV241:AV242,AV244:AV245,AV247)</f>
        <v>5.8587800000000002E-2</v>
      </c>
      <c r="AY64" s="9">
        <v>300</v>
      </c>
      <c r="AZ64" s="9">
        <v>5</v>
      </c>
      <c r="BC64" s="41"/>
      <c r="BD64" s="41"/>
    </row>
    <row r="65" spans="5:56">
      <c r="E65" s="11"/>
      <c r="AO65" s="37" t="s">
        <v>814</v>
      </c>
      <c r="AP65" s="54" t="s">
        <v>245</v>
      </c>
      <c r="AQ65" s="54" t="s">
        <v>815</v>
      </c>
      <c r="AR65" s="54">
        <v>500</v>
      </c>
      <c r="AS65" s="9" t="s">
        <v>816</v>
      </c>
      <c r="AT65" s="9" t="s">
        <v>817</v>
      </c>
      <c r="AU65" s="9" t="s">
        <v>818</v>
      </c>
      <c r="AV65" s="9">
        <v>5.7292999999999997E-2</v>
      </c>
      <c r="AW65" s="9" t="s">
        <v>806</v>
      </c>
      <c r="BC65" s="41"/>
      <c r="BD65" s="41"/>
    </row>
    <row r="66" spans="5:56">
      <c r="E66" s="11"/>
      <c r="AO66" s="37" t="s">
        <v>814</v>
      </c>
      <c r="AP66" s="54" t="s">
        <v>246</v>
      </c>
      <c r="AQ66" s="54" t="s">
        <v>815</v>
      </c>
      <c r="AR66" s="54">
        <v>500</v>
      </c>
      <c r="AS66" s="9" t="s">
        <v>816</v>
      </c>
      <c r="AT66" s="9" t="s">
        <v>817</v>
      </c>
      <c r="AU66" s="9" t="s">
        <v>818</v>
      </c>
      <c r="AV66" s="9">
        <v>6.0728999999999998E-2</v>
      </c>
      <c r="AW66" s="9" t="s">
        <v>806</v>
      </c>
      <c r="BC66" s="41"/>
      <c r="BD66" s="41"/>
    </row>
    <row r="67" spans="5:56">
      <c r="E67" s="11"/>
      <c r="AO67" s="37" t="s">
        <v>808</v>
      </c>
      <c r="AP67" s="54" t="s">
        <v>247</v>
      </c>
      <c r="AQ67" s="54" t="s">
        <v>810</v>
      </c>
      <c r="AR67" s="54" t="s">
        <v>253</v>
      </c>
      <c r="AS67" s="9" t="s">
        <v>811</v>
      </c>
      <c r="AT67" s="9" t="s">
        <v>812</v>
      </c>
      <c r="AU67" s="9">
        <v>57</v>
      </c>
      <c r="AV67" s="9" t="s">
        <v>813</v>
      </c>
      <c r="AW67" s="9" t="s">
        <v>807</v>
      </c>
      <c r="BC67" s="41"/>
      <c r="BD67" s="41"/>
    </row>
    <row r="68" spans="5:56">
      <c r="E68" s="11"/>
      <c r="AO68" s="37" t="s">
        <v>814</v>
      </c>
      <c r="AP68" s="54" t="s">
        <v>254</v>
      </c>
      <c r="AQ68" s="54" t="s">
        <v>815</v>
      </c>
      <c r="AR68" s="54">
        <v>500</v>
      </c>
      <c r="AS68" s="9" t="s">
        <v>816</v>
      </c>
      <c r="AT68" s="9" t="s">
        <v>817</v>
      </c>
      <c r="AU68" s="9" t="s">
        <v>818</v>
      </c>
      <c r="AV68" s="9">
        <v>5.1770999999999998E-2</v>
      </c>
      <c r="AW68" s="9" t="s">
        <v>806</v>
      </c>
      <c r="BC68" s="41"/>
      <c r="BD68" s="41"/>
    </row>
    <row r="69" spans="5:56">
      <c r="E69" s="11"/>
      <c r="AO69" s="37" t="s">
        <v>808</v>
      </c>
      <c r="AP69" s="54" t="s">
        <v>255</v>
      </c>
      <c r="AQ69" s="54" t="s">
        <v>810</v>
      </c>
      <c r="AR69" s="54" t="s">
        <v>255</v>
      </c>
      <c r="AS69" s="9" t="s">
        <v>811</v>
      </c>
      <c r="AT69" s="9" t="s">
        <v>812</v>
      </c>
      <c r="AU69" s="9">
        <v>58</v>
      </c>
      <c r="AV69" s="9" t="s">
        <v>813</v>
      </c>
      <c r="AW69" s="9" t="s">
        <v>807</v>
      </c>
      <c r="BC69" s="41"/>
      <c r="BD69" s="41"/>
    </row>
    <row r="70" spans="5:56">
      <c r="AO70" s="37" t="s">
        <v>814</v>
      </c>
      <c r="AP70" s="54" t="s">
        <v>257</v>
      </c>
      <c r="AQ70" s="54" t="s">
        <v>815</v>
      </c>
      <c r="AR70" s="54">
        <v>500</v>
      </c>
      <c r="AS70" s="9" t="s">
        <v>816</v>
      </c>
      <c r="AT70" s="9" t="s">
        <v>817</v>
      </c>
      <c r="AU70" s="9" t="s">
        <v>818</v>
      </c>
      <c r="AV70" s="9">
        <v>6.0705000000000002E-2</v>
      </c>
      <c r="AW70" s="9" t="s">
        <v>806</v>
      </c>
      <c r="BC70" s="41"/>
      <c r="BD70" s="41"/>
    </row>
    <row r="71" spans="5:56">
      <c r="AO71" s="37" t="s">
        <v>814</v>
      </c>
      <c r="AP71" s="54" t="s">
        <v>258</v>
      </c>
      <c r="AQ71" s="54" t="s">
        <v>815</v>
      </c>
      <c r="AR71" s="54">
        <v>500</v>
      </c>
      <c r="AS71" s="9" t="s">
        <v>816</v>
      </c>
      <c r="AT71" s="9" t="s">
        <v>817</v>
      </c>
      <c r="AU71" s="9" t="s">
        <v>818</v>
      </c>
      <c r="AV71" s="9">
        <v>6.3380000000000006E-2</v>
      </c>
      <c r="AW71" s="9" t="s">
        <v>806</v>
      </c>
      <c r="BC71" s="41"/>
      <c r="BD71" s="41"/>
    </row>
    <row r="72" spans="5:56">
      <c r="AO72" s="37" t="s">
        <v>808</v>
      </c>
      <c r="AP72" s="54" t="s">
        <v>259</v>
      </c>
      <c r="AQ72" s="54" t="s">
        <v>810</v>
      </c>
      <c r="AR72" s="54" t="s">
        <v>261</v>
      </c>
      <c r="AS72" s="9" t="s">
        <v>811</v>
      </c>
      <c r="AT72" s="9" t="s">
        <v>812</v>
      </c>
      <c r="AU72" s="9">
        <v>61</v>
      </c>
      <c r="AV72" s="9" t="s">
        <v>813</v>
      </c>
      <c r="AW72" s="9" t="s">
        <v>807</v>
      </c>
      <c r="BC72" s="41"/>
      <c r="BD72" s="41"/>
    </row>
    <row r="73" spans="5:56">
      <c r="AO73" s="37" t="s">
        <v>814</v>
      </c>
      <c r="AP73" s="54" t="s">
        <v>262</v>
      </c>
      <c r="AQ73" s="54" t="s">
        <v>815</v>
      </c>
      <c r="AR73" s="54">
        <v>500</v>
      </c>
      <c r="AS73" s="9" t="s">
        <v>816</v>
      </c>
      <c r="AT73" s="9" t="s">
        <v>817</v>
      </c>
      <c r="AU73" s="9" t="s">
        <v>818</v>
      </c>
      <c r="AV73" s="9">
        <v>5.3554999999999998E-2</v>
      </c>
      <c r="AW73" s="9" t="s">
        <v>806</v>
      </c>
      <c r="BC73" s="41"/>
      <c r="BD73" s="41"/>
    </row>
    <row r="74" spans="5:56">
      <c r="AO74" s="37" t="s">
        <v>814</v>
      </c>
      <c r="AP74" s="54" t="s">
        <v>263</v>
      </c>
      <c r="AQ74" s="54" t="s">
        <v>815</v>
      </c>
      <c r="AR74" s="54">
        <v>500</v>
      </c>
      <c r="AS74" s="9" t="s">
        <v>816</v>
      </c>
      <c r="AT74" s="9" t="s">
        <v>817</v>
      </c>
      <c r="AU74" s="9" t="s">
        <v>818</v>
      </c>
      <c r="AV74" s="9">
        <v>5.7137E-2</v>
      </c>
      <c r="AW74" s="9" t="s">
        <v>806</v>
      </c>
      <c r="BC74" s="41"/>
      <c r="BD74" s="41"/>
    </row>
    <row r="75" spans="5:56">
      <c r="AO75" s="37" t="s">
        <v>814</v>
      </c>
      <c r="AP75" s="54" t="s">
        <v>264</v>
      </c>
      <c r="AQ75" s="54" t="s">
        <v>815</v>
      </c>
      <c r="AR75" s="54">
        <v>500</v>
      </c>
      <c r="AS75" s="9" t="s">
        <v>816</v>
      </c>
      <c r="AT75" s="9" t="s">
        <v>817</v>
      </c>
      <c r="AU75" s="9" t="s">
        <v>818</v>
      </c>
      <c r="AV75" s="9">
        <v>5.3541999999999999E-2</v>
      </c>
      <c r="AW75" s="9" t="s">
        <v>806</v>
      </c>
    </row>
    <row r="76" spans="5:56">
      <c r="AO76" s="37" t="s">
        <v>808</v>
      </c>
      <c r="AP76" s="54" t="s">
        <v>265</v>
      </c>
      <c r="AQ76" s="54" t="s">
        <v>810</v>
      </c>
      <c r="AR76" s="54" t="s">
        <v>270</v>
      </c>
      <c r="AS76" s="9" t="s">
        <v>811</v>
      </c>
      <c r="AT76" s="9" t="s">
        <v>812</v>
      </c>
      <c r="AU76" s="9">
        <v>67</v>
      </c>
      <c r="AV76" s="9" t="s">
        <v>813</v>
      </c>
      <c r="AW76" s="9" t="s">
        <v>807</v>
      </c>
    </row>
    <row r="77" spans="5:56">
      <c r="AO77" s="37" t="s">
        <v>814</v>
      </c>
      <c r="AP77" s="54" t="s">
        <v>272</v>
      </c>
      <c r="AQ77" s="54" t="s">
        <v>815</v>
      </c>
      <c r="AR77" s="54">
        <v>500</v>
      </c>
      <c r="AS77" s="9" t="s">
        <v>816</v>
      </c>
      <c r="AT77" s="9" t="s">
        <v>817</v>
      </c>
      <c r="AU77" s="9" t="s">
        <v>818</v>
      </c>
      <c r="AV77" s="9">
        <v>6.0679999999999998E-2</v>
      </c>
      <c r="AW77" s="9" t="s">
        <v>806</v>
      </c>
    </row>
    <row r="78" spans="5:56">
      <c r="AO78" s="37" t="s">
        <v>808</v>
      </c>
      <c r="AP78" s="54" t="s">
        <v>273</v>
      </c>
      <c r="AQ78" s="54" t="s">
        <v>810</v>
      </c>
      <c r="AR78" s="54" t="s">
        <v>274</v>
      </c>
      <c r="AS78" s="9" t="s">
        <v>811</v>
      </c>
      <c r="AT78" s="9" t="s">
        <v>812</v>
      </c>
      <c r="AU78" s="9">
        <v>70</v>
      </c>
      <c r="AV78" s="9" t="s">
        <v>813</v>
      </c>
      <c r="AW78" s="9" t="s">
        <v>807</v>
      </c>
    </row>
    <row r="79" spans="5:56">
      <c r="AO79" s="37" t="s">
        <v>814</v>
      </c>
      <c r="AP79" s="54" t="s">
        <v>819</v>
      </c>
      <c r="AQ79" s="54" t="s">
        <v>815</v>
      </c>
      <c r="AR79" s="54">
        <v>500</v>
      </c>
      <c r="AS79" s="9" t="s">
        <v>816</v>
      </c>
      <c r="AT79" s="9" t="s">
        <v>817</v>
      </c>
      <c r="AU79" s="9" t="s">
        <v>818</v>
      </c>
      <c r="AV79" s="9">
        <v>5.9827999999999999E-2</v>
      </c>
      <c r="AW79" s="9" t="s">
        <v>806</v>
      </c>
    </row>
    <row r="80" spans="5:56">
      <c r="AO80" s="37" t="s">
        <v>814</v>
      </c>
      <c r="AP80" s="54" t="s">
        <v>275</v>
      </c>
      <c r="AQ80" s="54" t="s">
        <v>815</v>
      </c>
      <c r="AR80" s="54">
        <v>500</v>
      </c>
      <c r="AS80" s="9" t="s">
        <v>816</v>
      </c>
      <c r="AT80" s="9" t="s">
        <v>817</v>
      </c>
      <c r="AU80" s="9" t="s">
        <v>818</v>
      </c>
      <c r="AV80" s="9">
        <v>5.3554999999999998E-2</v>
      </c>
      <c r="AW80" s="9" t="s">
        <v>806</v>
      </c>
    </row>
    <row r="81" spans="41:49">
      <c r="AO81" s="37" t="s">
        <v>814</v>
      </c>
      <c r="AP81" s="54" t="s">
        <v>276</v>
      </c>
      <c r="AQ81" s="54" t="s">
        <v>815</v>
      </c>
      <c r="AR81" s="54">
        <v>500</v>
      </c>
      <c r="AS81" s="9" t="s">
        <v>816</v>
      </c>
      <c r="AT81" s="9" t="s">
        <v>817</v>
      </c>
      <c r="AU81" s="9" t="s">
        <v>818</v>
      </c>
      <c r="AV81" s="9">
        <v>5.6217999999999997E-2</v>
      </c>
      <c r="AW81" s="9" t="s">
        <v>806</v>
      </c>
    </row>
    <row r="82" spans="41:49">
      <c r="AO82" s="37" t="s">
        <v>808</v>
      </c>
      <c r="AP82" s="54" t="s">
        <v>277</v>
      </c>
      <c r="AQ82" s="54" t="s">
        <v>810</v>
      </c>
      <c r="AR82" s="54" t="s">
        <v>284</v>
      </c>
      <c r="AS82" s="9" t="s">
        <v>811</v>
      </c>
      <c r="AT82" s="9" t="s">
        <v>812</v>
      </c>
      <c r="AU82" s="9">
        <v>78</v>
      </c>
      <c r="AV82" s="9" t="s">
        <v>813</v>
      </c>
      <c r="AW82" s="9" t="s">
        <v>807</v>
      </c>
    </row>
    <row r="83" spans="41:49">
      <c r="AO83" s="37" t="s">
        <v>814</v>
      </c>
      <c r="AP83" s="54" t="s">
        <v>285</v>
      </c>
      <c r="AQ83" s="54" t="s">
        <v>815</v>
      </c>
      <c r="AR83" s="54">
        <v>500</v>
      </c>
      <c r="AS83" s="9" t="s">
        <v>816</v>
      </c>
      <c r="AT83" s="9" t="s">
        <v>817</v>
      </c>
      <c r="AU83" s="9" t="s">
        <v>818</v>
      </c>
      <c r="AV83" s="9">
        <v>5.0866000000000001E-2</v>
      </c>
      <c r="AW83" s="9" t="s">
        <v>806</v>
      </c>
    </row>
    <row r="84" spans="41:49">
      <c r="AO84" s="37" t="s">
        <v>808</v>
      </c>
      <c r="AP84" s="54" t="s">
        <v>286</v>
      </c>
      <c r="AQ84" s="54" t="s">
        <v>810</v>
      </c>
      <c r="AR84" s="54" t="s">
        <v>286</v>
      </c>
      <c r="AS84" s="9" t="s">
        <v>811</v>
      </c>
      <c r="AT84" s="9" t="s">
        <v>812</v>
      </c>
      <c r="AU84" s="9">
        <v>79</v>
      </c>
      <c r="AV84" s="9" t="s">
        <v>813</v>
      </c>
      <c r="AW84" s="9" t="s">
        <v>807</v>
      </c>
    </row>
    <row r="85" spans="41:49">
      <c r="AO85" s="37" t="s">
        <v>814</v>
      </c>
      <c r="AP85" s="54" t="s">
        <v>287</v>
      </c>
      <c r="AQ85" s="54" t="s">
        <v>815</v>
      </c>
      <c r="AR85" s="54">
        <v>500</v>
      </c>
      <c r="AS85" s="9" t="s">
        <v>816</v>
      </c>
      <c r="AT85" s="9" t="s">
        <v>817</v>
      </c>
      <c r="AU85" s="9" t="s">
        <v>818</v>
      </c>
      <c r="AV85" s="9">
        <v>5.9774000000000001E-2</v>
      </c>
      <c r="AW85" s="9" t="s">
        <v>806</v>
      </c>
    </row>
    <row r="86" spans="41:49">
      <c r="AO86" s="37" t="s">
        <v>814</v>
      </c>
      <c r="AP86" s="54" t="s">
        <v>820</v>
      </c>
      <c r="AQ86" s="54" t="s">
        <v>815</v>
      </c>
      <c r="AR86" s="54">
        <v>500</v>
      </c>
      <c r="AS86" s="9" t="s">
        <v>816</v>
      </c>
      <c r="AT86" s="9" t="s">
        <v>817</v>
      </c>
      <c r="AU86" s="9" t="s">
        <v>818</v>
      </c>
      <c r="AV86" s="9">
        <v>5.4460000000000001E-2</v>
      </c>
      <c r="AW86" s="9" t="s">
        <v>806</v>
      </c>
    </row>
    <row r="87" spans="41:49">
      <c r="AO87" s="37" t="s">
        <v>814</v>
      </c>
      <c r="AP87" s="54" t="s">
        <v>288</v>
      </c>
      <c r="AQ87" s="54" t="s">
        <v>815</v>
      </c>
      <c r="AR87" s="54">
        <v>500</v>
      </c>
      <c r="AS87" s="9" t="s">
        <v>816</v>
      </c>
      <c r="AT87" s="9" t="s">
        <v>817</v>
      </c>
      <c r="AU87" s="9" t="s">
        <v>818</v>
      </c>
      <c r="AV87" s="9">
        <v>6.1647E-2</v>
      </c>
      <c r="AW87" s="9" t="s">
        <v>806</v>
      </c>
    </row>
    <row r="88" spans="41:49">
      <c r="AO88" s="37" t="s">
        <v>814</v>
      </c>
      <c r="AP88" s="54" t="s">
        <v>289</v>
      </c>
      <c r="AQ88" s="54" t="s">
        <v>815</v>
      </c>
      <c r="AR88" s="54">
        <v>500</v>
      </c>
      <c r="AS88" s="9" t="s">
        <v>816</v>
      </c>
      <c r="AT88" s="9" t="s">
        <v>817</v>
      </c>
      <c r="AU88" s="9" t="s">
        <v>818</v>
      </c>
      <c r="AV88" s="9">
        <v>6.0706999999999997E-2</v>
      </c>
      <c r="AW88" s="9" t="s">
        <v>806</v>
      </c>
    </row>
    <row r="89" spans="41:49">
      <c r="AO89" s="37" t="s">
        <v>814</v>
      </c>
      <c r="AP89" s="54" t="s">
        <v>290</v>
      </c>
      <c r="AQ89" s="54" t="s">
        <v>815</v>
      </c>
      <c r="AR89" s="54">
        <v>500</v>
      </c>
      <c r="AS89" s="9" t="s">
        <v>816</v>
      </c>
      <c r="AT89" s="9" t="s">
        <v>817</v>
      </c>
      <c r="AU89" s="9" t="s">
        <v>818</v>
      </c>
      <c r="AV89" s="9">
        <v>5.6218999999999998E-2</v>
      </c>
      <c r="AW89" s="9" t="s">
        <v>806</v>
      </c>
    </row>
    <row r="90" spans="41:49">
      <c r="AO90" s="37" t="s">
        <v>814</v>
      </c>
      <c r="AP90" s="54" t="s">
        <v>291</v>
      </c>
      <c r="AQ90" s="54" t="s">
        <v>815</v>
      </c>
      <c r="AR90" s="54">
        <v>500</v>
      </c>
      <c r="AS90" s="9" t="s">
        <v>816</v>
      </c>
      <c r="AT90" s="9" t="s">
        <v>817</v>
      </c>
      <c r="AU90" s="9" t="s">
        <v>818</v>
      </c>
      <c r="AV90" s="9">
        <v>5.6218999999999998E-2</v>
      </c>
      <c r="AW90" s="9" t="s">
        <v>806</v>
      </c>
    </row>
    <row r="91" spans="41:49">
      <c r="AO91" s="37" t="s">
        <v>814</v>
      </c>
      <c r="AP91" s="54" t="s">
        <v>292</v>
      </c>
      <c r="AQ91" s="54" t="s">
        <v>815</v>
      </c>
      <c r="AR91" s="54">
        <v>500</v>
      </c>
      <c r="AS91" s="9" t="s">
        <v>816</v>
      </c>
      <c r="AT91" s="9" t="s">
        <v>817</v>
      </c>
      <c r="AU91" s="9" t="s">
        <v>818</v>
      </c>
      <c r="AV91" s="9">
        <v>5.1758999999999999E-2</v>
      </c>
      <c r="AW91" s="9" t="s">
        <v>806</v>
      </c>
    </row>
    <row r="92" spans="41:49">
      <c r="AO92" s="37" t="s">
        <v>814</v>
      </c>
      <c r="AP92" s="54" t="s">
        <v>293</v>
      </c>
      <c r="AQ92" s="54" t="s">
        <v>815</v>
      </c>
      <c r="AR92" s="54">
        <v>500</v>
      </c>
      <c r="AS92" s="9" t="s">
        <v>816</v>
      </c>
      <c r="AT92" s="9" t="s">
        <v>817</v>
      </c>
      <c r="AU92" s="9" t="s">
        <v>818</v>
      </c>
      <c r="AV92" s="9">
        <v>5.8931999999999998E-2</v>
      </c>
      <c r="AW92" s="9" t="s">
        <v>806</v>
      </c>
    </row>
    <row r="93" spans="41:49">
      <c r="AO93" s="37" t="s">
        <v>808</v>
      </c>
      <c r="AP93" s="54" t="s">
        <v>294</v>
      </c>
      <c r="AQ93" s="54" t="s">
        <v>810</v>
      </c>
      <c r="AR93" s="54" t="s">
        <v>295</v>
      </c>
      <c r="AS93" s="9" t="s">
        <v>811</v>
      </c>
      <c r="AT93" s="9" t="s">
        <v>812</v>
      </c>
      <c r="AU93" s="9">
        <v>81</v>
      </c>
      <c r="AV93" s="9" t="s">
        <v>813</v>
      </c>
      <c r="AW93" s="9" t="s">
        <v>807</v>
      </c>
    </row>
    <row r="94" spans="41:49">
      <c r="AO94" s="37" t="s">
        <v>814</v>
      </c>
      <c r="AP94" s="54" t="s">
        <v>296</v>
      </c>
      <c r="AQ94" s="54" t="s">
        <v>815</v>
      </c>
      <c r="AR94" s="54">
        <v>500</v>
      </c>
      <c r="AS94" s="9" t="s">
        <v>816</v>
      </c>
      <c r="AT94" s="9" t="s">
        <v>817</v>
      </c>
      <c r="AU94" s="9" t="s">
        <v>818</v>
      </c>
      <c r="AV94" s="9">
        <v>6.1662000000000002E-2</v>
      </c>
      <c r="AW94" s="9" t="s">
        <v>806</v>
      </c>
    </row>
    <row r="95" spans="41:49">
      <c r="AO95" s="37" t="s">
        <v>808</v>
      </c>
      <c r="AP95" s="54" t="s">
        <v>297</v>
      </c>
      <c r="AQ95" s="54" t="s">
        <v>810</v>
      </c>
      <c r="AR95" s="54" t="s">
        <v>297</v>
      </c>
      <c r="AS95" s="9" t="s">
        <v>811</v>
      </c>
      <c r="AT95" s="9" t="s">
        <v>812</v>
      </c>
      <c r="AU95" s="9">
        <v>82</v>
      </c>
      <c r="AV95" s="9" t="s">
        <v>813</v>
      </c>
      <c r="AW95" s="9" t="s">
        <v>807</v>
      </c>
    </row>
    <row r="96" spans="41:49">
      <c r="AO96" s="37" t="s">
        <v>814</v>
      </c>
      <c r="AP96" s="54" t="s">
        <v>298</v>
      </c>
      <c r="AQ96" s="54" t="s">
        <v>815</v>
      </c>
      <c r="AR96" s="54">
        <v>500</v>
      </c>
      <c r="AS96" s="9" t="s">
        <v>816</v>
      </c>
      <c r="AT96" s="9" t="s">
        <v>817</v>
      </c>
      <c r="AU96" s="9" t="s">
        <v>818</v>
      </c>
      <c r="AV96" s="9">
        <v>5.2663000000000001E-2</v>
      </c>
      <c r="AW96" s="9" t="s">
        <v>806</v>
      </c>
    </row>
    <row r="97" spans="41:49">
      <c r="AO97" s="37" t="s">
        <v>814</v>
      </c>
      <c r="AP97" s="54" t="s">
        <v>299</v>
      </c>
      <c r="AQ97" s="54" t="s">
        <v>815</v>
      </c>
      <c r="AR97" s="54">
        <v>500</v>
      </c>
      <c r="AS97" s="9" t="s">
        <v>816</v>
      </c>
      <c r="AT97" s="9" t="s">
        <v>817</v>
      </c>
      <c r="AU97" s="9" t="s">
        <v>818</v>
      </c>
      <c r="AV97" s="9">
        <v>6.2425000000000001E-2</v>
      </c>
      <c r="AW97" s="9" t="s">
        <v>806</v>
      </c>
    </row>
    <row r="98" spans="41:49">
      <c r="AO98" s="37" t="s">
        <v>814</v>
      </c>
      <c r="AP98" s="54" t="s">
        <v>300</v>
      </c>
      <c r="AQ98" s="54" t="s">
        <v>815</v>
      </c>
      <c r="AR98" s="54">
        <v>500</v>
      </c>
      <c r="AS98" s="9" t="s">
        <v>816</v>
      </c>
      <c r="AT98" s="9" t="s">
        <v>817</v>
      </c>
      <c r="AU98" s="9" t="s">
        <v>818</v>
      </c>
      <c r="AV98" s="9">
        <v>6.2628000000000003E-2</v>
      </c>
      <c r="AW98" s="9" t="s">
        <v>806</v>
      </c>
    </row>
    <row r="99" spans="41:49">
      <c r="AO99" s="37" t="s">
        <v>814</v>
      </c>
      <c r="AP99" s="54" t="s">
        <v>301</v>
      </c>
      <c r="AQ99" s="54" t="s">
        <v>815</v>
      </c>
      <c r="AR99" s="54">
        <v>500</v>
      </c>
      <c r="AS99" s="9" t="s">
        <v>816</v>
      </c>
      <c r="AT99" s="9" t="s">
        <v>817</v>
      </c>
      <c r="AU99" s="9" t="s">
        <v>818</v>
      </c>
      <c r="AV99" s="9">
        <v>5.0866000000000001E-2</v>
      </c>
      <c r="AW99" s="9" t="s">
        <v>806</v>
      </c>
    </row>
    <row r="100" spans="41:49">
      <c r="AO100" s="37" t="s">
        <v>808</v>
      </c>
      <c r="AP100" s="54" t="s">
        <v>302</v>
      </c>
      <c r="AQ100" s="54" t="s">
        <v>810</v>
      </c>
      <c r="AR100" s="54" t="s">
        <v>302</v>
      </c>
      <c r="AS100" s="9" t="s">
        <v>811</v>
      </c>
      <c r="AT100" s="9" t="s">
        <v>812</v>
      </c>
      <c r="AU100" s="9">
        <v>83</v>
      </c>
      <c r="AV100" s="9" t="s">
        <v>813</v>
      </c>
      <c r="AW100" s="9" t="s">
        <v>807</v>
      </c>
    </row>
    <row r="101" spans="41:49">
      <c r="AO101" s="37" t="s">
        <v>814</v>
      </c>
      <c r="AP101" s="54" t="s">
        <v>303</v>
      </c>
      <c r="AQ101" s="54" t="s">
        <v>815</v>
      </c>
      <c r="AR101" s="54">
        <v>500</v>
      </c>
      <c r="AS101" s="9" t="s">
        <v>816</v>
      </c>
      <c r="AT101" s="9" t="s">
        <v>817</v>
      </c>
      <c r="AU101" s="9" t="s">
        <v>818</v>
      </c>
      <c r="AV101" s="9">
        <v>5.0866000000000001E-2</v>
      </c>
      <c r="AW101" s="9" t="s">
        <v>806</v>
      </c>
    </row>
    <row r="102" spans="41:49">
      <c r="AO102" s="37" t="s">
        <v>808</v>
      </c>
      <c r="AP102" s="54" t="s">
        <v>304</v>
      </c>
      <c r="AQ102" s="54" t="s">
        <v>810</v>
      </c>
      <c r="AR102" s="54" t="s">
        <v>304</v>
      </c>
      <c r="AS102" s="9" t="s">
        <v>811</v>
      </c>
      <c r="AT102" s="9" t="s">
        <v>812</v>
      </c>
      <c r="AU102" s="9">
        <v>84</v>
      </c>
      <c r="AV102" s="9" t="s">
        <v>813</v>
      </c>
      <c r="AW102" s="9" t="s">
        <v>807</v>
      </c>
    </row>
    <row r="103" spans="41:49">
      <c r="AO103" s="37" t="s">
        <v>814</v>
      </c>
      <c r="AP103" s="54" t="s">
        <v>305</v>
      </c>
      <c r="AQ103" s="54" t="s">
        <v>815</v>
      </c>
      <c r="AR103" s="54">
        <v>500</v>
      </c>
      <c r="AS103" s="9" t="s">
        <v>816</v>
      </c>
      <c r="AT103" s="9" t="s">
        <v>817</v>
      </c>
      <c r="AU103" s="9" t="s">
        <v>818</v>
      </c>
      <c r="AV103" s="9">
        <v>5.4577000000000001E-2</v>
      </c>
      <c r="AW103" s="9" t="s">
        <v>806</v>
      </c>
    </row>
    <row r="104" spans="41:49">
      <c r="AO104" s="37" t="s">
        <v>808</v>
      </c>
      <c r="AP104" s="54" t="s">
        <v>306</v>
      </c>
      <c r="AQ104" s="54" t="s">
        <v>810</v>
      </c>
      <c r="AR104" s="54" t="s">
        <v>306</v>
      </c>
      <c r="AS104" s="9" t="s">
        <v>811</v>
      </c>
      <c r="AT104" s="9" t="s">
        <v>812</v>
      </c>
      <c r="AU104" s="9">
        <v>85</v>
      </c>
      <c r="AV104" s="9" t="s">
        <v>813</v>
      </c>
      <c r="AW104" s="9" t="s">
        <v>807</v>
      </c>
    </row>
    <row r="105" spans="41:49">
      <c r="AO105" s="37" t="s">
        <v>814</v>
      </c>
      <c r="AP105" s="54" t="s">
        <v>307</v>
      </c>
      <c r="AQ105" s="54" t="s">
        <v>815</v>
      </c>
      <c r="AR105" s="54">
        <v>500</v>
      </c>
      <c r="AS105" s="9" t="s">
        <v>816</v>
      </c>
      <c r="AT105" s="9" t="s">
        <v>817</v>
      </c>
      <c r="AU105" s="9" t="s">
        <v>818</v>
      </c>
      <c r="AV105" s="9">
        <v>5.3671000000000003E-2</v>
      </c>
      <c r="AW105" s="9" t="s">
        <v>806</v>
      </c>
    </row>
    <row r="106" spans="41:49">
      <c r="AO106" s="37" t="s">
        <v>814</v>
      </c>
      <c r="AP106" s="54" t="s">
        <v>308</v>
      </c>
      <c r="AQ106" s="54" t="s">
        <v>815</v>
      </c>
      <c r="AR106" s="54">
        <v>500</v>
      </c>
      <c r="AS106" s="9" t="s">
        <v>816</v>
      </c>
      <c r="AT106" s="9" t="s">
        <v>817</v>
      </c>
      <c r="AU106" s="9" t="s">
        <v>818</v>
      </c>
      <c r="AV106" s="9">
        <v>5.3544000000000001E-2</v>
      </c>
      <c r="AW106" s="9" t="s">
        <v>806</v>
      </c>
    </row>
    <row r="107" spans="41:49">
      <c r="AO107" s="37" t="s">
        <v>814</v>
      </c>
      <c r="AP107" s="54" t="s">
        <v>309</v>
      </c>
      <c r="AQ107" s="54" t="s">
        <v>815</v>
      </c>
      <c r="AR107" s="54">
        <v>500</v>
      </c>
      <c r="AS107" s="9" t="s">
        <v>816</v>
      </c>
      <c r="AT107" s="9" t="s">
        <v>817</v>
      </c>
      <c r="AU107" s="9" t="s">
        <v>818</v>
      </c>
      <c r="AV107" s="9">
        <v>5.4448000000000003E-2</v>
      </c>
      <c r="AW107" s="9" t="s">
        <v>806</v>
      </c>
    </row>
    <row r="108" spans="41:49">
      <c r="AO108" s="37" t="s">
        <v>808</v>
      </c>
      <c r="AP108" s="54" t="s">
        <v>310</v>
      </c>
      <c r="AQ108" s="54" t="s">
        <v>810</v>
      </c>
      <c r="AR108" s="54" t="s">
        <v>310</v>
      </c>
      <c r="AS108" s="9" t="s">
        <v>811</v>
      </c>
      <c r="AT108" s="9" t="s">
        <v>812</v>
      </c>
      <c r="AU108" s="9">
        <v>86</v>
      </c>
      <c r="AV108" s="9" t="s">
        <v>813</v>
      </c>
      <c r="AW108" s="9" t="s">
        <v>807</v>
      </c>
    </row>
    <row r="109" spans="41:49">
      <c r="AO109" s="37" t="s">
        <v>814</v>
      </c>
      <c r="AP109" s="54" t="s">
        <v>311</v>
      </c>
      <c r="AQ109" s="54" t="s">
        <v>815</v>
      </c>
      <c r="AR109" s="54">
        <v>500</v>
      </c>
      <c r="AS109" s="9" t="s">
        <v>816</v>
      </c>
      <c r="AT109" s="9" t="s">
        <v>817</v>
      </c>
      <c r="AU109" s="9" t="s">
        <v>818</v>
      </c>
      <c r="AV109" s="9">
        <v>5.7124000000000001E-2</v>
      </c>
      <c r="AW109" s="9" t="s">
        <v>806</v>
      </c>
    </row>
    <row r="110" spans="41:49">
      <c r="AO110" s="37" t="s">
        <v>808</v>
      </c>
      <c r="AP110" s="54" t="s">
        <v>312</v>
      </c>
      <c r="AQ110" s="54" t="s">
        <v>810</v>
      </c>
      <c r="AR110" s="54" t="s">
        <v>312</v>
      </c>
      <c r="AS110" s="9" t="s">
        <v>811</v>
      </c>
      <c r="AT110" s="9" t="s">
        <v>812</v>
      </c>
      <c r="AU110" s="9">
        <v>87</v>
      </c>
      <c r="AV110" s="9" t="s">
        <v>813</v>
      </c>
      <c r="AW110" s="9" t="s">
        <v>807</v>
      </c>
    </row>
    <row r="111" spans="41:49">
      <c r="AO111" s="37" t="s">
        <v>814</v>
      </c>
      <c r="AP111" s="54" t="s">
        <v>313</v>
      </c>
      <c r="AQ111" s="54" t="s">
        <v>815</v>
      </c>
      <c r="AR111" s="54">
        <v>500</v>
      </c>
      <c r="AS111" s="9" t="s">
        <v>816</v>
      </c>
      <c r="AT111" s="9" t="s">
        <v>817</v>
      </c>
      <c r="AU111" s="9" t="s">
        <v>818</v>
      </c>
      <c r="AV111" s="9">
        <v>6.3379000000000005E-2</v>
      </c>
      <c r="AW111" s="9" t="s">
        <v>806</v>
      </c>
    </row>
    <row r="112" spans="41:49">
      <c r="AO112" s="37" t="s">
        <v>808</v>
      </c>
      <c r="AP112" s="54" t="s">
        <v>314</v>
      </c>
      <c r="AQ112" s="54" t="s">
        <v>810</v>
      </c>
      <c r="AR112" s="54" t="s">
        <v>314</v>
      </c>
      <c r="AS112" s="9" t="s">
        <v>811</v>
      </c>
      <c r="AT112" s="9" t="s">
        <v>812</v>
      </c>
      <c r="AU112" s="9">
        <v>88</v>
      </c>
      <c r="AV112" s="9" t="s">
        <v>813</v>
      </c>
      <c r="AW112" s="9" t="s">
        <v>807</v>
      </c>
    </row>
    <row r="113" spans="41:49">
      <c r="AO113" s="37" t="s">
        <v>814</v>
      </c>
      <c r="AP113" s="54" t="s">
        <v>315</v>
      </c>
      <c r="AQ113" s="54" t="s">
        <v>815</v>
      </c>
      <c r="AR113" s="54">
        <v>500</v>
      </c>
      <c r="AS113" s="9" t="s">
        <v>816</v>
      </c>
      <c r="AT113" s="9" t="s">
        <v>817</v>
      </c>
      <c r="AU113" s="9" t="s">
        <v>818</v>
      </c>
      <c r="AV113" s="9">
        <v>5.4460000000000001E-2</v>
      </c>
      <c r="AW113" s="9" t="s">
        <v>806</v>
      </c>
    </row>
    <row r="114" spans="41:49">
      <c r="AO114" s="37" t="s">
        <v>808</v>
      </c>
      <c r="AP114" s="54" t="s">
        <v>316</v>
      </c>
      <c r="AQ114" s="54" t="s">
        <v>810</v>
      </c>
      <c r="AR114" s="54" t="s">
        <v>316</v>
      </c>
      <c r="AS114" s="9" t="s">
        <v>811</v>
      </c>
      <c r="AT114" s="9" t="s">
        <v>812</v>
      </c>
      <c r="AU114" s="9">
        <v>89</v>
      </c>
      <c r="AV114" s="9" t="s">
        <v>813</v>
      </c>
      <c r="AW114" s="9" t="s">
        <v>807</v>
      </c>
    </row>
    <row r="115" spans="41:49">
      <c r="AO115" s="37" t="s">
        <v>814</v>
      </c>
      <c r="AP115" s="54" t="s">
        <v>317</v>
      </c>
      <c r="AQ115" s="54" t="s">
        <v>815</v>
      </c>
      <c r="AR115" s="54">
        <v>500</v>
      </c>
      <c r="AS115" s="9" t="s">
        <v>816</v>
      </c>
      <c r="AT115" s="9" t="s">
        <v>817</v>
      </c>
      <c r="AU115" s="9" t="s">
        <v>818</v>
      </c>
      <c r="AV115" s="9">
        <v>5.9799999999999999E-2</v>
      </c>
      <c r="AW115" s="9" t="s">
        <v>806</v>
      </c>
    </row>
    <row r="116" spans="41:49">
      <c r="AO116" s="37" t="s">
        <v>808</v>
      </c>
      <c r="AP116" s="54" t="s">
        <v>318</v>
      </c>
      <c r="AQ116" s="54" t="s">
        <v>810</v>
      </c>
      <c r="AR116" s="54" t="s">
        <v>321</v>
      </c>
      <c r="AS116" s="9" t="s">
        <v>811</v>
      </c>
      <c r="AT116" s="9" t="s">
        <v>812</v>
      </c>
      <c r="AU116" s="9">
        <v>93</v>
      </c>
      <c r="AV116" s="9" t="s">
        <v>813</v>
      </c>
      <c r="AW116" s="9" t="s">
        <v>807</v>
      </c>
    </row>
    <row r="117" spans="41:49">
      <c r="AO117" s="37" t="s">
        <v>814</v>
      </c>
      <c r="AP117" s="54" t="s">
        <v>322</v>
      </c>
      <c r="AQ117" s="54" t="s">
        <v>815</v>
      </c>
      <c r="AR117" s="54">
        <v>500</v>
      </c>
      <c r="AS117" s="9" t="s">
        <v>816</v>
      </c>
      <c r="AT117" s="9" t="s">
        <v>817</v>
      </c>
      <c r="AU117" s="9" t="s">
        <v>818</v>
      </c>
      <c r="AV117" s="9">
        <v>5.7174999999999997E-2</v>
      </c>
      <c r="AW117" s="9" t="s">
        <v>806</v>
      </c>
    </row>
    <row r="118" spans="41:49">
      <c r="AO118" s="37" t="s">
        <v>814</v>
      </c>
      <c r="AP118" s="54" t="s">
        <v>323</v>
      </c>
      <c r="AQ118" s="54" t="s">
        <v>815</v>
      </c>
      <c r="AR118" s="54">
        <v>500</v>
      </c>
      <c r="AS118" s="9" t="s">
        <v>816</v>
      </c>
      <c r="AT118" s="9" t="s">
        <v>817</v>
      </c>
      <c r="AU118" s="9" t="s">
        <v>818</v>
      </c>
      <c r="AV118" s="9">
        <v>5.3529E-2</v>
      </c>
      <c r="AW118" s="9" t="s">
        <v>806</v>
      </c>
    </row>
    <row r="119" spans="41:49">
      <c r="AO119" s="37" t="s">
        <v>814</v>
      </c>
      <c r="AP119" s="54" t="s">
        <v>324</v>
      </c>
      <c r="AQ119" s="54" t="s">
        <v>815</v>
      </c>
      <c r="AR119" s="54">
        <v>500</v>
      </c>
      <c r="AS119" s="9" t="s">
        <v>816</v>
      </c>
      <c r="AT119" s="9" t="s">
        <v>817</v>
      </c>
      <c r="AU119" s="9" t="s">
        <v>818</v>
      </c>
      <c r="AV119" s="9">
        <v>5.1770999999999998E-2</v>
      </c>
      <c r="AW119" s="9" t="s">
        <v>806</v>
      </c>
    </row>
    <row r="120" spans="41:49">
      <c r="AO120" s="37" t="s">
        <v>808</v>
      </c>
      <c r="AP120" s="54" t="s">
        <v>325</v>
      </c>
      <c r="AQ120" s="54" t="s">
        <v>810</v>
      </c>
      <c r="AR120" s="54" t="s">
        <v>330</v>
      </c>
      <c r="AS120" s="9" t="s">
        <v>811</v>
      </c>
      <c r="AT120" s="9" t="s">
        <v>812</v>
      </c>
      <c r="AU120" s="9">
        <v>99</v>
      </c>
      <c r="AV120" s="9" t="s">
        <v>813</v>
      </c>
      <c r="AW120" s="9" t="s">
        <v>807</v>
      </c>
    </row>
    <row r="121" spans="41:49">
      <c r="AO121" s="37" t="s">
        <v>814</v>
      </c>
      <c r="AP121" s="54" t="s">
        <v>821</v>
      </c>
      <c r="AQ121" s="54" t="s">
        <v>815</v>
      </c>
      <c r="AR121" s="54">
        <v>500</v>
      </c>
      <c r="AS121" s="9" t="s">
        <v>816</v>
      </c>
      <c r="AT121" s="9" t="s">
        <v>817</v>
      </c>
      <c r="AU121" s="9" t="s">
        <v>818</v>
      </c>
      <c r="AV121" s="9">
        <v>5.8935000000000001E-2</v>
      </c>
      <c r="AW121" s="9" t="s">
        <v>806</v>
      </c>
    </row>
    <row r="122" spans="41:49">
      <c r="AO122" s="37" t="s">
        <v>814</v>
      </c>
      <c r="AP122" s="54" t="s">
        <v>331</v>
      </c>
      <c r="AQ122" s="54" t="s">
        <v>815</v>
      </c>
      <c r="AR122" s="54">
        <v>500</v>
      </c>
      <c r="AS122" s="9" t="s">
        <v>816</v>
      </c>
      <c r="AT122" s="9" t="s">
        <v>817</v>
      </c>
      <c r="AU122" s="9" t="s">
        <v>818</v>
      </c>
      <c r="AV122" s="9">
        <v>5.4434999999999997E-2</v>
      </c>
      <c r="AW122" s="9" t="s">
        <v>806</v>
      </c>
    </row>
    <row r="123" spans="41:49">
      <c r="AO123" s="37" t="s">
        <v>814</v>
      </c>
      <c r="AP123" s="54" t="s">
        <v>822</v>
      </c>
      <c r="AQ123" s="54" t="s">
        <v>815</v>
      </c>
      <c r="AR123" s="54">
        <v>500</v>
      </c>
      <c r="AS123" s="9" t="s">
        <v>816</v>
      </c>
      <c r="AT123" s="9" t="s">
        <v>817</v>
      </c>
      <c r="AU123" s="9" t="s">
        <v>818</v>
      </c>
      <c r="AV123" s="9">
        <v>5.3619E-2</v>
      </c>
      <c r="AW123" s="9" t="s">
        <v>806</v>
      </c>
    </row>
    <row r="124" spans="41:49">
      <c r="AO124" s="37" t="s">
        <v>814</v>
      </c>
      <c r="AP124" s="54" t="s">
        <v>332</v>
      </c>
      <c r="AQ124" s="54" t="s">
        <v>815</v>
      </c>
      <c r="AR124" s="54">
        <v>500</v>
      </c>
      <c r="AS124" s="9" t="s">
        <v>816</v>
      </c>
      <c r="AT124" s="9" t="s">
        <v>817</v>
      </c>
      <c r="AU124" s="9" t="s">
        <v>818</v>
      </c>
      <c r="AV124" s="9">
        <v>5.5351999999999998E-2</v>
      </c>
      <c r="AW124" s="9" t="s">
        <v>806</v>
      </c>
    </row>
    <row r="125" spans="41:49">
      <c r="AO125" s="37" t="s">
        <v>808</v>
      </c>
      <c r="AP125" s="54" t="s">
        <v>333</v>
      </c>
      <c r="AQ125" s="54" t="s">
        <v>810</v>
      </c>
      <c r="AR125" s="54" t="s">
        <v>338</v>
      </c>
      <c r="AS125" s="9" t="s">
        <v>811</v>
      </c>
      <c r="AT125" s="9" t="s">
        <v>812</v>
      </c>
      <c r="AU125" s="9">
        <v>104</v>
      </c>
      <c r="AV125" s="9" t="s">
        <v>813</v>
      </c>
      <c r="AW125" s="9" t="s">
        <v>807</v>
      </c>
    </row>
    <row r="126" spans="41:49">
      <c r="AO126" s="37" t="s">
        <v>814</v>
      </c>
      <c r="AP126" s="54" t="s">
        <v>340</v>
      </c>
      <c r="AQ126" s="54" t="s">
        <v>815</v>
      </c>
      <c r="AR126" s="54">
        <v>500</v>
      </c>
      <c r="AS126" s="9" t="s">
        <v>816</v>
      </c>
      <c r="AT126" s="9" t="s">
        <v>817</v>
      </c>
      <c r="AU126" s="9" t="s">
        <v>818</v>
      </c>
      <c r="AV126" s="9">
        <v>5.4447000000000002E-2</v>
      </c>
      <c r="AW126" s="9" t="s">
        <v>806</v>
      </c>
    </row>
    <row r="127" spans="41:49">
      <c r="AO127" s="37" t="s">
        <v>808</v>
      </c>
      <c r="AP127" s="54" t="s">
        <v>342</v>
      </c>
      <c r="AQ127" s="54" t="s">
        <v>810</v>
      </c>
      <c r="AR127" s="54" t="s">
        <v>823</v>
      </c>
      <c r="AS127" s="9" t="s">
        <v>811</v>
      </c>
      <c r="AT127" s="9" t="s">
        <v>812</v>
      </c>
      <c r="AU127" s="9">
        <v>106</v>
      </c>
      <c r="AV127" s="9" t="s">
        <v>813</v>
      </c>
      <c r="AW127" s="9" t="s">
        <v>807</v>
      </c>
    </row>
    <row r="128" spans="41:49">
      <c r="AO128" s="37" t="s">
        <v>814</v>
      </c>
      <c r="AP128" s="54" t="s">
        <v>344</v>
      </c>
      <c r="AQ128" s="54" t="s">
        <v>815</v>
      </c>
      <c r="AR128" s="54">
        <v>500</v>
      </c>
      <c r="AS128" s="9" t="s">
        <v>816</v>
      </c>
      <c r="AT128" s="9" t="s">
        <v>817</v>
      </c>
      <c r="AU128" s="9" t="s">
        <v>818</v>
      </c>
      <c r="AV128" s="9">
        <v>5.0892E-2</v>
      </c>
      <c r="AW128" s="9" t="s">
        <v>806</v>
      </c>
    </row>
    <row r="129" spans="41:49">
      <c r="AO129" s="37" t="s">
        <v>814</v>
      </c>
      <c r="AP129" s="54" t="s">
        <v>824</v>
      </c>
      <c r="AQ129" s="54" t="s">
        <v>815</v>
      </c>
      <c r="AR129" s="54">
        <v>500</v>
      </c>
      <c r="AS129" s="9" t="s">
        <v>816</v>
      </c>
      <c r="AT129" s="9" t="s">
        <v>817</v>
      </c>
      <c r="AU129" s="9" t="s">
        <v>818</v>
      </c>
      <c r="AV129" s="9">
        <v>5.5495000000000003E-2</v>
      </c>
      <c r="AW129" s="9" t="s">
        <v>806</v>
      </c>
    </row>
    <row r="130" spans="41:49">
      <c r="AO130" s="37" t="s">
        <v>814</v>
      </c>
      <c r="AP130" s="54" t="s">
        <v>346</v>
      </c>
      <c r="AQ130" s="54" t="s">
        <v>815</v>
      </c>
      <c r="AR130" s="54">
        <v>500</v>
      </c>
      <c r="AS130" s="9" t="s">
        <v>816</v>
      </c>
      <c r="AT130" s="9" t="s">
        <v>817</v>
      </c>
      <c r="AU130" s="9" t="s">
        <v>818</v>
      </c>
      <c r="AV130" s="9">
        <v>5.4487000000000001E-2</v>
      </c>
      <c r="AW130" s="9" t="s">
        <v>806</v>
      </c>
    </row>
    <row r="131" spans="41:49">
      <c r="AO131" s="37" t="s">
        <v>814</v>
      </c>
      <c r="AP131" s="54" t="s">
        <v>825</v>
      </c>
      <c r="AQ131" s="54" t="s">
        <v>815</v>
      </c>
      <c r="AR131" s="54">
        <v>500</v>
      </c>
      <c r="AS131" s="9" t="s">
        <v>816</v>
      </c>
      <c r="AT131" s="9" t="s">
        <v>817</v>
      </c>
      <c r="AU131" s="9" t="s">
        <v>818</v>
      </c>
      <c r="AV131" s="9">
        <v>5.2764999999999999E-2</v>
      </c>
      <c r="AW131" s="9" t="s">
        <v>806</v>
      </c>
    </row>
    <row r="132" spans="41:49">
      <c r="AO132" s="37" t="s">
        <v>814</v>
      </c>
      <c r="AP132" s="54" t="s">
        <v>348</v>
      </c>
      <c r="AQ132" s="54" t="s">
        <v>815</v>
      </c>
      <c r="AR132" s="54">
        <v>500</v>
      </c>
      <c r="AS132" s="9" t="s">
        <v>816</v>
      </c>
      <c r="AT132" s="9" t="s">
        <v>817</v>
      </c>
      <c r="AU132" s="9" t="s">
        <v>818</v>
      </c>
      <c r="AV132" s="9">
        <v>5.2650000000000002E-2</v>
      </c>
      <c r="AW132" s="9" t="s">
        <v>806</v>
      </c>
    </row>
    <row r="133" spans="41:49">
      <c r="AO133" s="37" t="s">
        <v>814</v>
      </c>
      <c r="AP133" s="54" t="s">
        <v>350</v>
      </c>
      <c r="AQ133" s="54" t="s">
        <v>815</v>
      </c>
      <c r="AR133" s="54">
        <v>500</v>
      </c>
      <c r="AS133" s="9" t="s">
        <v>816</v>
      </c>
      <c r="AT133" s="9" t="s">
        <v>817</v>
      </c>
      <c r="AU133" s="9" t="s">
        <v>818</v>
      </c>
      <c r="AV133" s="9">
        <v>5.8094E-2</v>
      </c>
      <c r="AW133" s="9" t="s">
        <v>806</v>
      </c>
    </row>
    <row r="134" spans="41:49">
      <c r="AO134" s="37" t="s">
        <v>808</v>
      </c>
      <c r="AP134" s="54" t="s">
        <v>351</v>
      </c>
      <c r="AQ134" s="54" t="s">
        <v>810</v>
      </c>
      <c r="AR134" s="54" t="s">
        <v>351</v>
      </c>
      <c r="AS134" s="9" t="s">
        <v>811</v>
      </c>
      <c r="AT134" s="9" t="s">
        <v>812</v>
      </c>
      <c r="AU134" s="9">
        <v>107</v>
      </c>
      <c r="AV134" s="9" t="s">
        <v>813</v>
      </c>
      <c r="AW134" s="9" t="s">
        <v>807</v>
      </c>
    </row>
    <row r="135" spans="41:49">
      <c r="AO135" s="37" t="s">
        <v>814</v>
      </c>
      <c r="AP135" s="54" t="s">
        <v>353</v>
      </c>
      <c r="AQ135" s="54" t="s">
        <v>815</v>
      </c>
      <c r="AR135" s="54">
        <v>500</v>
      </c>
      <c r="AS135" s="9" t="s">
        <v>816</v>
      </c>
      <c r="AT135" s="9" t="s">
        <v>817</v>
      </c>
      <c r="AU135" s="9" t="s">
        <v>818</v>
      </c>
      <c r="AV135" s="9">
        <v>5.4473000000000001E-2</v>
      </c>
      <c r="AW135" s="9" t="s">
        <v>806</v>
      </c>
    </row>
    <row r="136" spans="41:49">
      <c r="AO136" s="37" t="s">
        <v>814</v>
      </c>
      <c r="AP136" s="54" t="s">
        <v>354</v>
      </c>
      <c r="AQ136" s="54" t="s">
        <v>815</v>
      </c>
      <c r="AR136" s="54">
        <v>500</v>
      </c>
      <c r="AS136" s="9" t="s">
        <v>816</v>
      </c>
      <c r="AT136" s="9" t="s">
        <v>817</v>
      </c>
      <c r="AU136" s="9" t="s">
        <v>818</v>
      </c>
      <c r="AV136" s="9">
        <v>5.2651999999999997E-2</v>
      </c>
      <c r="AW136" s="9" t="s">
        <v>806</v>
      </c>
    </row>
    <row r="137" spans="41:49">
      <c r="AO137" s="37" t="s">
        <v>814</v>
      </c>
      <c r="AP137" s="54" t="s">
        <v>355</v>
      </c>
      <c r="AQ137" s="54" t="s">
        <v>815</v>
      </c>
      <c r="AR137" s="54">
        <v>500</v>
      </c>
      <c r="AS137" s="9" t="s">
        <v>816</v>
      </c>
      <c r="AT137" s="9" t="s">
        <v>817</v>
      </c>
      <c r="AU137" s="9" t="s">
        <v>818</v>
      </c>
      <c r="AV137" s="9">
        <v>5.4460000000000001E-2</v>
      </c>
      <c r="AW137" s="9" t="s">
        <v>806</v>
      </c>
    </row>
    <row r="138" spans="41:49">
      <c r="AO138" s="37" t="s">
        <v>814</v>
      </c>
      <c r="AP138" s="54" t="s">
        <v>357</v>
      </c>
      <c r="AQ138" s="54" t="s">
        <v>815</v>
      </c>
      <c r="AR138" s="54">
        <v>500</v>
      </c>
      <c r="AS138" s="9" t="s">
        <v>816</v>
      </c>
      <c r="AT138" s="9" t="s">
        <v>817</v>
      </c>
      <c r="AU138" s="9" t="s">
        <v>818</v>
      </c>
      <c r="AV138" s="9">
        <v>5.8907000000000001E-2</v>
      </c>
      <c r="AW138" s="9" t="s">
        <v>806</v>
      </c>
    </row>
    <row r="139" spans="41:49">
      <c r="AO139" s="37" t="s">
        <v>814</v>
      </c>
      <c r="AP139" s="54" t="s">
        <v>359</v>
      </c>
      <c r="AQ139" s="54" t="s">
        <v>815</v>
      </c>
      <c r="AR139" s="54">
        <v>500</v>
      </c>
      <c r="AS139" s="9" t="s">
        <v>816</v>
      </c>
      <c r="AT139" s="9" t="s">
        <v>817</v>
      </c>
      <c r="AU139" s="9" t="s">
        <v>818</v>
      </c>
      <c r="AV139" s="9">
        <v>5.5352999999999999E-2</v>
      </c>
      <c r="AW139" s="9" t="s">
        <v>806</v>
      </c>
    </row>
    <row r="140" spans="41:49">
      <c r="AO140" s="37" t="s">
        <v>814</v>
      </c>
      <c r="AP140" s="54" t="s">
        <v>360</v>
      </c>
      <c r="AQ140" s="54" t="s">
        <v>815</v>
      </c>
      <c r="AR140" s="54">
        <v>500</v>
      </c>
      <c r="AS140" s="9" t="s">
        <v>816</v>
      </c>
      <c r="AT140" s="9" t="s">
        <v>817</v>
      </c>
      <c r="AU140" s="9" t="s">
        <v>818</v>
      </c>
      <c r="AV140" s="9">
        <v>6.1698000000000003E-2</v>
      </c>
      <c r="AW140" s="9" t="s">
        <v>806</v>
      </c>
    </row>
    <row r="141" spans="41:49">
      <c r="AO141" s="37" t="s">
        <v>808</v>
      </c>
      <c r="AP141" s="54" t="s">
        <v>361</v>
      </c>
      <c r="AQ141" s="54" t="s">
        <v>810</v>
      </c>
      <c r="AR141" s="54" t="s">
        <v>361</v>
      </c>
      <c r="AS141" s="9" t="s">
        <v>811</v>
      </c>
      <c r="AT141" s="9" t="s">
        <v>812</v>
      </c>
      <c r="AU141" s="9">
        <v>108</v>
      </c>
      <c r="AV141" s="9" t="s">
        <v>813</v>
      </c>
      <c r="AW141" s="9" t="s">
        <v>807</v>
      </c>
    </row>
    <row r="142" spans="41:49">
      <c r="AO142" s="37" t="s">
        <v>814</v>
      </c>
      <c r="AP142" s="54" t="s">
        <v>362</v>
      </c>
      <c r="AQ142" s="54" t="s">
        <v>815</v>
      </c>
      <c r="AR142" s="54">
        <v>500</v>
      </c>
      <c r="AS142" s="9" t="s">
        <v>816</v>
      </c>
      <c r="AT142" s="9" t="s">
        <v>817</v>
      </c>
      <c r="AU142" s="9" t="s">
        <v>818</v>
      </c>
      <c r="AV142" s="9">
        <v>5.4434000000000003E-2</v>
      </c>
      <c r="AW142" s="9" t="s">
        <v>806</v>
      </c>
    </row>
    <row r="143" spans="41:49">
      <c r="AO143" s="37" t="s">
        <v>808</v>
      </c>
      <c r="AP143" s="54" t="s">
        <v>363</v>
      </c>
      <c r="AQ143" s="54" t="s">
        <v>810</v>
      </c>
      <c r="AR143" s="54" t="s">
        <v>363</v>
      </c>
      <c r="AS143" s="9" t="s">
        <v>811</v>
      </c>
      <c r="AT143" s="9" t="s">
        <v>812</v>
      </c>
      <c r="AU143" s="9">
        <v>109</v>
      </c>
      <c r="AV143" s="9" t="s">
        <v>813</v>
      </c>
      <c r="AW143" s="9" t="s">
        <v>807</v>
      </c>
    </row>
    <row r="144" spans="41:49">
      <c r="AO144" s="37" t="s">
        <v>814</v>
      </c>
      <c r="AP144" s="54" t="s">
        <v>365</v>
      </c>
      <c r="AQ144" s="54" t="s">
        <v>815</v>
      </c>
      <c r="AR144" s="54">
        <v>500</v>
      </c>
      <c r="AS144" s="9" t="s">
        <v>816</v>
      </c>
      <c r="AT144" s="9" t="s">
        <v>817</v>
      </c>
      <c r="AU144" s="9" t="s">
        <v>818</v>
      </c>
      <c r="AV144" s="9">
        <v>5.6231999999999997E-2</v>
      </c>
      <c r="AW144" s="9" t="s">
        <v>806</v>
      </c>
    </row>
    <row r="145" spans="41:49">
      <c r="AO145" s="37" t="s">
        <v>808</v>
      </c>
      <c r="AP145" s="54" t="s">
        <v>366</v>
      </c>
      <c r="AQ145" s="54" t="s">
        <v>810</v>
      </c>
      <c r="AR145" s="54" t="s">
        <v>366</v>
      </c>
      <c r="AS145" s="9" t="s">
        <v>811</v>
      </c>
      <c r="AT145" s="9" t="s">
        <v>812</v>
      </c>
      <c r="AU145" s="9">
        <v>110</v>
      </c>
      <c r="AV145" s="9" t="s">
        <v>813</v>
      </c>
      <c r="AW145" s="9" t="s">
        <v>807</v>
      </c>
    </row>
    <row r="146" spans="41:49">
      <c r="AO146" s="37" t="s">
        <v>814</v>
      </c>
      <c r="AP146" s="54" t="s">
        <v>367</v>
      </c>
      <c r="AQ146" s="54" t="s">
        <v>815</v>
      </c>
      <c r="AR146" s="54">
        <v>500</v>
      </c>
      <c r="AS146" s="9" t="s">
        <v>816</v>
      </c>
      <c r="AT146" s="9" t="s">
        <v>817</v>
      </c>
      <c r="AU146" s="9" t="s">
        <v>818</v>
      </c>
      <c r="AV146" s="9">
        <v>5.4460000000000001E-2</v>
      </c>
      <c r="AW146" s="9" t="s">
        <v>806</v>
      </c>
    </row>
    <row r="147" spans="41:49">
      <c r="AO147" s="37" t="s">
        <v>814</v>
      </c>
      <c r="AP147" s="54" t="s">
        <v>368</v>
      </c>
      <c r="AQ147" s="54" t="s">
        <v>815</v>
      </c>
      <c r="AR147" s="54">
        <v>500</v>
      </c>
      <c r="AS147" s="9" t="s">
        <v>816</v>
      </c>
      <c r="AT147" s="9" t="s">
        <v>817</v>
      </c>
      <c r="AU147" s="9" t="s">
        <v>818</v>
      </c>
      <c r="AV147" s="9">
        <v>6.2475999999999997E-2</v>
      </c>
      <c r="AW147" s="9" t="s">
        <v>806</v>
      </c>
    </row>
    <row r="148" spans="41:49">
      <c r="AO148" s="37" t="s">
        <v>808</v>
      </c>
      <c r="AP148" s="54" t="s">
        <v>369</v>
      </c>
      <c r="AQ148" s="54" t="s">
        <v>810</v>
      </c>
      <c r="AR148" s="54" t="s">
        <v>370</v>
      </c>
      <c r="AS148" s="9" t="s">
        <v>811</v>
      </c>
      <c r="AT148" s="9" t="s">
        <v>812</v>
      </c>
      <c r="AU148" s="9">
        <v>112</v>
      </c>
      <c r="AV148" s="9" t="s">
        <v>813</v>
      </c>
      <c r="AW148" s="9" t="s">
        <v>807</v>
      </c>
    </row>
    <row r="149" spans="41:49">
      <c r="AO149" s="37" t="s">
        <v>814</v>
      </c>
      <c r="AP149" s="54" t="s">
        <v>372</v>
      </c>
      <c r="AQ149" s="54" t="s">
        <v>815</v>
      </c>
      <c r="AR149" s="54">
        <v>500</v>
      </c>
      <c r="AS149" s="9" t="s">
        <v>816</v>
      </c>
      <c r="AT149" s="9" t="s">
        <v>817</v>
      </c>
      <c r="AU149" s="9" t="s">
        <v>818</v>
      </c>
      <c r="AV149" s="9">
        <v>6.2796000000000005E-2</v>
      </c>
      <c r="AW149" s="9" t="s">
        <v>806</v>
      </c>
    </row>
    <row r="150" spans="41:49">
      <c r="AO150" s="37" t="s">
        <v>808</v>
      </c>
      <c r="AP150" s="54" t="s">
        <v>374</v>
      </c>
      <c r="AQ150" s="54" t="s">
        <v>810</v>
      </c>
      <c r="AR150" s="54" t="s">
        <v>374</v>
      </c>
      <c r="AS150" s="9" t="s">
        <v>811</v>
      </c>
      <c r="AT150" s="9" t="s">
        <v>812</v>
      </c>
      <c r="AU150" s="9">
        <v>113</v>
      </c>
      <c r="AV150" s="9" t="s">
        <v>813</v>
      </c>
      <c r="AW150" s="9" t="s">
        <v>807</v>
      </c>
    </row>
    <row r="151" spans="41:49">
      <c r="AO151" s="37" t="s">
        <v>814</v>
      </c>
      <c r="AP151" s="54" t="s">
        <v>376</v>
      </c>
      <c r="AQ151" s="54" t="s">
        <v>815</v>
      </c>
      <c r="AR151" s="54">
        <v>500</v>
      </c>
      <c r="AS151" s="9" t="s">
        <v>816</v>
      </c>
      <c r="AT151" s="9" t="s">
        <v>817</v>
      </c>
      <c r="AU151" s="9" t="s">
        <v>818</v>
      </c>
      <c r="AV151" s="9">
        <v>5.3529E-2</v>
      </c>
      <c r="AW151" s="9" t="s">
        <v>806</v>
      </c>
    </row>
    <row r="152" spans="41:49">
      <c r="AO152" s="37" t="s">
        <v>808</v>
      </c>
      <c r="AP152" s="54" t="s">
        <v>377</v>
      </c>
      <c r="AQ152" s="54" t="s">
        <v>810</v>
      </c>
      <c r="AR152" s="54" t="s">
        <v>377</v>
      </c>
      <c r="AS152" s="9" t="s">
        <v>811</v>
      </c>
      <c r="AT152" s="9" t="s">
        <v>812</v>
      </c>
      <c r="AU152" s="9">
        <v>114</v>
      </c>
      <c r="AV152" s="9" t="s">
        <v>813</v>
      </c>
      <c r="AW152" s="9" t="s">
        <v>807</v>
      </c>
    </row>
    <row r="153" spans="41:49">
      <c r="AO153" s="37" t="s">
        <v>814</v>
      </c>
      <c r="AP153" s="54" t="s">
        <v>379</v>
      </c>
      <c r="AQ153" s="54" t="s">
        <v>815</v>
      </c>
      <c r="AR153" s="54">
        <v>500</v>
      </c>
      <c r="AS153" s="9" t="s">
        <v>816</v>
      </c>
      <c r="AT153" s="9" t="s">
        <v>817</v>
      </c>
      <c r="AU153" s="9" t="s">
        <v>818</v>
      </c>
      <c r="AV153" s="9">
        <v>5.2663000000000001E-2</v>
      </c>
      <c r="AW153" s="9" t="s">
        <v>806</v>
      </c>
    </row>
    <row r="154" spans="41:49">
      <c r="AO154" s="37" t="s">
        <v>814</v>
      </c>
      <c r="AP154" s="54" t="s">
        <v>380</v>
      </c>
      <c r="AQ154" s="54" t="s">
        <v>815</v>
      </c>
      <c r="AR154" s="54">
        <v>500</v>
      </c>
      <c r="AS154" s="9" t="s">
        <v>816</v>
      </c>
      <c r="AT154" s="9" t="s">
        <v>817</v>
      </c>
      <c r="AU154" s="9" t="s">
        <v>818</v>
      </c>
      <c r="AV154" s="9">
        <v>6.1584E-2</v>
      </c>
      <c r="AW154" s="9" t="s">
        <v>806</v>
      </c>
    </row>
    <row r="155" spans="41:49">
      <c r="AO155" s="37" t="s">
        <v>814</v>
      </c>
      <c r="AP155" s="54" t="s">
        <v>382</v>
      </c>
      <c r="AQ155" s="54" t="s">
        <v>815</v>
      </c>
      <c r="AR155" s="54">
        <v>500</v>
      </c>
      <c r="AS155" s="9" t="s">
        <v>816</v>
      </c>
      <c r="AT155" s="9" t="s">
        <v>817</v>
      </c>
      <c r="AU155" s="9" t="s">
        <v>818</v>
      </c>
      <c r="AV155" s="9">
        <v>6.1558000000000002E-2</v>
      </c>
      <c r="AW155" s="9" t="s">
        <v>806</v>
      </c>
    </row>
    <row r="156" spans="41:49">
      <c r="AO156" s="37" t="s">
        <v>808</v>
      </c>
      <c r="AP156" s="54" t="s">
        <v>384</v>
      </c>
      <c r="AQ156" s="54" t="s">
        <v>810</v>
      </c>
      <c r="AR156" s="54" t="s">
        <v>384</v>
      </c>
      <c r="AS156" s="9" t="s">
        <v>811</v>
      </c>
      <c r="AT156" s="9" t="s">
        <v>812</v>
      </c>
      <c r="AU156" s="9">
        <v>115</v>
      </c>
      <c r="AV156" s="9" t="s">
        <v>813</v>
      </c>
      <c r="AW156" s="9" t="s">
        <v>807</v>
      </c>
    </row>
    <row r="157" spans="41:49">
      <c r="AO157" s="37" t="s">
        <v>814</v>
      </c>
      <c r="AP157" s="54" t="s">
        <v>385</v>
      </c>
      <c r="AQ157" s="54" t="s">
        <v>815</v>
      </c>
      <c r="AR157" s="54">
        <v>500</v>
      </c>
      <c r="AS157" s="9" t="s">
        <v>816</v>
      </c>
      <c r="AT157" s="9" t="s">
        <v>817</v>
      </c>
      <c r="AU157" s="9" t="s">
        <v>818</v>
      </c>
      <c r="AV157" s="9">
        <v>6.1582999999999999E-2</v>
      </c>
      <c r="AW157" s="9" t="s">
        <v>806</v>
      </c>
    </row>
    <row r="158" spans="41:49">
      <c r="AO158" s="37" t="s">
        <v>814</v>
      </c>
      <c r="AP158" s="54" t="s">
        <v>386</v>
      </c>
      <c r="AQ158" s="54" t="s">
        <v>815</v>
      </c>
      <c r="AR158" s="54">
        <v>500</v>
      </c>
      <c r="AS158" s="9" t="s">
        <v>816</v>
      </c>
      <c r="AT158" s="9" t="s">
        <v>817</v>
      </c>
      <c r="AU158" s="9" t="s">
        <v>818</v>
      </c>
      <c r="AV158" s="9">
        <v>5.1757999999999998E-2</v>
      </c>
      <c r="AW158" s="9" t="s">
        <v>806</v>
      </c>
    </row>
    <row r="159" spans="41:49">
      <c r="AO159" s="37" t="s">
        <v>814</v>
      </c>
      <c r="AP159" s="54" t="s">
        <v>387</v>
      </c>
      <c r="AQ159" s="54" t="s">
        <v>815</v>
      </c>
      <c r="AR159" s="54">
        <v>500</v>
      </c>
      <c r="AS159" s="9" t="s">
        <v>816</v>
      </c>
      <c r="AT159" s="9" t="s">
        <v>817</v>
      </c>
      <c r="AU159" s="9" t="s">
        <v>818</v>
      </c>
      <c r="AV159" s="9">
        <v>5.7111000000000002E-2</v>
      </c>
      <c r="AW159" s="9" t="s">
        <v>806</v>
      </c>
    </row>
    <row r="160" spans="41:49">
      <c r="AO160" s="37" t="s">
        <v>808</v>
      </c>
      <c r="AP160" s="54" t="s">
        <v>388</v>
      </c>
      <c r="AQ160" s="54" t="s">
        <v>810</v>
      </c>
      <c r="AR160" s="54" t="s">
        <v>388</v>
      </c>
      <c r="AS160" s="9" t="s">
        <v>811</v>
      </c>
      <c r="AT160" s="9" t="s">
        <v>812</v>
      </c>
      <c r="AU160" s="9">
        <v>116</v>
      </c>
      <c r="AV160" s="9" t="s">
        <v>813</v>
      </c>
      <c r="AW160" s="9" t="s">
        <v>807</v>
      </c>
    </row>
    <row r="161" spans="41:49">
      <c r="AO161" s="37" t="s">
        <v>814</v>
      </c>
      <c r="AP161" s="54" t="s">
        <v>390</v>
      </c>
      <c r="AQ161" s="54" t="s">
        <v>815</v>
      </c>
      <c r="AR161" s="54">
        <v>500</v>
      </c>
      <c r="AS161" s="9" t="s">
        <v>816</v>
      </c>
      <c r="AT161" s="9" t="s">
        <v>817</v>
      </c>
      <c r="AU161" s="9" t="s">
        <v>818</v>
      </c>
      <c r="AV161" s="9">
        <v>5.9825999999999997E-2</v>
      </c>
      <c r="AW161" s="9" t="s">
        <v>806</v>
      </c>
    </row>
    <row r="162" spans="41:49">
      <c r="AO162" s="37" t="s">
        <v>814</v>
      </c>
      <c r="AP162" s="54" t="s">
        <v>391</v>
      </c>
      <c r="AQ162" s="54" t="s">
        <v>815</v>
      </c>
      <c r="AR162" s="54">
        <v>500</v>
      </c>
      <c r="AS162" s="9" t="s">
        <v>816</v>
      </c>
      <c r="AT162" s="9" t="s">
        <v>817</v>
      </c>
      <c r="AU162" s="9" t="s">
        <v>818</v>
      </c>
      <c r="AV162" s="9">
        <v>5.9799999999999999E-2</v>
      </c>
      <c r="AW162" s="9" t="s">
        <v>806</v>
      </c>
    </row>
    <row r="163" spans="41:49">
      <c r="AO163" s="37" t="s">
        <v>814</v>
      </c>
      <c r="AP163" s="54" t="s">
        <v>393</v>
      </c>
      <c r="AQ163" s="54" t="s">
        <v>815</v>
      </c>
      <c r="AR163" s="54">
        <v>500</v>
      </c>
      <c r="AS163" s="9" t="s">
        <v>816</v>
      </c>
      <c r="AT163" s="9" t="s">
        <v>817</v>
      </c>
      <c r="AU163" s="9" t="s">
        <v>818</v>
      </c>
      <c r="AV163" s="9">
        <v>5.1757999999999998E-2</v>
      </c>
      <c r="AW163" s="9" t="s">
        <v>806</v>
      </c>
    </row>
    <row r="164" spans="41:49">
      <c r="AO164" s="37" t="s">
        <v>814</v>
      </c>
      <c r="AP164" s="54" t="s">
        <v>394</v>
      </c>
      <c r="AQ164" s="54" t="s">
        <v>815</v>
      </c>
      <c r="AR164" s="54">
        <v>500</v>
      </c>
      <c r="AS164" s="9" t="s">
        <v>816</v>
      </c>
      <c r="AT164" s="9" t="s">
        <v>817</v>
      </c>
      <c r="AU164" s="9" t="s">
        <v>818</v>
      </c>
      <c r="AV164" s="9">
        <v>5.9855999999999999E-2</v>
      </c>
      <c r="AW164" s="9" t="s">
        <v>806</v>
      </c>
    </row>
    <row r="165" spans="41:49">
      <c r="AO165" s="37" t="s">
        <v>808</v>
      </c>
      <c r="AP165" s="54" t="s">
        <v>826</v>
      </c>
      <c r="AQ165" s="54" t="s">
        <v>810</v>
      </c>
      <c r="AR165" s="54" t="s">
        <v>826</v>
      </c>
      <c r="AS165" s="9" t="s">
        <v>811</v>
      </c>
      <c r="AT165" s="9" t="s">
        <v>812</v>
      </c>
      <c r="AU165" s="9">
        <v>117</v>
      </c>
      <c r="AV165" s="9" t="s">
        <v>813</v>
      </c>
      <c r="AW165" s="9" t="s">
        <v>807</v>
      </c>
    </row>
    <row r="166" spans="41:49">
      <c r="AO166" s="37" t="s">
        <v>814</v>
      </c>
      <c r="AP166" s="54" t="s">
        <v>395</v>
      </c>
      <c r="AQ166" s="54" t="s">
        <v>815</v>
      </c>
      <c r="AR166" s="54">
        <v>500</v>
      </c>
      <c r="AS166" s="9" t="s">
        <v>816</v>
      </c>
      <c r="AT166" s="9" t="s">
        <v>817</v>
      </c>
      <c r="AU166" s="9" t="s">
        <v>818</v>
      </c>
      <c r="AV166" s="9">
        <v>5.7991000000000001E-2</v>
      </c>
      <c r="AW166" s="9" t="s">
        <v>806</v>
      </c>
    </row>
    <row r="167" spans="41:49">
      <c r="AO167" s="37" t="s">
        <v>814</v>
      </c>
      <c r="AP167" s="54" t="s">
        <v>396</v>
      </c>
      <c r="AQ167" s="54" t="s">
        <v>815</v>
      </c>
      <c r="AR167" s="54">
        <v>500</v>
      </c>
      <c r="AS167" s="9" t="s">
        <v>816</v>
      </c>
      <c r="AT167" s="9" t="s">
        <v>817</v>
      </c>
      <c r="AU167" s="9" t="s">
        <v>818</v>
      </c>
      <c r="AV167" s="9">
        <v>6.2590999999999994E-2</v>
      </c>
      <c r="AW167" s="9" t="s">
        <v>806</v>
      </c>
    </row>
    <row r="168" spans="41:49">
      <c r="AO168" s="37" t="s">
        <v>814</v>
      </c>
      <c r="AP168" s="54" t="s">
        <v>398</v>
      </c>
      <c r="AQ168" s="54" t="s">
        <v>815</v>
      </c>
      <c r="AR168" s="54">
        <v>500</v>
      </c>
      <c r="AS168" s="9" t="s">
        <v>816</v>
      </c>
      <c r="AT168" s="9" t="s">
        <v>817</v>
      </c>
      <c r="AU168" s="9" t="s">
        <v>818</v>
      </c>
      <c r="AV168" s="9">
        <v>5.3567999999999998E-2</v>
      </c>
      <c r="AW168" s="9" t="s">
        <v>806</v>
      </c>
    </row>
    <row r="169" spans="41:49">
      <c r="AO169" s="37" t="s">
        <v>814</v>
      </c>
      <c r="AP169" s="54" t="s">
        <v>399</v>
      </c>
      <c r="AQ169" s="54" t="s">
        <v>815</v>
      </c>
      <c r="AR169" s="54">
        <v>500</v>
      </c>
      <c r="AS169" s="9" t="s">
        <v>816</v>
      </c>
      <c r="AT169" s="9" t="s">
        <v>817</v>
      </c>
      <c r="AU169" s="9" t="s">
        <v>818</v>
      </c>
      <c r="AV169" s="9">
        <v>5.1810000000000002E-2</v>
      </c>
      <c r="AW169" s="9" t="s">
        <v>806</v>
      </c>
    </row>
    <row r="170" spans="41:49">
      <c r="AO170" s="37" t="s">
        <v>808</v>
      </c>
      <c r="AP170" s="54" t="s">
        <v>400</v>
      </c>
      <c r="AQ170" s="54" t="s">
        <v>810</v>
      </c>
      <c r="AR170" s="54" t="s">
        <v>401</v>
      </c>
      <c r="AS170" s="9" t="s">
        <v>811</v>
      </c>
      <c r="AT170" s="9" t="s">
        <v>812</v>
      </c>
      <c r="AU170" s="9">
        <v>119</v>
      </c>
      <c r="AV170" s="9" t="s">
        <v>813</v>
      </c>
      <c r="AW170" s="9" t="s">
        <v>807</v>
      </c>
    </row>
    <row r="171" spans="41:49">
      <c r="AO171" s="37" t="s">
        <v>814</v>
      </c>
      <c r="AP171" s="54" t="s">
        <v>402</v>
      </c>
      <c r="AQ171" s="54" t="s">
        <v>815</v>
      </c>
      <c r="AR171" s="54">
        <v>500</v>
      </c>
      <c r="AS171" s="9" t="s">
        <v>816</v>
      </c>
      <c r="AT171" s="9" t="s">
        <v>817</v>
      </c>
      <c r="AU171" s="9" t="s">
        <v>818</v>
      </c>
      <c r="AV171" s="9">
        <v>6.0717E-2</v>
      </c>
      <c r="AW171" s="9" t="s">
        <v>806</v>
      </c>
    </row>
    <row r="172" spans="41:49">
      <c r="AO172" s="37" t="s">
        <v>808</v>
      </c>
      <c r="AP172" s="54" t="s">
        <v>827</v>
      </c>
      <c r="AQ172" s="54" t="s">
        <v>810</v>
      </c>
      <c r="AR172" s="54" t="s">
        <v>404</v>
      </c>
      <c r="AS172" s="9" t="s">
        <v>811</v>
      </c>
      <c r="AT172" s="9" t="s">
        <v>812</v>
      </c>
      <c r="AU172" s="9">
        <v>122</v>
      </c>
      <c r="AV172" s="9" t="s">
        <v>813</v>
      </c>
      <c r="AW172" s="9" t="s">
        <v>807</v>
      </c>
    </row>
    <row r="173" spans="41:49">
      <c r="AO173" s="37" t="s">
        <v>814</v>
      </c>
      <c r="AP173" s="54" t="s">
        <v>405</v>
      </c>
      <c r="AQ173" s="54" t="s">
        <v>815</v>
      </c>
      <c r="AR173" s="54">
        <v>500</v>
      </c>
      <c r="AS173" s="9" t="s">
        <v>816</v>
      </c>
      <c r="AT173" s="9" t="s">
        <v>817</v>
      </c>
      <c r="AU173" s="9" t="s">
        <v>818</v>
      </c>
      <c r="AV173" s="9">
        <v>6.4286999999999997E-2</v>
      </c>
      <c r="AW173" s="9" t="s">
        <v>806</v>
      </c>
    </row>
    <row r="174" spans="41:49">
      <c r="AO174" s="37" t="s">
        <v>814</v>
      </c>
      <c r="AP174" s="54" t="s">
        <v>406</v>
      </c>
      <c r="AQ174" s="54" t="s">
        <v>815</v>
      </c>
      <c r="AR174" s="54">
        <v>500</v>
      </c>
      <c r="AS174" s="9" t="s">
        <v>816</v>
      </c>
      <c r="AT174" s="9" t="s">
        <v>817</v>
      </c>
      <c r="AU174" s="9" t="s">
        <v>818</v>
      </c>
      <c r="AV174" s="9">
        <v>6.0692999999999997E-2</v>
      </c>
      <c r="AW174" s="9" t="s">
        <v>806</v>
      </c>
    </row>
    <row r="175" spans="41:49">
      <c r="AO175" s="37" t="s">
        <v>808</v>
      </c>
      <c r="AP175" s="54" t="s">
        <v>407</v>
      </c>
      <c r="AQ175" s="54" t="s">
        <v>810</v>
      </c>
      <c r="AR175" s="54" t="s">
        <v>407</v>
      </c>
      <c r="AS175" s="9" t="s">
        <v>811</v>
      </c>
      <c r="AT175" s="9" t="s">
        <v>812</v>
      </c>
      <c r="AU175" s="9">
        <v>123</v>
      </c>
      <c r="AV175" s="9" t="s">
        <v>813</v>
      </c>
      <c r="AW175" s="9" t="s">
        <v>807</v>
      </c>
    </row>
    <row r="176" spans="41:49">
      <c r="AO176" s="37" t="s">
        <v>814</v>
      </c>
      <c r="AP176" s="54" t="s">
        <v>408</v>
      </c>
      <c r="AQ176" s="54" t="s">
        <v>815</v>
      </c>
      <c r="AR176" s="54">
        <v>500</v>
      </c>
      <c r="AS176" s="9" t="s">
        <v>816</v>
      </c>
      <c r="AT176" s="9" t="s">
        <v>817</v>
      </c>
      <c r="AU176" s="9" t="s">
        <v>818</v>
      </c>
      <c r="AV176" s="9">
        <v>5.0866000000000001E-2</v>
      </c>
      <c r="AW176" s="9" t="s">
        <v>806</v>
      </c>
    </row>
    <row r="177" spans="41:49">
      <c r="AO177" s="37" t="s">
        <v>808</v>
      </c>
      <c r="AP177" s="54" t="s">
        <v>409</v>
      </c>
      <c r="AQ177" s="54" t="s">
        <v>810</v>
      </c>
      <c r="AR177" s="54" t="s">
        <v>409</v>
      </c>
      <c r="AS177" s="9" t="s">
        <v>811</v>
      </c>
      <c r="AT177" s="9" t="s">
        <v>812</v>
      </c>
      <c r="AU177" s="9">
        <v>124</v>
      </c>
      <c r="AV177" s="9" t="s">
        <v>813</v>
      </c>
      <c r="AW177" s="9" t="s">
        <v>807</v>
      </c>
    </row>
    <row r="178" spans="41:49">
      <c r="AO178" s="37" t="s">
        <v>814</v>
      </c>
      <c r="AP178" s="54" t="s">
        <v>410</v>
      </c>
      <c r="AQ178" s="54" t="s">
        <v>815</v>
      </c>
      <c r="AR178" s="54">
        <v>500</v>
      </c>
      <c r="AS178" s="9" t="s">
        <v>816</v>
      </c>
      <c r="AT178" s="9" t="s">
        <v>817</v>
      </c>
      <c r="AU178" s="9" t="s">
        <v>818</v>
      </c>
      <c r="AV178" s="9">
        <v>5.6243000000000001E-2</v>
      </c>
      <c r="AW178" s="9" t="s">
        <v>806</v>
      </c>
    </row>
    <row r="179" spans="41:49">
      <c r="AO179" s="37" t="s">
        <v>808</v>
      </c>
      <c r="AP179" s="54" t="s">
        <v>828</v>
      </c>
      <c r="AQ179" s="54" t="s">
        <v>810</v>
      </c>
      <c r="AR179" s="54" t="s">
        <v>828</v>
      </c>
      <c r="AS179" s="9" t="s">
        <v>811</v>
      </c>
      <c r="AT179" s="9" t="s">
        <v>812</v>
      </c>
      <c r="AU179" s="9">
        <v>125</v>
      </c>
      <c r="AV179" s="9" t="s">
        <v>813</v>
      </c>
      <c r="AW179" s="9" t="s">
        <v>807</v>
      </c>
    </row>
    <row r="180" spans="41:49">
      <c r="AO180" s="37" t="s">
        <v>814</v>
      </c>
      <c r="AP180" s="54" t="s">
        <v>411</v>
      </c>
      <c r="AQ180" s="54" t="s">
        <v>815</v>
      </c>
      <c r="AR180" s="54">
        <v>500</v>
      </c>
      <c r="AS180" s="9" t="s">
        <v>816</v>
      </c>
      <c r="AT180" s="9" t="s">
        <v>817</v>
      </c>
      <c r="AU180" s="9" t="s">
        <v>818</v>
      </c>
      <c r="AV180" s="9">
        <v>5.8095000000000001E-2</v>
      </c>
      <c r="AW180" s="9" t="s">
        <v>806</v>
      </c>
    </row>
    <row r="181" spans="41:49">
      <c r="AO181" s="37" t="s">
        <v>808</v>
      </c>
      <c r="AP181" s="54" t="s">
        <v>829</v>
      </c>
      <c r="AQ181" s="54" t="s">
        <v>810</v>
      </c>
      <c r="AR181" s="54" t="s">
        <v>829</v>
      </c>
      <c r="AS181" s="9" t="s">
        <v>811</v>
      </c>
      <c r="AT181" s="9" t="s">
        <v>812</v>
      </c>
      <c r="AU181" s="9">
        <v>126</v>
      </c>
      <c r="AV181" s="9" t="s">
        <v>813</v>
      </c>
      <c r="AW181" s="9" t="s">
        <v>807</v>
      </c>
    </row>
    <row r="182" spans="41:49">
      <c r="AO182" s="37" t="s">
        <v>814</v>
      </c>
      <c r="AP182" s="54" t="s">
        <v>830</v>
      </c>
      <c r="AQ182" s="54" t="s">
        <v>815</v>
      </c>
      <c r="AR182" s="54">
        <v>500</v>
      </c>
      <c r="AS182" s="9" t="s">
        <v>816</v>
      </c>
      <c r="AT182" s="9" t="s">
        <v>817</v>
      </c>
      <c r="AU182" s="9" t="s">
        <v>818</v>
      </c>
      <c r="AV182" s="9">
        <v>6.2462999999999998E-2</v>
      </c>
      <c r="AW182" s="9" t="s">
        <v>806</v>
      </c>
    </row>
    <row r="183" spans="41:49">
      <c r="AO183" s="37" t="s">
        <v>808</v>
      </c>
      <c r="AP183" s="54" t="s">
        <v>412</v>
      </c>
      <c r="AQ183" s="54" t="s">
        <v>810</v>
      </c>
      <c r="AR183" s="54" t="s">
        <v>412</v>
      </c>
      <c r="AS183" s="9" t="s">
        <v>811</v>
      </c>
      <c r="AT183" s="9" t="s">
        <v>812</v>
      </c>
      <c r="AU183" s="9">
        <v>127</v>
      </c>
      <c r="AV183" s="9" t="s">
        <v>813</v>
      </c>
      <c r="AW183" s="9" t="s">
        <v>807</v>
      </c>
    </row>
    <row r="184" spans="41:49">
      <c r="AO184" s="37" t="s">
        <v>814</v>
      </c>
      <c r="AP184" s="54" t="s">
        <v>413</v>
      </c>
      <c r="AQ184" s="54" t="s">
        <v>815</v>
      </c>
      <c r="AR184" s="54">
        <v>500</v>
      </c>
      <c r="AS184" s="9" t="s">
        <v>816</v>
      </c>
      <c r="AT184" s="9" t="s">
        <v>817</v>
      </c>
      <c r="AU184" s="9" t="s">
        <v>818</v>
      </c>
      <c r="AV184" s="9">
        <v>5.9894000000000003E-2</v>
      </c>
      <c r="AW184" s="9" t="s">
        <v>806</v>
      </c>
    </row>
    <row r="185" spans="41:49">
      <c r="AO185" s="37" t="s">
        <v>808</v>
      </c>
      <c r="AP185" s="54" t="s">
        <v>415</v>
      </c>
      <c r="AQ185" s="54" t="s">
        <v>810</v>
      </c>
      <c r="AR185" s="54" t="s">
        <v>416</v>
      </c>
      <c r="AS185" s="9" t="s">
        <v>811</v>
      </c>
      <c r="AT185" s="9" t="s">
        <v>812</v>
      </c>
      <c r="AU185" s="9">
        <v>129</v>
      </c>
      <c r="AV185" s="9" t="s">
        <v>813</v>
      </c>
      <c r="AW185" s="9" t="s">
        <v>807</v>
      </c>
    </row>
    <row r="186" spans="41:49">
      <c r="AO186" s="37" t="s">
        <v>814</v>
      </c>
      <c r="AP186" s="54" t="s">
        <v>417</v>
      </c>
      <c r="AQ186" s="54" t="s">
        <v>815</v>
      </c>
      <c r="AR186" s="54">
        <v>500</v>
      </c>
      <c r="AS186" s="9" t="s">
        <v>816</v>
      </c>
      <c r="AT186" s="9" t="s">
        <v>817</v>
      </c>
      <c r="AU186" s="9" t="s">
        <v>818</v>
      </c>
      <c r="AV186" s="9">
        <v>6.0822000000000001E-2</v>
      </c>
      <c r="AW186" s="9" t="s">
        <v>806</v>
      </c>
    </row>
    <row r="187" spans="41:49">
      <c r="AO187" s="37" t="s">
        <v>814</v>
      </c>
      <c r="AP187" s="54" t="s">
        <v>418</v>
      </c>
      <c r="AQ187" s="54" t="s">
        <v>815</v>
      </c>
      <c r="AR187" s="54">
        <v>500</v>
      </c>
      <c r="AS187" s="9" t="s">
        <v>816</v>
      </c>
      <c r="AT187" s="9" t="s">
        <v>817</v>
      </c>
      <c r="AU187" s="9" t="s">
        <v>818</v>
      </c>
      <c r="AV187" s="9">
        <v>5.9839000000000003E-2</v>
      </c>
      <c r="AW187" s="9" t="s">
        <v>806</v>
      </c>
    </row>
    <row r="188" spans="41:49">
      <c r="AO188" s="37" t="s">
        <v>808</v>
      </c>
      <c r="AP188" s="54" t="s">
        <v>419</v>
      </c>
      <c r="AQ188" s="54" t="s">
        <v>810</v>
      </c>
      <c r="AR188" s="54" t="s">
        <v>419</v>
      </c>
      <c r="AS188" s="9" t="s">
        <v>811</v>
      </c>
      <c r="AT188" s="9" t="s">
        <v>812</v>
      </c>
      <c r="AU188" s="9">
        <v>130</v>
      </c>
      <c r="AV188" s="9" t="s">
        <v>813</v>
      </c>
      <c r="AW188" s="9" t="s">
        <v>807</v>
      </c>
    </row>
    <row r="189" spans="41:49">
      <c r="AO189" s="37" t="s">
        <v>814</v>
      </c>
      <c r="AP189" s="54" t="s">
        <v>420</v>
      </c>
      <c r="AQ189" s="54" t="s">
        <v>815</v>
      </c>
      <c r="AR189" s="54">
        <v>500</v>
      </c>
      <c r="AS189" s="9" t="s">
        <v>816</v>
      </c>
      <c r="AT189" s="9" t="s">
        <v>817</v>
      </c>
      <c r="AU189" s="9" t="s">
        <v>818</v>
      </c>
      <c r="AV189" s="9">
        <v>5.9825000000000003E-2</v>
      </c>
      <c r="AW189" s="9" t="s">
        <v>806</v>
      </c>
    </row>
    <row r="190" spans="41:49">
      <c r="AO190" s="37" t="s">
        <v>808</v>
      </c>
      <c r="AP190" s="54" t="s">
        <v>422</v>
      </c>
      <c r="AQ190" s="54" t="s">
        <v>810</v>
      </c>
      <c r="AR190" s="54" t="s">
        <v>422</v>
      </c>
      <c r="AS190" s="9" t="s">
        <v>811</v>
      </c>
      <c r="AT190" s="9" t="s">
        <v>812</v>
      </c>
      <c r="AU190" s="9">
        <v>131</v>
      </c>
      <c r="AV190" s="9" t="s">
        <v>813</v>
      </c>
      <c r="AW190" s="9" t="s">
        <v>807</v>
      </c>
    </row>
    <row r="191" spans="41:49">
      <c r="AO191" s="37" t="s">
        <v>814</v>
      </c>
      <c r="AP191" s="54" t="s">
        <v>423</v>
      </c>
      <c r="AQ191" s="54" t="s">
        <v>815</v>
      </c>
      <c r="AR191" s="54">
        <v>500</v>
      </c>
      <c r="AS191" s="9" t="s">
        <v>816</v>
      </c>
      <c r="AT191" s="9" t="s">
        <v>817</v>
      </c>
      <c r="AU191" s="9" t="s">
        <v>818</v>
      </c>
      <c r="AV191" s="9">
        <v>6.2617999999999993E-2</v>
      </c>
      <c r="AW191" s="9" t="s">
        <v>806</v>
      </c>
    </row>
    <row r="192" spans="41:49">
      <c r="AO192" s="37" t="s">
        <v>808</v>
      </c>
      <c r="AP192" s="54" t="s">
        <v>424</v>
      </c>
      <c r="AQ192" s="54" t="s">
        <v>810</v>
      </c>
      <c r="AR192" s="54" t="s">
        <v>424</v>
      </c>
      <c r="AS192" s="9" t="s">
        <v>811</v>
      </c>
      <c r="AT192" s="9" t="s">
        <v>812</v>
      </c>
      <c r="AU192" s="9">
        <v>132</v>
      </c>
      <c r="AV192" s="9" t="s">
        <v>813</v>
      </c>
      <c r="AW192" s="9" t="s">
        <v>807</v>
      </c>
    </row>
    <row r="193" spans="41:49">
      <c r="AO193" s="37" t="s">
        <v>814</v>
      </c>
      <c r="AP193" s="54" t="s">
        <v>425</v>
      </c>
      <c r="AQ193" s="54" t="s">
        <v>815</v>
      </c>
      <c r="AR193" s="54">
        <v>500</v>
      </c>
      <c r="AS193" s="9" t="s">
        <v>816</v>
      </c>
      <c r="AT193" s="9" t="s">
        <v>817</v>
      </c>
      <c r="AU193" s="9" t="s">
        <v>818</v>
      </c>
      <c r="AV193" s="9">
        <v>6.1545999999999997E-2</v>
      </c>
      <c r="AW193" s="9" t="s">
        <v>806</v>
      </c>
    </row>
    <row r="194" spans="41:49">
      <c r="AO194" s="37" t="s">
        <v>814</v>
      </c>
      <c r="AP194" s="54" t="s">
        <v>426</v>
      </c>
      <c r="AQ194" s="54" t="s">
        <v>815</v>
      </c>
      <c r="AR194" s="54">
        <v>500</v>
      </c>
      <c r="AS194" s="9" t="s">
        <v>816</v>
      </c>
      <c r="AT194" s="9" t="s">
        <v>817</v>
      </c>
      <c r="AU194" s="9" t="s">
        <v>818</v>
      </c>
      <c r="AV194" s="9">
        <v>5.5364999999999998E-2</v>
      </c>
      <c r="AW194" s="9" t="s">
        <v>806</v>
      </c>
    </row>
    <row r="195" spans="41:49">
      <c r="AO195" s="37" t="s">
        <v>814</v>
      </c>
      <c r="AP195" s="54" t="s">
        <v>427</v>
      </c>
      <c r="AQ195" s="54" t="s">
        <v>815</v>
      </c>
      <c r="AR195" s="54">
        <v>500</v>
      </c>
      <c r="AS195" s="9" t="s">
        <v>816</v>
      </c>
      <c r="AT195" s="9" t="s">
        <v>817</v>
      </c>
      <c r="AU195" s="9" t="s">
        <v>818</v>
      </c>
      <c r="AV195" s="9">
        <v>5.4460000000000001E-2</v>
      </c>
      <c r="AW195" s="9" t="s">
        <v>806</v>
      </c>
    </row>
    <row r="196" spans="41:49">
      <c r="AO196" s="37" t="s">
        <v>808</v>
      </c>
      <c r="AP196" s="54" t="s">
        <v>831</v>
      </c>
      <c r="AQ196" s="54" t="s">
        <v>810</v>
      </c>
      <c r="AR196" s="54" t="s">
        <v>831</v>
      </c>
      <c r="AS196" s="9" t="s">
        <v>811</v>
      </c>
      <c r="AT196" s="9" t="s">
        <v>812</v>
      </c>
      <c r="AU196" s="9">
        <v>133</v>
      </c>
      <c r="AV196" s="9" t="s">
        <v>813</v>
      </c>
      <c r="AW196" s="9" t="s">
        <v>807</v>
      </c>
    </row>
    <row r="197" spans="41:49">
      <c r="AO197" s="37" t="s">
        <v>814</v>
      </c>
      <c r="AP197" s="54" t="s">
        <v>428</v>
      </c>
      <c r="AQ197" s="54" t="s">
        <v>815</v>
      </c>
      <c r="AR197" s="54">
        <v>500</v>
      </c>
      <c r="AS197" s="9" t="s">
        <v>816</v>
      </c>
      <c r="AT197" s="9" t="s">
        <v>817</v>
      </c>
      <c r="AU197" s="9" t="s">
        <v>818</v>
      </c>
      <c r="AV197" s="9">
        <v>6.3442999999999999E-2</v>
      </c>
      <c r="AW197" s="9" t="s">
        <v>806</v>
      </c>
    </row>
    <row r="198" spans="41:49">
      <c r="AO198" s="37" t="s">
        <v>808</v>
      </c>
      <c r="AP198" s="54" t="s">
        <v>429</v>
      </c>
      <c r="AQ198" s="54" t="s">
        <v>810</v>
      </c>
      <c r="AR198" s="54" t="s">
        <v>430</v>
      </c>
      <c r="AS198" s="9" t="s">
        <v>811</v>
      </c>
      <c r="AT198" s="9" t="s">
        <v>812</v>
      </c>
      <c r="AU198" s="9">
        <v>135</v>
      </c>
      <c r="AV198" s="9" t="s">
        <v>813</v>
      </c>
      <c r="AW198" s="9" t="s">
        <v>807</v>
      </c>
    </row>
    <row r="199" spans="41:49">
      <c r="AO199" s="37" t="s">
        <v>814</v>
      </c>
      <c r="AP199" s="54" t="s">
        <v>431</v>
      </c>
      <c r="AQ199" s="54" t="s">
        <v>815</v>
      </c>
      <c r="AR199" s="54">
        <v>500</v>
      </c>
      <c r="AS199" s="9" t="s">
        <v>816</v>
      </c>
      <c r="AT199" s="9" t="s">
        <v>817</v>
      </c>
      <c r="AU199" s="9" t="s">
        <v>818</v>
      </c>
      <c r="AV199" s="9">
        <v>5.7137E-2</v>
      </c>
      <c r="AW199" s="9" t="s">
        <v>806</v>
      </c>
    </row>
    <row r="200" spans="41:49">
      <c r="AO200" s="37" t="s">
        <v>814</v>
      </c>
      <c r="AP200" s="54" t="s">
        <v>432</v>
      </c>
      <c r="AQ200" s="54" t="s">
        <v>815</v>
      </c>
      <c r="AR200" s="54">
        <v>500</v>
      </c>
      <c r="AS200" s="9" t="s">
        <v>816</v>
      </c>
      <c r="AT200" s="9" t="s">
        <v>817</v>
      </c>
      <c r="AU200" s="9" t="s">
        <v>818</v>
      </c>
      <c r="AV200" s="9">
        <v>6.0170000000000001E-2</v>
      </c>
      <c r="AW200" s="9" t="s">
        <v>806</v>
      </c>
    </row>
    <row r="201" spans="41:49">
      <c r="AO201" s="37" t="s">
        <v>808</v>
      </c>
      <c r="AP201" s="54" t="s">
        <v>832</v>
      </c>
      <c r="AQ201" s="54" t="s">
        <v>810</v>
      </c>
      <c r="AR201" s="54" t="s">
        <v>433</v>
      </c>
      <c r="AS201" s="9" t="s">
        <v>811</v>
      </c>
      <c r="AT201" s="9" t="s">
        <v>812</v>
      </c>
      <c r="AU201" s="9">
        <v>137</v>
      </c>
      <c r="AV201" s="9" t="s">
        <v>813</v>
      </c>
      <c r="AW201" s="9" t="s">
        <v>807</v>
      </c>
    </row>
    <row r="202" spans="41:49">
      <c r="AO202" s="37" t="s">
        <v>814</v>
      </c>
      <c r="AP202" s="54" t="s">
        <v>434</v>
      </c>
      <c r="AQ202" s="54" t="s">
        <v>815</v>
      </c>
      <c r="AR202" s="54">
        <v>500</v>
      </c>
      <c r="AS202" s="9" t="s">
        <v>816</v>
      </c>
      <c r="AT202" s="9" t="s">
        <v>817</v>
      </c>
      <c r="AU202" s="9" t="s">
        <v>818</v>
      </c>
      <c r="AV202" s="9">
        <v>6.1557000000000001E-2</v>
      </c>
      <c r="AW202" s="9" t="s">
        <v>806</v>
      </c>
    </row>
    <row r="203" spans="41:49">
      <c r="AO203" s="37" t="s">
        <v>808</v>
      </c>
      <c r="AP203" s="54" t="s">
        <v>435</v>
      </c>
      <c r="AQ203" s="54" t="s">
        <v>810</v>
      </c>
      <c r="AR203" s="54" t="s">
        <v>435</v>
      </c>
      <c r="AS203" s="9" t="s">
        <v>811</v>
      </c>
      <c r="AT203" s="9" t="s">
        <v>812</v>
      </c>
      <c r="AU203" s="9">
        <v>138</v>
      </c>
      <c r="AV203" s="9" t="s">
        <v>813</v>
      </c>
      <c r="AW203" s="9" t="s">
        <v>807</v>
      </c>
    </row>
    <row r="204" spans="41:49">
      <c r="AO204" s="37" t="s">
        <v>814</v>
      </c>
      <c r="AP204" s="54" t="s">
        <v>436</v>
      </c>
      <c r="AQ204" s="54" t="s">
        <v>815</v>
      </c>
      <c r="AR204" s="54">
        <v>500</v>
      </c>
      <c r="AS204" s="9" t="s">
        <v>816</v>
      </c>
      <c r="AT204" s="9" t="s">
        <v>817</v>
      </c>
      <c r="AU204" s="9" t="s">
        <v>818</v>
      </c>
      <c r="AV204" s="9">
        <v>5.6193E-2</v>
      </c>
      <c r="AW204" s="9" t="s">
        <v>806</v>
      </c>
    </row>
    <row r="205" spans="41:49">
      <c r="AO205" s="37" t="s">
        <v>808</v>
      </c>
      <c r="AP205" s="54" t="s">
        <v>833</v>
      </c>
      <c r="AQ205" s="54" t="s">
        <v>810</v>
      </c>
      <c r="AR205" s="54" t="s">
        <v>833</v>
      </c>
      <c r="AS205" s="9" t="s">
        <v>811</v>
      </c>
      <c r="AT205" s="9" t="s">
        <v>812</v>
      </c>
      <c r="AU205" s="9">
        <v>139</v>
      </c>
      <c r="AV205" s="9" t="s">
        <v>813</v>
      </c>
      <c r="AW205" s="9" t="s">
        <v>807</v>
      </c>
    </row>
    <row r="206" spans="41:49">
      <c r="AO206" s="37" t="s">
        <v>814</v>
      </c>
      <c r="AP206" s="54" t="s">
        <v>438</v>
      </c>
      <c r="AQ206" s="54" t="s">
        <v>815</v>
      </c>
      <c r="AR206" s="54">
        <v>500</v>
      </c>
      <c r="AS206" s="9" t="s">
        <v>816</v>
      </c>
      <c r="AT206" s="9" t="s">
        <v>817</v>
      </c>
      <c r="AU206" s="9" t="s">
        <v>818</v>
      </c>
      <c r="AV206" s="9">
        <v>6.0678000000000003E-2</v>
      </c>
      <c r="AW206" s="9" t="s">
        <v>806</v>
      </c>
    </row>
    <row r="207" spans="41:49">
      <c r="AO207" s="37" t="s">
        <v>814</v>
      </c>
      <c r="AP207" s="54" t="s">
        <v>834</v>
      </c>
      <c r="AQ207" s="54" t="s">
        <v>815</v>
      </c>
      <c r="AR207" s="54">
        <v>500</v>
      </c>
      <c r="AS207" s="9" t="s">
        <v>816</v>
      </c>
      <c r="AT207" s="9" t="s">
        <v>817</v>
      </c>
      <c r="AU207" s="9" t="s">
        <v>818</v>
      </c>
      <c r="AV207" s="9">
        <v>6.1596999999999999E-2</v>
      </c>
      <c r="AW207" s="9" t="s">
        <v>806</v>
      </c>
    </row>
    <row r="208" spans="41:49">
      <c r="AO208" s="37" t="s">
        <v>814</v>
      </c>
      <c r="AP208" s="54" t="s">
        <v>439</v>
      </c>
      <c r="AQ208" s="54" t="s">
        <v>815</v>
      </c>
      <c r="AR208" s="54">
        <v>500</v>
      </c>
      <c r="AS208" s="9" t="s">
        <v>816</v>
      </c>
      <c r="AT208" s="9" t="s">
        <v>817</v>
      </c>
      <c r="AU208" s="9" t="s">
        <v>818</v>
      </c>
      <c r="AV208" s="9">
        <v>5.7178E-2</v>
      </c>
      <c r="AW208" s="9" t="s">
        <v>806</v>
      </c>
    </row>
    <row r="209" spans="41:49">
      <c r="AO209" s="37" t="s">
        <v>808</v>
      </c>
      <c r="AP209" s="54" t="s">
        <v>440</v>
      </c>
      <c r="AQ209" s="54" t="s">
        <v>810</v>
      </c>
      <c r="AR209" s="54" t="s">
        <v>835</v>
      </c>
      <c r="AS209" s="9" t="s">
        <v>811</v>
      </c>
      <c r="AT209" s="9" t="s">
        <v>812</v>
      </c>
      <c r="AU209" s="9">
        <v>141</v>
      </c>
      <c r="AV209" s="9" t="s">
        <v>813</v>
      </c>
      <c r="AW209" s="9" t="s">
        <v>807</v>
      </c>
    </row>
    <row r="210" spans="41:49">
      <c r="AO210" s="37" t="s">
        <v>814</v>
      </c>
      <c r="AP210" s="54" t="s">
        <v>836</v>
      </c>
      <c r="AQ210" s="54" t="s">
        <v>815</v>
      </c>
      <c r="AR210" s="54">
        <v>500</v>
      </c>
      <c r="AS210" s="9" t="s">
        <v>816</v>
      </c>
      <c r="AT210" s="9" t="s">
        <v>817</v>
      </c>
      <c r="AU210" s="9" t="s">
        <v>818</v>
      </c>
      <c r="AV210" s="9">
        <v>5.8918999999999999E-2</v>
      </c>
      <c r="AW210" s="9" t="s">
        <v>806</v>
      </c>
    </row>
    <row r="211" spans="41:49">
      <c r="AO211" s="37" t="s">
        <v>808</v>
      </c>
      <c r="AP211" s="54" t="s">
        <v>441</v>
      </c>
      <c r="AQ211" s="54" t="s">
        <v>810</v>
      </c>
      <c r="AR211" s="54" t="s">
        <v>441</v>
      </c>
      <c r="AS211" s="9" t="s">
        <v>811</v>
      </c>
      <c r="AT211" s="9" t="s">
        <v>812</v>
      </c>
      <c r="AU211" s="9">
        <v>142</v>
      </c>
      <c r="AV211" s="9" t="s">
        <v>813</v>
      </c>
      <c r="AW211" s="9" t="s">
        <v>807</v>
      </c>
    </row>
    <row r="212" spans="41:49">
      <c r="AO212" s="37" t="s">
        <v>814</v>
      </c>
      <c r="AP212" s="54" t="s">
        <v>442</v>
      </c>
      <c r="AQ212" s="54" t="s">
        <v>815</v>
      </c>
      <c r="AR212" s="54">
        <v>500</v>
      </c>
      <c r="AS212" s="9" t="s">
        <v>816</v>
      </c>
      <c r="AT212" s="9" t="s">
        <v>817</v>
      </c>
      <c r="AU212" s="9" t="s">
        <v>818</v>
      </c>
      <c r="AV212" s="9">
        <v>5.1771999999999999E-2</v>
      </c>
      <c r="AW212" s="9" t="s">
        <v>806</v>
      </c>
    </row>
    <row r="213" spans="41:49">
      <c r="AO213" s="37" t="s">
        <v>814</v>
      </c>
      <c r="AP213" s="54" t="s">
        <v>444</v>
      </c>
      <c r="AQ213" s="54" t="s">
        <v>815</v>
      </c>
      <c r="AR213" s="54">
        <v>500</v>
      </c>
      <c r="AS213" s="9" t="s">
        <v>816</v>
      </c>
      <c r="AT213" s="9" t="s">
        <v>817</v>
      </c>
      <c r="AU213" s="9" t="s">
        <v>818</v>
      </c>
      <c r="AV213" s="9">
        <v>6.2476999999999998E-2</v>
      </c>
      <c r="AW213" s="9" t="s">
        <v>806</v>
      </c>
    </row>
    <row r="214" spans="41:49">
      <c r="AO214" s="37" t="s">
        <v>814</v>
      </c>
      <c r="AP214" s="54" t="s">
        <v>445</v>
      </c>
      <c r="AQ214" s="54" t="s">
        <v>815</v>
      </c>
      <c r="AR214" s="54">
        <v>500</v>
      </c>
      <c r="AS214" s="9" t="s">
        <v>816</v>
      </c>
      <c r="AT214" s="9" t="s">
        <v>817</v>
      </c>
      <c r="AU214" s="9" t="s">
        <v>818</v>
      </c>
      <c r="AV214" s="9">
        <v>5.4421999999999998E-2</v>
      </c>
      <c r="AW214" s="9" t="s">
        <v>806</v>
      </c>
    </row>
    <row r="215" spans="41:49">
      <c r="AO215" s="37" t="s">
        <v>814</v>
      </c>
      <c r="AP215" s="54" t="s">
        <v>446</v>
      </c>
      <c r="AQ215" s="54" t="s">
        <v>815</v>
      </c>
      <c r="AR215" s="54">
        <v>500</v>
      </c>
      <c r="AS215" s="9" t="s">
        <v>816</v>
      </c>
      <c r="AT215" s="9" t="s">
        <v>817</v>
      </c>
      <c r="AU215" s="9" t="s">
        <v>818</v>
      </c>
      <c r="AV215" s="9">
        <v>5.8042999999999997E-2</v>
      </c>
      <c r="AW215" s="9" t="s">
        <v>806</v>
      </c>
    </row>
    <row r="216" spans="41:49">
      <c r="AO216" s="37" t="s">
        <v>808</v>
      </c>
      <c r="AP216" s="54" t="s">
        <v>447</v>
      </c>
      <c r="AQ216" s="54" t="s">
        <v>810</v>
      </c>
      <c r="AR216" s="54" t="s">
        <v>448</v>
      </c>
      <c r="AS216" s="9" t="s">
        <v>811</v>
      </c>
      <c r="AT216" s="9" t="s">
        <v>812</v>
      </c>
      <c r="AU216" s="9">
        <v>144</v>
      </c>
      <c r="AV216" s="9" t="s">
        <v>813</v>
      </c>
      <c r="AW216" s="9" t="s">
        <v>807</v>
      </c>
    </row>
    <row r="217" spans="41:49">
      <c r="AO217" s="37" t="s">
        <v>814</v>
      </c>
      <c r="AP217" s="54" t="s">
        <v>449</v>
      </c>
      <c r="AQ217" s="54" t="s">
        <v>815</v>
      </c>
      <c r="AR217" s="54">
        <v>500</v>
      </c>
      <c r="AS217" s="9" t="s">
        <v>816</v>
      </c>
      <c r="AT217" s="9" t="s">
        <v>817</v>
      </c>
      <c r="AU217" s="9" t="s">
        <v>818</v>
      </c>
      <c r="AV217" s="9">
        <v>5.6297E-2</v>
      </c>
      <c r="AW217" s="9" t="s">
        <v>806</v>
      </c>
    </row>
    <row r="218" spans="41:49">
      <c r="AO218" s="37" t="s">
        <v>814</v>
      </c>
      <c r="AP218" s="54" t="s">
        <v>450</v>
      </c>
      <c r="AQ218" s="54" t="s">
        <v>815</v>
      </c>
      <c r="AR218" s="54">
        <v>500</v>
      </c>
      <c r="AS218" s="9" t="s">
        <v>816</v>
      </c>
      <c r="AT218" s="9" t="s">
        <v>817</v>
      </c>
      <c r="AU218" s="9" t="s">
        <v>818</v>
      </c>
      <c r="AV218" s="9">
        <v>6.0668E-2</v>
      </c>
      <c r="AW218" s="9" t="s">
        <v>806</v>
      </c>
    </row>
    <row r="219" spans="41:49">
      <c r="AO219" s="37" t="s">
        <v>814</v>
      </c>
      <c r="AP219" s="54" t="s">
        <v>451</v>
      </c>
      <c r="AQ219" s="54" t="s">
        <v>815</v>
      </c>
      <c r="AR219" s="54">
        <v>500</v>
      </c>
      <c r="AS219" s="9" t="s">
        <v>816</v>
      </c>
      <c r="AT219" s="9" t="s">
        <v>817</v>
      </c>
      <c r="AU219" s="9" t="s">
        <v>818</v>
      </c>
      <c r="AV219" s="9">
        <v>6.0769999999999998E-2</v>
      </c>
      <c r="AW219" s="9" t="s">
        <v>806</v>
      </c>
    </row>
    <row r="220" spans="41:49">
      <c r="AO220" s="37" t="s">
        <v>808</v>
      </c>
      <c r="AP220" s="54" t="s">
        <v>837</v>
      </c>
      <c r="AQ220" s="54" t="s">
        <v>810</v>
      </c>
      <c r="AR220" s="54" t="s">
        <v>452</v>
      </c>
      <c r="AS220" s="9" t="s">
        <v>811</v>
      </c>
      <c r="AT220" s="9" t="s">
        <v>812</v>
      </c>
      <c r="AU220" s="9">
        <v>146</v>
      </c>
      <c r="AV220" s="9" t="s">
        <v>813</v>
      </c>
      <c r="AW220" s="9" t="s">
        <v>807</v>
      </c>
    </row>
    <row r="221" spans="41:49">
      <c r="AO221" s="37" t="s">
        <v>814</v>
      </c>
      <c r="AP221" s="54" t="s">
        <v>453</v>
      </c>
      <c r="AQ221" s="54" t="s">
        <v>815</v>
      </c>
      <c r="AR221" s="54">
        <v>500</v>
      </c>
      <c r="AS221" s="9" t="s">
        <v>816</v>
      </c>
      <c r="AT221" s="9" t="s">
        <v>817</v>
      </c>
      <c r="AU221" s="9" t="s">
        <v>818</v>
      </c>
      <c r="AV221" s="9">
        <v>5.3568999999999999E-2</v>
      </c>
      <c r="AW221" s="9" t="s">
        <v>806</v>
      </c>
    </row>
    <row r="222" spans="41:49">
      <c r="AO222" s="37" t="s">
        <v>814</v>
      </c>
      <c r="AP222" s="54" t="s">
        <v>454</v>
      </c>
      <c r="AQ222" s="54" t="s">
        <v>815</v>
      </c>
      <c r="AR222" s="54">
        <v>500</v>
      </c>
      <c r="AS222" s="9" t="s">
        <v>816</v>
      </c>
      <c r="AT222" s="9" t="s">
        <v>817</v>
      </c>
      <c r="AU222" s="9" t="s">
        <v>818</v>
      </c>
      <c r="AV222" s="9">
        <v>5.8972999999999998E-2</v>
      </c>
      <c r="AW222" s="9" t="s">
        <v>806</v>
      </c>
    </row>
    <row r="223" spans="41:49">
      <c r="AO223" s="37" t="s">
        <v>814</v>
      </c>
      <c r="AP223" s="54" t="s">
        <v>455</v>
      </c>
      <c r="AQ223" s="54" t="s">
        <v>815</v>
      </c>
      <c r="AR223" s="54">
        <v>500</v>
      </c>
      <c r="AS223" s="9" t="s">
        <v>816</v>
      </c>
      <c r="AT223" s="9" t="s">
        <v>817</v>
      </c>
      <c r="AU223" s="9" t="s">
        <v>818</v>
      </c>
      <c r="AV223" s="9">
        <v>5.4525999999999998E-2</v>
      </c>
      <c r="AW223" s="9" t="s">
        <v>806</v>
      </c>
    </row>
    <row r="224" spans="41:49">
      <c r="AO224" s="37" t="s">
        <v>814</v>
      </c>
      <c r="AP224" s="54" t="s">
        <v>456</v>
      </c>
      <c r="AQ224" s="54" t="s">
        <v>815</v>
      </c>
      <c r="AR224" s="54">
        <v>500</v>
      </c>
      <c r="AS224" s="9" t="s">
        <v>816</v>
      </c>
      <c r="AT224" s="9" t="s">
        <v>817</v>
      </c>
      <c r="AU224" s="9" t="s">
        <v>818</v>
      </c>
      <c r="AV224" s="9">
        <v>5.534E-2</v>
      </c>
      <c r="AW224" s="9" t="s">
        <v>806</v>
      </c>
    </row>
    <row r="225" spans="41:49">
      <c r="AO225" s="37" t="s">
        <v>814</v>
      </c>
      <c r="AP225" s="54" t="s">
        <v>458</v>
      </c>
      <c r="AQ225" s="54" t="s">
        <v>815</v>
      </c>
      <c r="AR225" s="54">
        <v>500</v>
      </c>
      <c r="AS225" s="9" t="s">
        <v>816</v>
      </c>
      <c r="AT225" s="9" t="s">
        <v>817</v>
      </c>
      <c r="AU225" s="9" t="s">
        <v>818</v>
      </c>
      <c r="AV225" s="9">
        <v>5.6232999999999998E-2</v>
      </c>
      <c r="AW225" s="9" t="s">
        <v>806</v>
      </c>
    </row>
    <row r="226" spans="41:49">
      <c r="AO226" s="37" t="s">
        <v>814</v>
      </c>
      <c r="AP226" s="54" t="s">
        <v>459</v>
      </c>
      <c r="AQ226" s="54" t="s">
        <v>815</v>
      </c>
      <c r="AR226" s="54">
        <v>500</v>
      </c>
      <c r="AS226" s="9" t="s">
        <v>816</v>
      </c>
      <c r="AT226" s="9" t="s">
        <v>817</v>
      </c>
      <c r="AU226" s="9" t="s">
        <v>818</v>
      </c>
      <c r="AV226" s="9">
        <v>5.3543E-2</v>
      </c>
      <c r="AW226" s="9" t="s">
        <v>806</v>
      </c>
    </row>
    <row r="227" spans="41:49">
      <c r="AO227" s="37" t="s">
        <v>814</v>
      </c>
      <c r="AP227" s="54" t="s">
        <v>460</v>
      </c>
      <c r="AQ227" s="54" t="s">
        <v>815</v>
      </c>
      <c r="AR227" s="54">
        <v>500</v>
      </c>
      <c r="AS227" s="9" t="s">
        <v>816</v>
      </c>
      <c r="AT227" s="9" t="s">
        <v>817</v>
      </c>
      <c r="AU227" s="9" t="s">
        <v>818</v>
      </c>
      <c r="AV227" s="9">
        <v>5.1757999999999998E-2</v>
      </c>
      <c r="AW227" s="9" t="s">
        <v>806</v>
      </c>
    </row>
    <row r="228" spans="41:49">
      <c r="AO228" s="37" t="s">
        <v>814</v>
      </c>
      <c r="AP228" s="54" t="s">
        <v>461</v>
      </c>
      <c r="AQ228" s="54" t="s">
        <v>815</v>
      </c>
      <c r="AR228" s="54">
        <v>500</v>
      </c>
      <c r="AS228" s="9" t="s">
        <v>816</v>
      </c>
      <c r="AT228" s="9" t="s">
        <v>817</v>
      </c>
      <c r="AU228" s="9" t="s">
        <v>818</v>
      </c>
      <c r="AV228" s="9">
        <v>6.2476999999999998E-2</v>
      </c>
      <c r="AW228" s="9" t="s">
        <v>806</v>
      </c>
    </row>
    <row r="229" spans="41:49">
      <c r="AO229" s="37" t="s">
        <v>808</v>
      </c>
      <c r="AP229" s="54" t="s">
        <v>462</v>
      </c>
      <c r="AQ229" s="54" t="s">
        <v>810</v>
      </c>
      <c r="AR229" s="54" t="s">
        <v>462</v>
      </c>
      <c r="AS229" s="9" t="s">
        <v>811</v>
      </c>
      <c r="AT229" s="9" t="s">
        <v>812</v>
      </c>
      <c r="AU229" s="9">
        <v>147</v>
      </c>
      <c r="AV229" s="9" t="s">
        <v>813</v>
      </c>
      <c r="AW229" s="9" t="s">
        <v>807</v>
      </c>
    </row>
    <row r="230" spans="41:49">
      <c r="AO230" s="37" t="s">
        <v>814</v>
      </c>
      <c r="AP230" s="54" t="s">
        <v>463</v>
      </c>
      <c r="AQ230" s="54" t="s">
        <v>815</v>
      </c>
      <c r="AR230" s="54">
        <v>500</v>
      </c>
      <c r="AS230" s="9" t="s">
        <v>816</v>
      </c>
      <c r="AT230" s="9" t="s">
        <v>817</v>
      </c>
      <c r="AU230" s="9" t="s">
        <v>818</v>
      </c>
      <c r="AV230" s="9">
        <v>5.8069000000000003E-2</v>
      </c>
      <c r="AW230" s="9" t="s">
        <v>806</v>
      </c>
    </row>
    <row r="231" spans="41:49">
      <c r="AO231" s="37" t="s">
        <v>808</v>
      </c>
      <c r="AP231" s="54" t="s">
        <v>464</v>
      </c>
      <c r="AQ231" s="54" t="s">
        <v>810</v>
      </c>
      <c r="AR231" s="54" t="s">
        <v>464</v>
      </c>
      <c r="AS231" s="9" t="s">
        <v>811</v>
      </c>
      <c r="AT231" s="9" t="s">
        <v>812</v>
      </c>
      <c r="AU231" s="9">
        <v>148</v>
      </c>
      <c r="AV231" s="9" t="s">
        <v>813</v>
      </c>
      <c r="AW231" s="9" t="s">
        <v>807</v>
      </c>
    </row>
    <row r="232" spans="41:49">
      <c r="AO232" s="37" t="s">
        <v>814</v>
      </c>
      <c r="AP232" s="54" t="s">
        <v>465</v>
      </c>
      <c r="AQ232" s="54" t="s">
        <v>815</v>
      </c>
      <c r="AR232" s="54">
        <v>500</v>
      </c>
      <c r="AS232" s="9" t="s">
        <v>816</v>
      </c>
      <c r="AT232" s="9" t="s">
        <v>817</v>
      </c>
      <c r="AU232" s="9" t="s">
        <v>818</v>
      </c>
      <c r="AV232" s="9">
        <v>5.8015999999999998E-2</v>
      </c>
      <c r="AW232" s="9" t="s">
        <v>806</v>
      </c>
    </row>
    <row r="233" spans="41:49">
      <c r="AO233" s="37" t="s">
        <v>808</v>
      </c>
      <c r="AP233" s="54" t="s">
        <v>466</v>
      </c>
      <c r="AQ233" s="54" t="s">
        <v>810</v>
      </c>
      <c r="AR233" s="54" t="s">
        <v>466</v>
      </c>
      <c r="AS233" s="9" t="s">
        <v>811</v>
      </c>
      <c r="AT233" s="9" t="s">
        <v>812</v>
      </c>
      <c r="AU233" s="9">
        <v>149</v>
      </c>
      <c r="AV233" s="9" t="s">
        <v>813</v>
      </c>
      <c r="AW233" s="9" t="s">
        <v>807</v>
      </c>
    </row>
    <row r="234" spans="41:49">
      <c r="AO234" s="37" t="s">
        <v>814</v>
      </c>
      <c r="AP234" s="54" t="s">
        <v>467</v>
      </c>
      <c r="AQ234" s="54" t="s">
        <v>815</v>
      </c>
      <c r="AR234" s="54">
        <v>500</v>
      </c>
      <c r="AS234" s="9" t="s">
        <v>816</v>
      </c>
      <c r="AT234" s="9" t="s">
        <v>817</v>
      </c>
      <c r="AU234" s="9" t="s">
        <v>818</v>
      </c>
      <c r="AV234" s="9">
        <v>6.0755000000000003E-2</v>
      </c>
      <c r="AW234" s="9" t="s">
        <v>806</v>
      </c>
    </row>
    <row r="235" spans="41:49">
      <c r="AO235" s="37" t="s">
        <v>814</v>
      </c>
      <c r="AP235" s="54" t="s">
        <v>468</v>
      </c>
      <c r="AQ235" s="54" t="s">
        <v>815</v>
      </c>
      <c r="AR235" s="54">
        <v>500</v>
      </c>
      <c r="AS235" s="9" t="s">
        <v>816</v>
      </c>
      <c r="AT235" s="9" t="s">
        <v>817</v>
      </c>
      <c r="AU235" s="9" t="s">
        <v>818</v>
      </c>
      <c r="AV235" s="9">
        <v>6.1595999999999998E-2</v>
      </c>
      <c r="AW235" s="9" t="s">
        <v>806</v>
      </c>
    </row>
    <row r="236" spans="41:49">
      <c r="AO236" s="37" t="s">
        <v>814</v>
      </c>
      <c r="AP236" s="54" t="s">
        <v>469</v>
      </c>
      <c r="AQ236" s="54" t="s">
        <v>815</v>
      </c>
      <c r="AR236" s="54">
        <v>500</v>
      </c>
      <c r="AS236" s="9" t="s">
        <v>816</v>
      </c>
      <c r="AT236" s="9" t="s">
        <v>817</v>
      </c>
      <c r="AU236" s="9" t="s">
        <v>818</v>
      </c>
      <c r="AV236" s="9">
        <v>5.0867000000000002E-2</v>
      </c>
      <c r="AW236" s="9" t="s">
        <v>806</v>
      </c>
    </row>
    <row r="237" spans="41:49">
      <c r="AO237" s="37" t="s">
        <v>814</v>
      </c>
      <c r="AP237" s="54" t="s">
        <v>470</v>
      </c>
      <c r="AQ237" s="54" t="s">
        <v>815</v>
      </c>
      <c r="AR237" s="54">
        <v>500</v>
      </c>
      <c r="AS237" s="9" t="s">
        <v>816</v>
      </c>
      <c r="AT237" s="9" t="s">
        <v>817</v>
      </c>
      <c r="AU237" s="9" t="s">
        <v>818</v>
      </c>
      <c r="AV237" s="9">
        <v>5.8042000000000003E-2</v>
      </c>
      <c r="AW237" s="9" t="s">
        <v>806</v>
      </c>
    </row>
    <row r="238" spans="41:49">
      <c r="AO238" s="37" t="s">
        <v>814</v>
      </c>
      <c r="AP238" s="54" t="s">
        <v>471</v>
      </c>
      <c r="AQ238" s="54" t="s">
        <v>815</v>
      </c>
      <c r="AR238" s="54">
        <v>500</v>
      </c>
      <c r="AS238" s="9" t="s">
        <v>816</v>
      </c>
      <c r="AT238" s="9" t="s">
        <v>817</v>
      </c>
      <c r="AU238" s="9" t="s">
        <v>818</v>
      </c>
      <c r="AV238" s="9">
        <v>6.0850000000000001E-2</v>
      </c>
      <c r="AW238" s="9" t="s">
        <v>806</v>
      </c>
    </row>
    <row r="239" spans="41:49">
      <c r="AO239" s="37" t="s">
        <v>814</v>
      </c>
      <c r="AP239" s="54" t="s">
        <v>472</v>
      </c>
      <c r="AQ239" s="54" t="s">
        <v>815</v>
      </c>
      <c r="AR239" s="54">
        <v>500</v>
      </c>
      <c r="AS239" s="9" t="s">
        <v>816</v>
      </c>
      <c r="AT239" s="9" t="s">
        <v>817</v>
      </c>
      <c r="AU239" s="9" t="s">
        <v>818</v>
      </c>
      <c r="AV239" s="9">
        <v>6.4291000000000001E-2</v>
      </c>
      <c r="AW239" s="9" t="s">
        <v>806</v>
      </c>
    </row>
    <row r="240" spans="41:49">
      <c r="AO240" s="37" t="s">
        <v>808</v>
      </c>
      <c r="AP240" s="54" t="s">
        <v>473</v>
      </c>
      <c r="AQ240" s="54" t="s">
        <v>810</v>
      </c>
      <c r="AR240" s="54" t="s">
        <v>474</v>
      </c>
      <c r="AS240" s="9" t="s">
        <v>811</v>
      </c>
      <c r="AT240" s="9" t="s">
        <v>812</v>
      </c>
      <c r="AU240" s="9">
        <v>151</v>
      </c>
      <c r="AV240" s="9" t="s">
        <v>813</v>
      </c>
      <c r="AW240" s="9" t="s">
        <v>807</v>
      </c>
    </row>
    <row r="241" spans="41:49">
      <c r="AO241" s="37" t="s">
        <v>814</v>
      </c>
      <c r="AP241" s="54" t="s">
        <v>475</v>
      </c>
      <c r="AQ241" s="54" t="s">
        <v>815</v>
      </c>
      <c r="AR241" s="54">
        <v>500</v>
      </c>
      <c r="AS241" s="9" t="s">
        <v>816</v>
      </c>
      <c r="AT241" s="9" t="s">
        <v>817</v>
      </c>
      <c r="AU241" s="9" t="s">
        <v>818</v>
      </c>
      <c r="AV241" s="9">
        <v>5.4461000000000002E-2</v>
      </c>
      <c r="AW241" s="9" t="s">
        <v>806</v>
      </c>
    </row>
    <row r="242" spans="41:49">
      <c r="AO242" s="37" t="s">
        <v>814</v>
      </c>
      <c r="AP242" s="54" t="s">
        <v>476</v>
      </c>
      <c r="AQ242" s="54" t="s">
        <v>815</v>
      </c>
      <c r="AR242" s="54">
        <v>500</v>
      </c>
      <c r="AS242" s="9" t="s">
        <v>816</v>
      </c>
      <c r="AT242" s="9" t="s">
        <v>817</v>
      </c>
      <c r="AU242" s="9" t="s">
        <v>818</v>
      </c>
      <c r="AV242" s="9">
        <v>6.3472000000000001E-2</v>
      </c>
      <c r="AW242" s="9" t="s">
        <v>806</v>
      </c>
    </row>
    <row r="243" spans="41:49">
      <c r="AO243" s="37" t="s">
        <v>808</v>
      </c>
      <c r="AP243" s="54" t="s">
        <v>477</v>
      </c>
      <c r="AQ243" s="54" t="s">
        <v>810</v>
      </c>
      <c r="AR243" s="54" t="s">
        <v>479</v>
      </c>
      <c r="AS243" s="9" t="s">
        <v>811</v>
      </c>
      <c r="AT243" s="9" t="s">
        <v>812</v>
      </c>
      <c r="AU243" s="9">
        <v>154</v>
      </c>
      <c r="AV243" s="9" t="s">
        <v>813</v>
      </c>
      <c r="AW243" s="9" t="s">
        <v>807</v>
      </c>
    </row>
    <row r="244" spans="41:49">
      <c r="AO244" s="37" t="s">
        <v>814</v>
      </c>
      <c r="AP244" s="54" t="s">
        <v>480</v>
      </c>
      <c r="AQ244" s="54" t="s">
        <v>815</v>
      </c>
      <c r="AR244" s="54">
        <v>500</v>
      </c>
      <c r="AS244" s="9" t="s">
        <v>816</v>
      </c>
      <c r="AT244" s="9" t="s">
        <v>817</v>
      </c>
      <c r="AU244" s="9" t="s">
        <v>818</v>
      </c>
      <c r="AV244" s="9">
        <v>5.8029999999999998E-2</v>
      </c>
      <c r="AW244" s="9" t="s">
        <v>806</v>
      </c>
    </row>
    <row r="245" spans="41:49">
      <c r="AO245" s="37" t="s">
        <v>814</v>
      </c>
      <c r="AP245" s="54" t="s">
        <v>481</v>
      </c>
      <c r="AQ245" s="54" t="s">
        <v>815</v>
      </c>
      <c r="AR245" s="54">
        <v>500</v>
      </c>
      <c r="AS245" s="9" t="s">
        <v>816</v>
      </c>
      <c r="AT245" s="9" t="s">
        <v>817</v>
      </c>
      <c r="AU245" s="9" t="s">
        <v>818</v>
      </c>
      <c r="AV245" s="9">
        <v>5.9825999999999997E-2</v>
      </c>
      <c r="AW245" s="9" t="s">
        <v>806</v>
      </c>
    </row>
    <row r="246" spans="41:49">
      <c r="AO246" s="37" t="s">
        <v>808</v>
      </c>
      <c r="AP246" s="54" t="s">
        <v>482</v>
      </c>
      <c r="AQ246" s="54" t="s">
        <v>810</v>
      </c>
      <c r="AR246" s="54" t="s">
        <v>482</v>
      </c>
      <c r="AS246" s="9" t="s">
        <v>811</v>
      </c>
      <c r="AT246" s="9" t="s">
        <v>812</v>
      </c>
      <c r="AU246" s="9">
        <v>155</v>
      </c>
      <c r="AV246" s="9" t="s">
        <v>813</v>
      </c>
      <c r="AW246" s="9" t="s">
        <v>807</v>
      </c>
    </row>
    <row r="247" spans="41:49">
      <c r="AO247" s="37" t="s">
        <v>814</v>
      </c>
      <c r="AP247" s="54" t="s">
        <v>483</v>
      </c>
      <c r="AQ247" s="54" t="s">
        <v>815</v>
      </c>
      <c r="AR247" s="54">
        <v>500</v>
      </c>
      <c r="AS247" s="9" t="s">
        <v>816</v>
      </c>
      <c r="AT247" s="9" t="s">
        <v>817</v>
      </c>
      <c r="AU247" s="9" t="s">
        <v>818</v>
      </c>
      <c r="AV247" s="9">
        <v>5.7149999999999999E-2</v>
      </c>
      <c r="AW247" s="9" t="s">
        <v>806</v>
      </c>
    </row>
  </sheetData>
  <mergeCells count="5">
    <mergeCell ref="AN35:AQ35"/>
    <mergeCell ref="A1:M1"/>
    <mergeCell ref="T1:AJ1"/>
    <mergeCell ref="AS1:BM1"/>
    <mergeCell ref="AN1:AQ1"/>
  </mergeCells>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dimension ref="A1:DA293"/>
  <sheetViews>
    <sheetView workbookViewId="0">
      <selection activeCell="D10" sqref="D10"/>
    </sheetView>
  </sheetViews>
  <sheetFormatPr defaultColWidth="15.7109375" defaultRowHeight="15"/>
  <cols>
    <col min="1" max="1" width="5.7109375" style="10" customWidth="1"/>
    <col min="2" max="8" width="15.7109375" style="10"/>
    <col min="9" max="9" width="21.28515625" style="10" customWidth="1"/>
    <col min="10" max="12" width="15.7109375" style="10"/>
    <col min="13" max="13" width="15.7109375" style="10" customWidth="1"/>
    <col min="14" max="16384" width="15.7109375" style="10"/>
  </cols>
  <sheetData>
    <row r="1" spans="1:105" s="46" customFormat="1" ht="30.75" customHeight="1">
      <c r="A1" s="80" t="s">
        <v>1506</v>
      </c>
      <c r="B1" s="80"/>
      <c r="C1" s="80"/>
      <c r="D1" s="80"/>
      <c r="E1" s="80"/>
      <c r="F1" s="80"/>
      <c r="G1" s="80"/>
      <c r="H1" s="80"/>
      <c r="I1" s="80"/>
      <c r="J1" s="80"/>
      <c r="K1" s="80"/>
      <c r="L1" s="80"/>
      <c r="M1" s="80"/>
      <c r="N1"/>
      <c r="O1"/>
      <c r="P1"/>
      <c r="Q1"/>
      <c r="R1"/>
      <c r="S1"/>
      <c r="T1" s="81" t="s">
        <v>144</v>
      </c>
      <c r="U1" s="82"/>
      <c r="V1" s="82"/>
      <c r="W1" s="82"/>
      <c r="X1" s="82"/>
      <c r="Y1" s="82"/>
      <c r="Z1" s="82"/>
      <c r="AA1" s="82"/>
      <c r="AB1" s="82"/>
      <c r="AC1" s="82"/>
      <c r="AD1" s="82"/>
      <c r="AE1" s="82"/>
      <c r="AF1" s="82"/>
      <c r="AG1" s="82"/>
      <c r="AH1" s="82"/>
      <c r="AI1" s="82"/>
      <c r="AJ1" s="82"/>
      <c r="AK1" s="42"/>
      <c r="AL1" s="42"/>
      <c r="AM1" s="42"/>
      <c r="AN1" s="42"/>
      <c r="AO1" s="42"/>
      <c r="AP1" s="42"/>
      <c r="AQ1" s="42"/>
      <c r="AR1" s="42"/>
      <c r="AS1" s="42"/>
      <c r="AT1" s="42"/>
      <c r="AU1" s="42"/>
      <c r="AV1" s="42"/>
      <c r="AW1" s="42"/>
      <c r="AX1" s="42"/>
      <c r="AY1" s="42"/>
      <c r="AZ1" s="42"/>
      <c r="BA1" s="42"/>
      <c r="BB1" s="42"/>
      <c r="BC1" s="42"/>
      <c r="BD1" s="42"/>
      <c r="BE1" s="42"/>
      <c r="BF1" s="42"/>
      <c r="BH1" s="83" t="s">
        <v>505</v>
      </c>
      <c r="BI1" s="83"/>
      <c r="BJ1" s="83"/>
      <c r="BK1" s="83"/>
      <c r="BM1" s="81" t="s">
        <v>517</v>
      </c>
      <c r="BN1" s="82"/>
      <c r="BO1" s="82"/>
      <c r="BP1" s="82"/>
      <c r="BQ1" s="82"/>
      <c r="BR1" s="82"/>
      <c r="BS1" s="82"/>
      <c r="BT1" s="82"/>
      <c r="BU1" s="82"/>
      <c r="BV1" s="82"/>
      <c r="BW1" s="82"/>
      <c r="BX1" s="82"/>
      <c r="BY1" s="82"/>
      <c r="BZ1" s="82"/>
      <c r="CA1" s="82"/>
      <c r="CB1" s="82"/>
      <c r="CC1" s="82"/>
      <c r="CD1" s="82"/>
      <c r="CE1" s="82"/>
      <c r="CF1" s="82"/>
      <c r="CG1" s="82"/>
      <c r="CH1" s="91"/>
      <c r="CI1" s="92"/>
      <c r="CJ1" s="92"/>
      <c r="CK1" s="92"/>
      <c r="CL1" s="92"/>
      <c r="CM1" s="92"/>
      <c r="CN1" s="92"/>
      <c r="CO1" s="92"/>
      <c r="CP1" s="92"/>
      <c r="CQ1" s="92"/>
      <c r="CR1" s="92"/>
      <c r="CS1" s="92"/>
      <c r="CT1" s="92"/>
      <c r="CU1" s="92"/>
      <c r="CV1" s="92"/>
      <c r="CW1" s="92"/>
      <c r="CX1" s="92"/>
      <c r="CY1" s="92"/>
      <c r="CZ1" s="92"/>
      <c r="DA1" s="93"/>
    </row>
    <row r="2" spans="1:105" ht="30">
      <c r="A2" s="6" t="s">
        <v>135</v>
      </c>
      <c r="B2" s="7" t="s">
        <v>137</v>
      </c>
      <c r="C2" s="7" t="s">
        <v>151</v>
      </c>
      <c r="D2" s="6" t="s">
        <v>136</v>
      </c>
      <c r="E2" s="7" t="s">
        <v>138</v>
      </c>
      <c r="F2" s="6" t="s">
        <v>139</v>
      </c>
      <c r="G2" s="6" t="s">
        <v>158</v>
      </c>
      <c r="H2" s="7" t="s">
        <v>154</v>
      </c>
      <c r="I2" s="6" t="s">
        <v>153</v>
      </c>
      <c r="J2" s="6" t="s">
        <v>155</v>
      </c>
      <c r="K2" s="7" t="s">
        <v>156</v>
      </c>
      <c r="L2" s="6" t="s">
        <v>157</v>
      </c>
      <c r="M2" s="6" t="s">
        <v>159</v>
      </c>
      <c r="N2" s="7" t="s">
        <v>882</v>
      </c>
      <c r="O2" s="7" t="s">
        <v>152</v>
      </c>
      <c r="P2" s="7" t="s">
        <v>160</v>
      </c>
      <c r="Q2" s="7" t="s">
        <v>161</v>
      </c>
      <c r="R2" s="7" t="s">
        <v>162</v>
      </c>
      <c r="S2" s="21"/>
      <c r="T2" s="44" t="s">
        <v>140</v>
      </c>
      <c r="U2" s="44" t="s">
        <v>141</v>
      </c>
      <c r="V2" s="44" t="s">
        <v>142</v>
      </c>
      <c r="W2" s="44" t="s">
        <v>143</v>
      </c>
      <c r="X2" s="44" t="s">
        <v>145</v>
      </c>
      <c r="Y2" s="44" t="s">
        <v>146</v>
      </c>
      <c r="Z2" s="44" t="s">
        <v>147</v>
      </c>
      <c r="AA2" s="44" t="s">
        <v>148</v>
      </c>
      <c r="AB2" s="44" t="s">
        <v>149</v>
      </c>
      <c r="AC2" s="44" t="s">
        <v>786</v>
      </c>
      <c r="AD2" s="44" t="s">
        <v>787</v>
      </c>
      <c r="AE2" s="44" t="s">
        <v>788</v>
      </c>
      <c r="AF2" s="44" t="s">
        <v>789</v>
      </c>
      <c r="AG2" s="44" t="s">
        <v>790</v>
      </c>
      <c r="AH2" s="44" t="s">
        <v>791</v>
      </c>
      <c r="AI2" s="44" t="s">
        <v>792</v>
      </c>
      <c r="AJ2" s="44" t="s">
        <v>793</v>
      </c>
      <c r="AK2" s="44" t="s">
        <v>794</v>
      </c>
      <c r="AL2" s="44" t="s">
        <v>795</v>
      </c>
      <c r="AM2" s="49" t="s">
        <v>842</v>
      </c>
      <c r="AN2" s="49" t="s">
        <v>843</v>
      </c>
      <c r="AO2" s="49" t="s">
        <v>844</v>
      </c>
      <c r="AP2" s="49" t="s">
        <v>845</v>
      </c>
      <c r="AQ2" s="49" t="s">
        <v>846</v>
      </c>
      <c r="AR2" s="49" t="s">
        <v>847</v>
      </c>
      <c r="AS2" s="49" t="s">
        <v>848</v>
      </c>
      <c r="AT2" s="49" t="s">
        <v>849</v>
      </c>
      <c r="AU2" s="49" t="s">
        <v>850</v>
      </c>
      <c r="AV2" s="49" t="s">
        <v>851</v>
      </c>
      <c r="AW2" s="49" t="s">
        <v>852</v>
      </c>
      <c r="AX2" s="49" t="s">
        <v>853</v>
      </c>
      <c r="AY2" s="49" t="s">
        <v>854</v>
      </c>
      <c r="AZ2" s="49" t="s">
        <v>855</v>
      </c>
      <c r="BA2" s="49" t="s">
        <v>856</v>
      </c>
      <c r="BB2" s="49" t="s">
        <v>857</v>
      </c>
      <c r="BC2" s="49" t="s">
        <v>858</v>
      </c>
      <c r="BD2" s="49" t="s">
        <v>859</v>
      </c>
      <c r="BE2" s="49" t="s">
        <v>860</v>
      </c>
      <c r="BF2" s="49" t="s">
        <v>861</v>
      </c>
      <c r="BG2" s="46"/>
      <c r="BH2" s="45" t="s">
        <v>838</v>
      </c>
      <c r="BI2" s="45" t="s">
        <v>839</v>
      </c>
      <c r="BJ2" s="45" t="s">
        <v>486</v>
      </c>
      <c r="BK2" s="50" t="s">
        <v>886</v>
      </c>
      <c r="BM2" s="45" t="s">
        <v>515</v>
      </c>
      <c r="BN2" s="45" t="s">
        <v>516</v>
      </c>
      <c r="BO2" s="44" t="s">
        <v>549</v>
      </c>
      <c r="BP2" s="44" t="s">
        <v>550</v>
      </c>
      <c r="BQ2" s="44" t="s">
        <v>551</v>
      </c>
      <c r="BR2" s="44" t="s">
        <v>552</v>
      </c>
      <c r="BS2" s="44" t="s">
        <v>553</v>
      </c>
      <c r="BT2" s="44" t="s">
        <v>554</v>
      </c>
      <c r="BU2" s="44" t="s">
        <v>555</v>
      </c>
      <c r="BV2" s="44" t="s">
        <v>556</v>
      </c>
      <c r="BW2" s="44" t="s">
        <v>557</v>
      </c>
      <c r="BX2" s="44" t="s">
        <v>796</v>
      </c>
      <c r="BY2" s="44" t="s">
        <v>797</v>
      </c>
      <c r="BZ2" s="44" t="s">
        <v>798</v>
      </c>
      <c r="CA2" s="44" t="s">
        <v>799</v>
      </c>
      <c r="CB2" s="44" t="s">
        <v>800</v>
      </c>
      <c r="CC2" s="44" t="s">
        <v>801</v>
      </c>
      <c r="CD2" s="44" t="s">
        <v>802</v>
      </c>
      <c r="CE2" s="44" t="s">
        <v>803</v>
      </c>
      <c r="CF2" s="44" t="s">
        <v>804</v>
      </c>
      <c r="CG2" s="44" t="s">
        <v>805</v>
      </c>
      <c r="CH2" s="49" t="s">
        <v>862</v>
      </c>
      <c r="CI2" s="49" t="s">
        <v>863</v>
      </c>
      <c r="CJ2" s="49" t="s">
        <v>864</v>
      </c>
      <c r="CK2" s="49" t="s">
        <v>865</v>
      </c>
      <c r="CL2" s="49" t="s">
        <v>866</v>
      </c>
      <c r="CM2" s="49" t="s">
        <v>867</v>
      </c>
      <c r="CN2" s="49" t="s">
        <v>868</v>
      </c>
      <c r="CO2" s="49" t="s">
        <v>869</v>
      </c>
      <c r="CP2" s="49" t="s">
        <v>870</v>
      </c>
      <c r="CQ2" s="49" t="s">
        <v>871</v>
      </c>
      <c r="CR2" s="49" t="s">
        <v>872</v>
      </c>
      <c r="CS2" s="49" t="s">
        <v>873</v>
      </c>
      <c r="CT2" s="49" t="s">
        <v>874</v>
      </c>
      <c r="CU2" s="49" t="s">
        <v>875</v>
      </c>
      <c r="CV2" s="49" t="s">
        <v>876</v>
      </c>
      <c r="CW2" s="49" t="s">
        <v>877</v>
      </c>
      <c r="CX2" s="49" t="s">
        <v>878</v>
      </c>
      <c r="CY2" s="49" t="s">
        <v>879</v>
      </c>
      <c r="CZ2" s="49" t="s">
        <v>880</v>
      </c>
      <c r="DA2" s="49" t="s">
        <v>881</v>
      </c>
    </row>
    <row r="3" spans="1:105">
      <c r="A3" s="46">
        <v>1</v>
      </c>
      <c r="B3" s="13">
        <v>10</v>
      </c>
      <c r="C3" s="13">
        <v>0</v>
      </c>
      <c r="D3" s="11">
        <v>0</v>
      </c>
      <c r="E3" s="13">
        <v>0</v>
      </c>
      <c r="F3" s="9">
        <v>0</v>
      </c>
      <c r="G3" s="9">
        <f>(F3+D3)/2</f>
        <v>0</v>
      </c>
      <c r="H3" s="13">
        <v>10</v>
      </c>
      <c r="I3" s="9">
        <v>0</v>
      </c>
      <c r="J3" s="48">
        <f>I3/H3*100</f>
        <v>0</v>
      </c>
      <c r="K3" s="53">
        <v>0</v>
      </c>
      <c r="L3" s="30">
        <v>0</v>
      </c>
      <c r="M3" s="30">
        <f>(L3+J3)/2</f>
        <v>0</v>
      </c>
      <c r="N3" s="48">
        <f>SUM(BM3:DA3)</f>
        <v>0</v>
      </c>
      <c r="O3" s="51">
        <v>0</v>
      </c>
      <c r="P3" s="51">
        <v>0</v>
      </c>
      <c r="Q3" s="51">
        <v>0</v>
      </c>
      <c r="R3" s="51">
        <v>0</v>
      </c>
      <c r="T3" s="13">
        <v>0</v>
      </c>
      <c r="U3" s="13">
        <v>0</v>
      </c>
      <c r="V3" s="13">
        <v>0</v>
      </c>
      <c r="W3" s="13">
        <v>0</v>
      </c>
      <c r="X3" s="13">
        <v>0</v>
      </c>
      <c r="Y3" s="13">
        <v>0</v>
      </c>
      <c r="Z3" s="13">
        <v>0</v>
      </c>
      <c r="AA3" s="13">
        <v>0</v>
      </c>
      <c r="AB3" s="13">
        <v>0</v>
      </c>
      <c r="AC3" s="13">
        <v>0</v>
      </c>
      <c r="AD3" s="13">
        <v>0</v>
      </c>
      <c r="AE3" s="13">
        <v>0</v>
      </c>
      <c r="AF3" s="13">
        <v>0</v>
      </c>
      <c r="AG3" s="13">
        <v>0</v>
      </c>
      <c r="AH3" s="13">
        <v>0</v>
      </c>
      <c r="AI3" s="13">
        <v>0</v>
      </c>
      <c r="AJ3" s="13">
        <v>0</v>
      </c>
      <c r="AK3" s="13">
        <v>0</v>
      </c>
      <c r="AL3" s="13">
        <v>0</v>
      </c>
      <c r="AM3" s="13">
        <v>0</v>
      </c>
      <c r="AN3" s="13">
        <v>0</v>
      </c>
      <c r="AO3" s="13">
        <v>0</v>
      </c>
      <c r="AP3" s="13">
        <v>0</v>
      </c>
      <c r="AQ3" s="13">
        <v>0</v>
      </c>
      <c r="AR3" s="13">
        <v>0</v>
      </c>
      <c r="AS3" s="13">
        <v>0</v>
      </c>
      <c r="AT3" s="13">
        <v>0</v>
      </c>
      <c r="AU3" s="13">
        <v>0</v>
      </c>
      <c r="AV3" s="13">
        <v>0</v>
      </c>
      <c r="AW3" s="13">
        <v>0</v>
      </c>
      <c r="AX3" s="13">
        <v>0</v>
      </c>
      <c r="AY3" s="13">
        <v>0</v>
      </c>
      <c r="AZ3" s="13">
        <v>0</v>
      </c>
      <c r="BA3" s="13">
        <v>0</v>
      </c>
      <c r="BB3" s="13">
        <v>0</v>
      </c>
      <c r="BC3" s="13">
        <v>0</v>
      </c>
      <c r="BD3" s="13">
        <v>0</v>
      </c>
      <c r="BE3" s="13">
        <v>0</v>
      </c>
      <c r="BF3" s="13">
        <v>0</v>
      </c>
      <c r="BH3" s="36" t="s">
        <v>518</v>
      </c>
      <c r="BI3" s="48">
        <v>500</v>
      </c>
      <c r="BJ3" s="52">
        <v>0</v>
      </c>
      <c r="BK3" s="48">
        <v>10</v>
      </c>
      <c r="BM3" s="48">
        <v>0</v>
      </c>
      <c r="BN3" s="48">
        <v>0</v>
      </c>
      <c r="BO3" s="48">
        <v>0</v>
      </c>
      <c r="BP3" s="48">
        <v>0</v>
      </c>
      <c r="BQ3" s="48">
        <v>0</v>
      </c>
      <c r="BR3" s="48">
        <v>0</v>
      </c>
      <c r="BS3" s="48">
        <v>0</v>
      </c>
      <c r="BT3" s="48">
        <v>0</v>
      </c>
      <c r="BU3" s="48">
        <v>0</v>
      </c>
      <c r="BV3" s="48">
        <v>0</v>
      </c>
      <c r="BW3" s="48">
        <v>0</v>
      </c>
      <c r="BX3" s="48">
        <v>0</v>
      </c>
      <c r="BY3" s="48">
        <v>0</v>
      </c>
      <c r="BZ3" s="48">
        <v>0</v>
      </c>
      <c r="CA3" s="48">
        <v>0</v>
      </c>
      <c r="CB3" s="48">
        <v>0</v>
      </c>
      <c r="CC3" s="48">
        <v>0</v>
      </c>
      <c r="CD3" s="48">
        <v>0</v>
      </c>
      <c r="CE3" s="48">
        <v>0</v>
      </c>
      <c r="CF3" s="48">
        <v>0</v>
      </c>
      <c r="CG3" s="48">
        <v>0</v>
      </c>
      <c r="CH3" s="48">
        <v>0</v>
      </c>
      <c r="CI3" s="48">
        <v>0</v>
      </c>
      <c r="CJ3" s="48">
        <v>0</v>
      </c>
      <c r="CK3" s="48">
        <v>0</v>
      </c>
      <c r="CL3" s="48">
        <v>0</v>
      </c>
      <c r="CM3" s="48">
        <v>0</v>
      </c>
      <c r="CN3" s="48">
        <v>0</v>
      </c>
      <c r="CO3" s="48">
        <v>0</v>
      </c>
      <c r="CP3" s="48">
        <v>0</v>
      </c>
      <c r="CQ3" s="48">
        <v>0</v>
      </c>
      <c r="CR3" s="48">
        <v>0</v>
      </c>
      <c r="CS3" s="48">
        <v>0</v>
      </c>
      <c r="CT3" s="48">
        <v>0</v>
      </c>
      <c r="CU3" s="48">
        <v>0</v>
      </c>
      <c r="CV3" s="48">
        <v>0</v>
      </c>
      <c r="CW3" s="48">
        <v>0</v>
      </c>
      <c r="CX3" s="48">
        <v>0</v>
      </c>
      <c r="CY3" s="48">
        <v>0</v>
      </c>
      <c r="CZ3" s="48">
        <v>0</v>
      </c>
      <c r="DA3" s="48">
        <v>0</v>
      </c>
    </row>
    <row r="4" spans="1:105">
      <c r="A4" s="46">
        <v>2</v>
      </c>
      <c r="B4" s="13">
        <v>10</v>
      </c>
      <c r="C4" s="13">
        <v>9</v>
      </c>
      <c r="D4" s="13">
        <f>C4/B4*100</f>
        <v>90</v>
      </c>
      <c r="E4" s="13">
        <v>5</v>
      </c>
      <c r="F4" s="30">
        <f>E4/C4*100</f>
        <v>55.555555555555557</v>
      </c>
      <c r="G4" s="11">
        <f t="shared" ref="G4:G32" si="0">(F4+D4)/2</f>
        <v>72.777777777777771</v>
      </c>
      <c r="H4" s="13">
        <v>10</v>
      </c>
      <c r="I4" s="9">
        <v>9</v>
      </c>
      <c r="J4" s="48">
        <f t="shared" ref="J4:J32" si="1">I4/H4*100</f>
        <v>90</v>
      </c>
      <c r="K4" s="30">
        <v>3.0512820512820511</v>
      </c>
      <c r="L4" s="30">
        <f>K4/I4*100</f>
        <v>33.903133903133906</v>
      </c>
      <c r="M4" s="30">
        <f t="shared" ref="M4:M32" si="2">(L4+J4)/2</f>
        <v>61.951566951566953</v>
      </c>
      <c r="N4" s="48">
        <f t="shared" ref="N4:N32" si="3">SUM(BM4:DA4)</f>
        <v>3156.8399999999988</v>
      </c>
      <c r="O4" s="56">
        <v>-65.255852500000003</v>
      </c>
      <c r="P4" s="43">
        <v>38.923176599999998</v>
      </c>
      <c r="Q4" s="56">
        <v>-61.661929111111107</v>
      </c>
      <c r="R4" s="56">
        <v>42.565488199999997</v>
      </c>
      <c r="T4" s="13">
        <v>2.9750000000000001</v>
      </c>
      <c r="U4" s="13">
        <v>3.0249999999999999</v>
      </c>
      <c r="V4" s="13">
        <v>3.05</v>
      </c>
      <c r="W4" s="13">
        <v>3</v>
      </c>
      <c r="X4" s="13">
        <v>2.65</v>
      </c>
      <c r="Y4" s="13">
        <v>2.95</v>
      </c>
      <c r="Z4" s="13">
        <v>2.85</v>
      </c>
      <c r="AA4" s="13">
        <v>2.95</v>
      </c>
      <c r="AB4" s="13">
        <v>3.05</v>
      </c>
      <c r="AC4" s="13">
        <v>2.9750000000000001</v>
      </c>
      <c r="AD4" s="13">
        <v>3.4</v>
      </c>
      <c r="AE4" s="13">
        <v>3.3</v>
      </c>
      <c r="AF4" s="13">
        <v>3.1</v>
      </c>
      <c r="AG4" s="13">
        <v>3.5750000000000002</v>
      </c>
      <c r="AH4" s="13">
        <v>3.6</v>
      </c>
      <c r="AI4" s="13">
        <v>3.2</v>
      </c>
      <c r="AJ4" s="13">
        <v>3.7250000000000001</v>
      </c>
      <c r="AK4" s="13">
        <v>3.375</v>
      </c>
      <c r="AL4" s="13">
        <v>3.55</v>
      </c>
      <c r="AM4" s="13">
        <v>2.9249999999999998</v>
      </c>
      <c r="AN4" s="13">
        <v>3.15</v>
      </c>
      <c r="AO4" s="13">
        <v>3.125</v>
      </c>
      <c r="AP4" s="13">
        <v>3.25</v>
      </c>
      <c r="AQ4" s="13">
        <v>3.35</v>
      </c>
      <c r="AR4" s="13">
        <v>3.2250000000000001</v>
      </c>
      <c r="AS4" s="13">
        <v>3.4249999999999998</v>
      </c>
      <c r="AT4" s="13">
        <v>3.25</v>
      </c>
      <c r="AU4" s="13">
        <v>3.4</v>
      </c>
      <c r="AV4" s="13">
        <v>3.2250000000000001</v>
      </c>
      <c r="AW4" s="13">
        <v>3.4</v>
      </c>
      <c r="AX4" s="13">
        <v>3.2749999999999999</v>
      </c>
      <c r="AY4" s="13">
        <v>3.5249999999999999</v>
      </c>
      <c r="AZ4" s="13">
        <v>3.55</v>
      </c>
      <c r="BA4" s="13">
        <v>3.3250000000000002</v>
      </c>
      <c r="BB4" s="13">
        <v>3.4750000000000001</v>
      </c>
      <c r="BC4" s="13">
        <v>3.3</v>
      </c>
      <c r="BD4" s="13">
        <v>3.4249999999999998</v>
      </c>
      <c r="BE4" s="13">
        <v>3.4</v>
      </c>
      <c r="BF4" s="13">
        <v>3.3250000000000002</v>
      </c>
      <c r="BH4" s="36" t="s">
        <v>519</v>
      </c>
      <c r="BI4" s="48">
        <v>500</v>
      </c>
      <c r="BJ4" s="52">
        <v>6.4244400000000007E-2</v>
      </c>
      <c r="BK4" s="13">
        <f>10-E4</f>
        <v>5</v>
      </c>
      <c r="BM4" s="48">
        <v>72.792000000000002</v>
      </c>
      <c r="BN4" s="48">
        <v>71.646000000000001</v>
      </c>
      <c r="BO4" s="48">
        <v>71.231999999999999</v>
      </c>
      <c r="BP4" s="48">
        <v>72.804000000000002</v>
      </c>
      <c r="BQ4" s="48">
        <v>73.373999999999995</v>
      </c>
      <c r="BR4" s="48">
        <v>71.802000000000007</v>
      </c>
      <c r="BS4" s="48">
        <v>63.683999999999997</v>
      </c>
      <c r="BT4" s="48">
        <v>71.093999999999994</v>
      </c>
      <c r="BU4" s="48">
        <v>69.245999999999995</v>
      </c>
      <c r="BV4" s="48">
        <v>71.525999999999996</v>
      </c>
      <c r="BW4" s="48">
        <v>73.805999999999997</v>
      </c>
      <c r="BX4" s="48">
        <v>71.664000000000001</v>
      </c>
      <c r="BY4" s="48">
        <v>81.353999999999999</v>
      </c>
      <c r="BZ4" s="48">
        <v>79.073999999999998</v>
      </c>
      <c r="CA4" s="48">
        <v>74.376000000000005</v>
      </c>
      <c r="CB4" s="48">
        <v>85.343999999999994</v>
      </c>
      <c r="CC4" s="48">
        <v>86.346000000000004</v>
      </c>
      <c r="CD4" s="48">
        <v>76.656000000000006</v>
      </c>
      <c r="CE4" s="48">
        <v>88.763999999999996</v>
      </c>
      <c r="CF4" s="48">
        <v>80.784000000000006</v>
      </c>
      <c r="CG4" s="48">
        <v>84.774000000000001</v>
      </c>
      <c r="CH4" s="48">
        <v>70.524000000000001</v>
      </c>
      <c r="CI4" s="48">
        <v>74.790000000000006</v>
      </c>
      <c r="CJ4" s="48">
        <v>74.22</v>
      </c>
      <c r="CK4" s="48">
        <v>77.501999999999995</v>
      </c>
      <c r="CL4" s="48">
        <v>79.781999999999996</v>
      </c>
      <c r="CM4" s="48">
        <v>76.932000000000002</v>
      </c>
      <c r="CN4" s="48">
        <v>80.628</v>
      </c>
      <c r="CO4" s="48">
        <v>76.206000000000003</v>
      </c>
      <c r="CP4" s="48">
        <v>80.489999999999995</v>
      </c>
      <c r="CQ4" s="48">
        <v>76.932000000000002</v>
      </c>
      <c r="CR4" s="48">
        <v>80.489999999999995</v>
      </c>
      <c r="CS4" s="48">
        <v>76.775999999999996</v>
      </c>
      <c r="CT4" s="48">
        <v>82.908000000000001</v>
      </c>
      <c r="CU4" s="48">
        <v>83.046000000000006</v>
      </c>
      <c r="CV4" s="48">
        <v>77.915999999999997</v>
      </c>
      <c r="CW4" s="48">
        <v>81.335999999999999</v>
      </c>
      <c r="CX4" s="48">
        <v>76.481999999999999</v>
      </c>
      <c r="CY4" s="48">
        <v>80.195999999999998</v>
      </c>
      <c r="CZ4" s="48">
        <v>79.626000000000005</v>
      </c>
      <c r="DA4" s="48">
        <v>77.915999999999997</v>
      </c>
    </row>
    <row r="5" spans="1:105">
      <c r="A5" s="46">
        <v>3</v>
      </c>
      <c r="B5" s="13">
        <v>10</v>
      </c>
      <c r="C5" s="13">
        <v>10</v>
      </c>
      <c r="D5" s="13">
        <f t="shared" ref="D5:D32" si="4">C5/B5*100</f>
        <v>100</v>
      </c>
      <c r="E5" s="13">
        <v>5</v>
      </c>
      <c r="F5" s="48">
        <f t="shared" ref="F5:F32" si="5">E5/C5*100</f>
        <v>50</v>
      </c>
      <c r="G5" s="48">
        <f t="shared" si="0"/>
        <v>75</v>
      </c>
      <c r="H5" s="13">
        <v>10</v>
      </c>
      <c r="I5" s="48">
        <v>9</v>
      </c>
      <c r="J5" s="48">
        <f t="shared" si="1"/>
        <v>90</v>
      </c>
      <c r="K5" s="30">
        <v>3.5897435897435899</v>
      </c>
      <c r="L5" s="30">
        <f t="shared" ref="L5:L32" si="6">K5/I5*100</f>
        <v>39.886039886039889</v>
      </c>
      <c r="M5" s="30">
        <f t="shared" si="2"/>
        <v>64.943019943019948</v>
      </c>
      <c r="N5" s="48">
        <f t="shared" si="3"/>
        <v>3631.6439999999993</v>
      </c>
      <c r="O5" s="56">
        <v>-63.031677299999998</v>
      </c>
      <c r="P5" s="43">
        <v>40.992734199999994</v>
      </c>
      <c r="Q5" s="56">
        <v>-64.508364300000011</v>
      </c>
      <c r="R5" s="56">
        <v>33.6845268</v>
      </c>
      <c r="T5" s="13">
        <v>3.5750000000000002</v>
      </c>
      <c r="U5" s="13">
        <v>3.25</v>
      </c>
      <c r="V5" s="13">
        <v>3.35</v>
      </c>
      <c r="W5" s="13">
        <v>3.375</v>
      </c>
      <c r="X5" s="13">
        <v>3.2</v>
      </c>
      <c r="Y5" s="13">
        <v>3.4750000000000001</v>
      </c>
      <c r="Z5" s="13">
        <v>3.3250000000000002</v>
      </c>
      <c r="AA5" s="13">
        <v>3.5</v>
      </c>
      <c r="AB5" s="13">
        <v>3.5750000000000002</v>
      </c>
      <c r="AC5" s="13">
        <v>3.7250000000000001</v>
      </c>
      <c r="AD5" s="13">
        <v>2.95</v>
      </c>
      <c r="AE5" s="13">
        <v>3.85</v>
      </c>
      <c r="AF5" s="13">
        <v>4</v>
      </c>
      <c r="AG5" s="13">
        <v>4.1749999999999998</v>
      </c>
      <c r="AH5" s="13">
        <v>3.9750000000000001</v>
      </c>
      <c r="AI5" s="13">
        <v>3.625</v>
      </c>
      <c r="AJ5" s="13">
        <v>3.625</v>
      </c>
      <c r="AK5" s="13">
        <v>4</v>
      </c>
      <c r="AL5" s="13">
        <v>3.65</v>
      </c>
      <c r="AM5" s="13">
        <v>3.625</v>
      </c>
      <c r="AN5" s="13">
        <v>3.625</v>
      </c>
      <c r="AO5" s="13">
        <v>3.7749999999999999</v>
      </c>
      <c r="AP5" s="13">
        <v>3.75</v>
      </c>
      <c r="AQ5" s="13">
        <v>3.75</v>
      </c>
      <c r="AR5" s="13">
        <v>3.7749999999999999</v>
      </c>
      <c r="AS5" s="13">
        <v>3.875</v>
      </c>
      <c r="AT5" s="13">
        <v>3.8250000000000002</v>
      </c>
      <c r="AU5" s="13">
        <v>3.65</v>
      </c>
      <c r="AV5" s="13">
        <v>3.8250000000000002</v>
      </c>
      <c r="AW5" s="13">
        <v>3.85</v>
      </c>
      <c r="AX5" s="13">
        <v>3.85</v>
      </c>
      <c r="AY5" s="13">
        <v>3.875</v>
      </c>
      <c r="AZ5" s="13">
        <v>3.85</v>
      </c>
      <c r="BA5" s="13">
        <v>3.875</v>
      </c>
      <c r="BB5" s="13">
        <v>3.625</v>
      </c>
      <c r="BC5" s="13">
        <v>4</v>
      </c>
      <c r="BD5" s="13">
        <v>3.9249999999999998</v>
      </c>
      <c r="BE5" s="13">
        <v>3.875</v>
      </c>
      <c r="BF5" s="13">
        <v>3.625</v>
      </c>
      <c r="BH5" s="36" t="s">
        <v>520</v>
      </c>
      <c r="BI5" s="48">
        <v>500</v>
      </c>
      <c r="BJ5" s="52">
        <v>5.6097399999999999E-2</v>
      </c>
      <c r="BK5" s="13">
        <f t="shared" ref="BK5:BK32" si="7">10-E5</f>
        <v>5</v>
      </c>
      <c r="BM5" s="48">
        <v>85.331999999999994</v>
      </c>
      <c r="BN5" s="48">
        <v>92.046000000000006</v>
      </c>
      <c r="BO5" s="48">
        <v>86.778000000000006</v>
      </c>
      <c r="BP5" s="48">
        <v>79.367999999999995</v>
      </c>
      <c r="BQ5" s="48">
        <v>81.647999999999996</v>
      </c>
      <c r="BR5" s="48">
        <v>82.218000000000004</v>
      </c>
      <c r="BS5" s="48">
        <v>78.227999999999994</v>
      </c>
      <c r="BT5" s="48">
        <v>84.498000000000005</v>
      </c>
      <c r="BU5" s="48">
        <v>80.507999999999996</v>
      </c>
      <c r="BV5" s="48">
        <v>84.635999999999996</v>
      </c>
      <c r="BW5" s="48">
        <v>86.778000000000006</v>
      </c>
      <c r="BX5" s="48">
        <v>89.766000000000005</v>
      </c>
      <c r="BY5" s="48">
        <v>70.956000000000003</v>
      </c>
      <c r="BZ5" s="48">
        <v>92.616</v>
      </c>
      <c r="CA5" s="48">
        <v>96.468000000000004</v>
      </c>
      <c r="CB5" s="48">
        <v>99.593999999999994</v>
      </c>
      <c r="CC5" s="48">
        <v>95.465999999999994</v>
      </c>
      <c r="CD5" s="48">
        <v>87.347999999999999</v>
      </c>
      <c r="CE5" s="48">
        <v>87.347999999999999</v>
      </c>
      <c r="CF5" s="48">
        <v>96.468000000000004</v>
      </c>
      <c r="CG5" s="48">
        <v>87.918000000000006</v>
      </c>
      <c r="CH5" s="48">
        <v>87.918000000000006</v>
      </c>
      <c r="CI5" s="48">
        <v>87.918000000000006</v>
      </c>
      <c r="CJ5" s="48">
        <v>90.042000000000002</v>
      </c>
      <c r="CK5" s="48">
        <v>90.335999999999999</v>
      </c>
      <c r="CL5" s="48">
        <v>90.335999999999999</v>
      </c>
      <c r="CM5" s="48">
        <v>90.474000000000004</v>
      </c>
      <c r="CN5" s="48">
        <v>93.617999999999995</v>
      </c>
      <c r="CO5" s="48">
        <v>91.614000000000004</v>
      </c>
      <c r="CP5" s="48">
        <v>86.76</v>
      </c>
      <c r="CQ5" s="48">
        <v>90.75</v>
      </c>
      <c r="CR5" s="48">
        <v>91.751999999999995</v>
      </c>
      <c r="CS5" s="48">
        <v>91.751999999999995</v>
      </c>
      <c r="CT5" s="48">
        <v>91.025999999999996</v>
      </c>
      <c r="CU5" s="48">
        <v>90.888000000000005</v>
      </c>
      <c r="CV5" s="48">
        <v>91.89</v>
      </c>
      <c r="CW5" s="48">
        <v>86.19</v>
      </c>
      <c r="CX5" s="48">
        <v>92.58</v>
      </c>
      <c r="CY5" s="48">
        <v>92.597999999999999</v>
      </c>
      <c r="CZ5" s="48">
        <v>91.025999999999996</v>
      </c>
      <c r="DA5" s="48">
        <v>86.19</v>
      </c>
    </row>
    <row r="6" spans="1:105">
      <c r="A6" s="46">
        <v>4</v>
      </c>
      <c r="B6" s="13">
        <v>10</v>
      </c>
      <c r="C6" s="13">
        <v>10</v>
      </c>
      <c r="D6" s="13">
        <f t="shared" si="4"/>
        <v>100</v>
      </c>
      <c r="E6" s="13">
        <v>7</v>
      </c>
      <c r="F6" s="48">
        <f t="shared" si="5"/>
        <v>70</v>
      </c>
      <c r="G6" s="48">
        <f t="shared" si="0"/>
        <v>85</v>
      </c>
      <c r="H6" s="13">
        <v>10</v>
      </c>
      <c r="I6" s="48">
        <v>10</v>
      </c>
      <c r="J6" s="48">
        <f t="shared" si="1"/>
        <v>100</v>
      </c>
      <c r="K6" s="30">
        <v>3.0512820512820511</v>
      </c>
      <c r="L6" s="30">
        <f t="shared" si="6"/>
        <v>30.512820512820511</v>
      </c>
      <c r="M6" s="30">
        <f t="shared" si="2"/>
        <v>65.256410256410248</v>
      </c>
      <c r="N6" s="48">
        <f t="shared" si="3"/>
        <v>3393.4560000000001</v>
      </c>
      <c r="O6" s="56">
        <v>-61.814430928571426</v>
      </c>
      <c r="P6" s="43">
        <v>41.069519071428566</v>
      </c>
      <c r="Q6" s="56">
        <v>-60.818959199999995</v>
      </c>
      <c r="R6" s="56">
        <v>42.023293000000002</v>
      </c>
      <c r="T6" s="13">
        <v>3.15</v>
      </c>
      <c r="U6" s="13">
        <v>3.1749999999999998</v>
      </c>
      <c r="V6" s="13">
        <v>3.1</v>
      </c>
      <c r="W6" s="13">
        <v>2.875</v>
      </c>
      <c r="X6" s="13">
        <v>3.3</v>
      </c>
      <c r="Y6" s="13">
        <v>3.15</v>
      </c>
      <c r="Z6" s="13">
        <v>3.45</v>
      </c>
      <c r="AA6" s="13">
        <v>3.2250000000000001</v>
      </c>
      <c r="AB6" s="13">
        <v>3.25</v>
      </c>
      <c r="AC6" s="13">
        <v>3.3250000000000002</v>
      </c>
      <c r="AD6" s="13">
        <v>3.25</v>
      </c>
      <c r="AE6" s="13">
        <v>3.2749999999999999</v>
      </c>
      <c r="AF6" s="13">
        <v>2.95</v>
      </c>
      <c r="AG6" s="13">
        <v>3.5</v>
      </c>
      <c r="AH6" s="13">
        <v>3.5</v>
      </c>
      <c r="AI6" s="13">
        <v>3.4249999999999998</v>
      </c>
      <c r="AJ6" s="13">
        <v>2.9750000000000001</v>
      </c>
      <c r="AK6" s="13">
        <v>3.625</v>
      </c>
      <c r="AL6" s="13">
        <v>3.3</v>
      </c>
      <c r="AM6" s="13">
        <v>3.5</v>
      </c>
      <c r="AN6" s="13">
        <v>3.4249999999999998</v>
      </c>
      <c r="AO6" s="13">
        <v>3.3250000000000002</v>
      </c>
      <c r="AP6" s="13">
        <v>3.5</v>
      </c>
      <c r="AQ6" s="13">
        <v>3.2749999999999999</v>
      </c>
      <c r="AR6" s="13">
        <v>3.4249999999999998</v>
      </c>
      <c r="AS6" s="13">
        <v>3.6</v>
      </c>
      <c r="AT6" s="13">
        <v>3.65</v>
      </c>
      <c r="AU6" s="13">
        <v>3.7749999999999999</v>
      </c>
      <c r="AV6" s="13">
        <v>3.75</v>
      </c>
      <c r="AW6" s="13">
        <v>3.7749999999999999</v>
      </c>
      <c r="AX6" s="13">
        <v>3.6749999999999998</v>
      </c>
      <c r="AY6" s="13">
        <v>3.75</v>
      </c>
      <c r="AZ6" s="13">
        <v>3.5750000000000002</v>
      </c>
      <c r="BA6" s="13">
        <v>3.8</v>
      </c>
      <c r="BB6" s="13">
        <v>3.7749999999999999</v>
      </c>
      <c r="BC6" s="13">
        <v>3.6749999999999998</v>
      </c>
      <c r="BD6" s="13">
        <v>3.7749999999999999</v>
      </c>
      <c r="BE6" s="13">
        <v>3.6749999999999998</v>
      </c>
      <c r="BF6" s="13">
        <v>3.65</v>
      </c>
      <c r="BH6" s="36" t="s">
        <v>521</v>
      </c>
      <c r="BI6" s="48">
        <v>500</v>
      </c>
      <c r="BJ6" s="52">
        <v>6.6563142857142849E-2</v>
      </c>
      <c r="BK6" s="13">
        <f t="shared" si="7"/>
        <v>3</v>
      </c>
      <c r="BM6" s="48">
        <v>74.225999999999999</v>
      </c>
      <c r="BN6" s="48">
        <v>82.355999999999995</v>
      </c>
      <c r="BO6" s="48">
        <v>77.087999999999994</v>
      </c>
      <c r="BP6" s="48">
        <v>77.658000000000001</v>
      </c>
      <c r="BQ6" s="48">
        <v>75.516000000000005</v>
      </c>
      <c r="BR6" s="48">
        <v>70.248000000000005</v>
      </c>
      <c r="BS6" s="48">
        <v>80.507999999999996</v>
      </c>
      <c r="BT6" s="48">
        <v>77.087999999999994</v>
      </c>
      <c r="BU6" s="48">
        <v>83.927999999999997</v>
      </c>
      <c r="BV6" s="48">
        <v>78.798000000000002</v>
      </c>
      <c r="BW6" s="48">
        <v>79.367999999999995</v>
      </c>
      <c r="BX6" s="48">
        <v>81.078000000000003</v>
      </c>
      <c r="BY6" s="48">
        <v>79.367999999999995</v>
      </c>
      <c r="BZ6" s="48">
        <v>79.506</v>
      </c>
      <c r="CA6" s="48">
        <v>71.957999999999998</v>
      </c>
      <c r="CB6" s="48">
        <v>85.067999999999998</v>
      </c>
      <c r="CC6" s="48">
        <v>85.067999999999998</v>
      </c>
      <c r="CD6" s="48">
        <v>83.358000000000004</v>
      </c>
      <c r="CE6" s="48">
        <v>72.528000000000006</v>
      </c>
      <c r="CF6" s="48">
        <v>87.918000000000006</v>
      </c>
      <c r="CG6" s="48">
        <v>80.507999999999996</v>
      </c>
      <c r="CH6" s="48">
        <v>85.067999999999998</v>
      </c>
      <c r="CI6" s="48">
        <v>82.926000000000002</v>
      </c>
      <c r="CJ6" s="48">
        <v>81.078000000000003</v>
      </c>
      <c r="CK6" s="48">
        <v>84.635999999999996</v>
      </c>
      <c r="CL6" s="48">
        <v>79.506</v>
      </c>
      <c r="CM6" s="48">
        <v>82.494</v>
      </c>
      <c r="CN6" s="48">
        <v>86.915999999999997</v>
      </c>
      <c r="CO6" s="48">
        <v>87.623999999999995</v>
      </c>
      <c r="CP6" s="48">
        <v>90.474000000000004</v>
      </c>
      <c r="CQ6" s="48">
        <v>89.903999999999996</v>
      </c>
      <c r="CR6" s="48">
        <v>89.61</v>
      </c>
      <c r="CS6" s="48">
        <v>88.194000000000003</v>
      </c>
      <c r="CT6" s="48">
        <v>89.04</v>
      </c>
      <c r="CU6" s="48">
        <v>85.481999999999999</v>
      </c>
      <c r="CV6" s="48">
        <v>90.18</v>
      </c>
      <c r="CW6" s="48">
        <v>89.177999999999997</v>
      </c>
      <c r="CX6" s="48">
        <v>85.17</v>
      </c>
      <c r="CY6" s="48">
        <v>89.61</v>
      </c>
      <c r="CZ6" s="48">
        <v>86.465999999999994</v>
      </c>
      <c r="DA6" s="48">
        <v>86.76</v>
      </c>
    </row>
    <row r="7" spans="1:105">
      <c r="A7" s="46">
        <v>5</v>
      </c>
      <c r="B7" s="13">
        <v>10</v>
      </c>
      <c r="C7" s="13">
        <v>10</v>
      </c>
      <c r="D7" s="13">
        <f t="shared" si="4"/>
        <v>100</v>
      </c>
      <c r="E7" s="13">
        <v>5</v>
      </c>
      <c r="F7" s="48">
        <f t="shared" si="5"/>
        <v>50</v>
      </c>
      <c r="G7" s="48">
        <f t="shared" si="0"/>
        <v>75</v>
      </c>
      <c r="H7" s="13">
        <v>10</v>
      </c>
      <c r="I7" s="48">
        <v>8</v>
      </c>
      <c r="J7" s="48">
        <f t="shared" si="1"/>
        <v>80</v>
      </c>
      <c r="K7" s="30">
        <v>4</v>
      </c>
      <c r="L7" s="30">
        <f t="shared" si="6"/>
        <v>50</v>
      </c>
      <c r="M7" s="30">
        <f t="shared" si="2"/>
        <v>65</v>
      </c>
      <c r="N7" s="48">
        <f t="shared" si="3"/>
        <v>4069.0560000000005</v>
      </c>
      <c r="O7" s="56">
        <v>-61.642045900000006</v>
      </c>
      <c r="P7" s="43">
        <v>43.899862400000004</v>
      </c>
      <c r="Q7" s="56">
        <v>-61.375874400000001</v>
      </c>
      <c r="R7" s="56">
        <v>42.220671000000003</v>
      </c>
      <c r="T7" s="13">
        <v>3.9249999999999998</v>
      </c>
      <c r="U7" s="13">
        <v>3.9</v>
      </c>
      <c r="V7" s="13">
        <v>3.9249999999999998</v>
      </c>
      <c r="W7" s="13">
        <v>3.4750000000000001</v>
      </c>
      <c r="X7" s="13">
        <v>3.6</v>
      </c>
      <c r="Y7" s="13">
        <v>4.125</v>
      </c>
      <c r="Z7" s="13">
        <v>4.0250000000000004</v>
      </c>
      <c r="AA7" s="13">
        <v>3.9</v>
      </c>
      <c r="AB7" s="13">
        <v>4.0999999999999996</v>
      </c>
      <c r="AC7" s="13">
        <v>3.875</v>
      </c>
      <c r="AD7" s="13">
        <v>4.4000000000000004</v>
      </c>
      <c r="AE7" s="13">
        <v>4.4749999999999996</v>
      </c>
      <c r="AF7" s="13">
        <v>4.0750000000000002</v>
      </c>
      <c r="AG7" s="13">
        <v>4.5250000000000004</v>
      </c>
      <c r="AH7" s="13">
        <v>4.05</v>
      </c>
      <c r="AI7" s="13">
        <v>4.5</v>
      </c>
      <c r="AJ7" s="13">
        <v>4.5250000000000004</v>
      </c>
      <c r="AK7" s="13">
        <v>4.375</v>
      </c>
      <c r="AL7" s="13">
        <v>3.8</v>
      </c>
      <c r="AM7" s="13">
        <v>4.3</v>
      </c>
      <c r="AN7" s="13">
        <v>4.3</v>
      </c>
      <c r="AO7" s="13">
        <v>4.25</v>
      </c>
      <c r="AP7" s="13">
        <v>4.2750000000000004</v>
      </c>
      <c r="AQ7" s="13">
        <v>4.2</v>
      </c>
      <c r="AR7" s="13">
        <v>3.9750000000000001</v>
      </c>
      <c r="AS7" s="13">
        <v>4.1500000000000004</v>
      </c>
      <c r="AT7" s="13">
        <v>4.25</v>
      </c>
      <c r="AU7" s="13">
        <v>4.2</v>
      </c>
      <c r="AV7" s="13">
        <v>4.375</v>
      </c>
      <c r="AW7" s="13">
        <v>4.2750000000000004</v>
      </c>
      <c r="AX7" s="13">
        <v>4.375</v>
      </c>
      <c r="AY7" s="13">
        <v>4.25</v>
      </c>
      <c r="AZ7" s="13">
        <v>4.2</v>
      </c>
      <c r="BA7" s="13">
        <v>4.2249999999999996</v>
      </c>
      <c r="BB7" s="13">
        <v>4.4000000000000004</v>
      </c>
      <c r="BC7" s="13">
        <v>4.25</v>
      </c>
      <c r="BD7" s="13">
        <v>4.5</v>
      </c>
      <c r="BE7" s="13">
        <v>4.45</v>
      </c>
      <c r="BF7" s="13">
        <v>4.0750000000000002</v>
      </c>
      <c r="BH7" s="36" t="s">
        <v>522</v>
      </c>
      <c r="BI7" s="48">
        <v>500</v>
      </c>
      <c r="BJ7" s="52">
        <v>6.7638999999999991E-2</v>
      </c>
      <c r="BK7" s="13">
        <f t="shared" si="7"/>
        <v>5</v>
      </c>
      <c r="BM7" s="48">
        <v>95.316000000000003</v>
      </c>
      <c r="BN7" s="48">
        <v>96.311999999999998</v>
      </c>
      <c r="BO7" s="48">
        <v>94.757999999999996</v>
      </c>
      <c r="BP7" s="48">
        <v>93.323999999999998</v>
      </c>
      <c r="BQ7" s="48">
        <v>93.894000000000005</v>
      </c>
      <c r="BR7" s="48">
        <v>83.495999999999995</v>
      </c>
      <c r="BS7" s="48">
        <v>85.914000000000001</v>
      </c>
      <c r="BT7" s="48">
        <v>98.885999999999996</v>
      </c>
      <c r="BU7" s="48">
        <v>96.605999999999995</v>
      </c>
      <c r="BV7" s="48">
        <v>94.188000000000002</v>
      </c>
      <c r="BW7" s="48">
        <v>98.316000000000003</v>
      </c>
      <c r="BX7" s="48">
        <v>93.048000000000002</v>
      </c>
      <c r="BY7" s="48">
        <v>104.724</v>
      </c>
      <c r="BZ7" s="48">
        <v>106.866</v>
      </c>
      <c r="CA7" s="48">
        <v>97.176000000000002</v>
      </c>
      <c r="CB7" s="48">
        <v>108.006</v>
      </c>
      <c r="CC7" s="48">
        <v>96.605999999999995</v>
      </c>
      <c r="CD7" s="48">
        <v>107.004</v>
      </c>
      <c r="CE7" s="48">
        <v>107.574</v>
      </c>
      <c r="CF7" s="48">
        <v>104.586</v>
      </c>
      <c r="CG7" s="48">
        <v>91.337999999999994</v>
      </c>
      <c r="CH7" s="48">
        <v>102.876</v>
      </c>
      <c r="CI7" s="48">
        <v>102.876</v>
      </c>
      <c r="CJ7" s="48">
        <v>101.304</v>
      </c>
      <c r="CK7" s="48">
        <v>101.874</v>
      </c>
      <c r="CL7" s="48">
        <v>100.164</v>
      </c>
      <c r="CM7" s="48">
        <v>95.465999999999994</v>
      </c>
      <c r="CN7" s="48">
        <v>99.456000000000003</v>
      </c>
      <c r="CO7" s="48">
        <v>101.304</v>
      </c>
      <c r="CP7" s="48">
        <v>99.731999999999999</v>
      </c>
      <c r="CQ7" s="48">
        <v>103.29</v>
      </c>
      <c r="CR7" s="48">
        <v>101.44199999999999</v>
      </c>
      <c r="CS7" s="48">
        <v>103.72199999999999</v>
      </c>
      <c r="CT7" s="48">
        <v>101.736</v>
      </c>
      <c r="CU7" s="48">
        <v>99.731999999999999</v>
      </c>
      <c r="CV7" s="48">
        <v>99.438000000000002</v>
      </c>
      <c r="CW7" s="48">
        <v>102.56399999999999</v>
      </c>
      <c r="CX7" s="48">
        <v>98.28</v>
      </c>
      <c r="CY7" s="48">
        <v>105.708</v>
      </c>
      <c r="CZ7" s="48">
        <v>104.136</v>
      </c>
      <c r="DA7" s="48">
        <v>96.018000000000001</v>
      </c>
    </row>
    <row r="8" spans="1:105">
      <c r="A8" s="46">
        <v>6</v>
      </c>
      <c r="B8" s="13">
        <v>10</v>
      </c>
      <c r="C8" s="13">
        <v>10</v>
      </c>
      <c r="D8" s="13">
        <f t="shared" si="4"/>
        <v>100</v>
      </c>
      <c r="E8" s="13">
        <v>3</v>
      </c>
      <c r="F8" s="48">
        <f t="shared" si="5"/>
        <v>30</v>
      </c>
      <c r="G8" s="48">
        <f t="shared" si="0"/>
        <v>65</v>
      </c>
      <c r="H8" s="13">
        <v>10</v>
      </c>
      <c r="I8" s="48">
        <v>10</v>
      </c>
      <c r="J8" s="48">
        <f t="shared" si="1"/>
        <v>100</v>
      </c>
      <c r="K8" s="30">
        <v>3.4615384615384617</v>
      </c>
      <c r="L8" s="30">
        <f t="shared" si="6"/>
        <v>34.615384615384613</v>
      </c>
      <c r="M8" s="30">
        <f t="shared" si="2"/>
        <v>67.307692307692307</v>
      </c>
      <c r="N8" s="48">
        <f t="shared" si="3"/>
        <v>3673.2060000000001</v>
      </c>
      <c r="O8" s="56">
        <v>-64.375169</v>
      </c>
      <c r="P8" s="43">
        <v>40.727305333333327</v>
      </c>
      <c r="Q8" s="56">
        <v>-62.734774333333341</v>
      </c>
      <c r="R8" s="56">
        <v>41.265225666666659</v>
      </c>
      <c r="T8" s="13">
        <v>3.7749999999999999</v>
      </c>
      <c r="U8" s="13">
        <v>3.5249999999999999</v>
      </c>
      <c r="V8" s="13">
        <v>3.45</v>
      </c>
      <c r="W8" s="13">
        <v>3.5249999999999999</v>
      </c>
      <c r="X8" s="13">
        <v>3.3250000000000002</v>
      </c>
      <c r="Y8" s="13">
        <v>3.65</v>
      </c>
      <c r="Z8" s="13">
        <v>3.5750000000000002</v>
      </c>
      <c r="AA8" s="13">
        <v>3.55</v>
      </c>
      <c r="AB8" s="13">
        <v>3.6</v>
      </c>
      <c r="AC8" s="13">
        <v>3.6749999999999998</v>
      </c>
      <c r="AD8" s="13">
        <v>3.55</v>
      </c>
      <c r="AE8" s="13">
        <v>3.8</v>
      </c>
      <c r="AF8" s="13">
        <v>3.7</v>
      </c>
      <c r="AG8" s="13">
        <v>3.9</v>
      </c>
      <c r="AH8" s="13">
        <v>3.5</v>
      </c>
      <c r="AI8" s="13">
        <v>3.7749999999999999</v>
      </c>
      <c r="AJ8" s="13">
        <v>3.95</v>
      </c>
      <c r="AK8" s="13">
        <v>3.8</v>
      </c>
      <c r="AL8" s="13">
        <v>3.35</v>
      </c>
      <c r="AM8" s="13">
        <v>3.6</v>
      </c>
      <c r="AN8" s="13">
        <v>3.85</v>
      </c>
      <c r="AO8" s="13">
        <v>3.7749999999999999</v>
      </c>
      <c r="AP8" s="13">
        <v>3.625</v>
      </c>
      <c r="AQ8" s="13">
        <v>3.7</v>
      </c>
      <c r="AR8" s="13">
        <v>3.7749999999999999</v>
      </c>
      <c r="AS8" s="13">
        <v>3.75</v>
      </c>
      <c r="AT8" s="13">
        <v>3.7</v>
      </c>
      <c r="AU8" s="13">
        <v>3.7749999999999999</v>
      </c>
      <c r="AV8" s="13">
        <v>3.7749999999999999</v>
      </c>
      <c r="AW8" s="13">
        <v>3.8</v>
      </c>
      <c r="AX8" s="13">
        <v>3.875</v>
      </c>
      <c r="AY8" s="13">
        <v>3.8250000000000002</v>
      </c>
      <c r="AZ8" s="13">
        <v>3.85</v>
      </c>
      <c r="BA8" s="13">
        <v>3.8</v>
      </c>
      <c r="BB8" s="13">
        <v>4.0250000000000004</v>
      </c>
      <c r="BC8" s="13">
        <v>4.2249999999999996</v>
      </c>
      <c r="BD8" s="13">
        <v>3.875</v>
      </c>
      <c r="BE8" s="13">
        <v>3.9249999999999998</v>
      </c>
      <c r="BF8" s="13">
        <v>3.85</v>
      </c>
      <c r="BH8" s="36" t="s">
        <v>523</v>
      </c>
      <c r="BI8" s="48">
        <v>500</v>
      </c>
      <c r="BJ8" s="52">
        <v>6.3421000000000005E-2</v>
      </c>
      <c r="BK8" s="13">
        <f t="shared" si="7"/>
        <v>7</v>
      </c>
      <c r="BM8" s="48">
        <v>83.346000000000004</v>
      </c>
      <c r="BN8" s="48">
        <v>95.465999999999994</v>
      </c>
      <c r="BO8" s="48">
        <v>90.906000000000006</v>
      </c>
      <c r="BP8" s="48">
        <v>85.206000000000003</v>
      </c>
      <c r="BQ8" s="48">
        <v>83.495999999999995</v>
      </c>
      <c r="BR8" s="48">
        <v>85.206000000000003</v>
      </c>
      <c r="BS8" s="48">
        <v>80.075999999999993</v>
      </c>
      <c r="BT8" s="48">
        <v>88.055999999999997</v>
      </c>
      <c r="BU8" s="48">
        <v>86.346000000000004</v>
      </c>
      <c r="BV8" s="48">
        <v>85.775999999999996</v>
      </c>
      <c r="BW8" s="48">
        <v>86.915999999999997</v>
      </c>
      <c r="BX8" s="48">
        <v>88.626000000000005</v>
      </c>
      <c r="BY8" s="48">
        <v>85.775999999999996</v>
      </c>
      <c r="BZ8" s="48">
        <v>91.475999999999999</v>
      </c>
      <c r="CA8" s="48">
        <v>88.763999999999996</v>
      </c>
      <c r="CB8" s="48">
        <v>93.756</v>
      </c>
      <c r="CC8" s="48">
        <v>84.498000000000005</v>
      </c>
      <c r="CD8" s="48">
        <v>90.906000000000006</v>
      </c>
      <c r="CE8" s="48">
        <v>94.896000000000001</v>
      </c>
      <c r="CF8" s="48">
        <v>91.475999999999999</v>
      </c>
      <c r="CG8" s="48">
        <v>81.078000000000003</v>
      </c>
      <c r="CH8" s="48">
        <v>86.915999999999997</v>
      </c>
      <c r="CI8" s="48">
        <v>92.616</v>
      </c>
      <c r="CJ8" s="48">
        <v>90.906000000000006</v>
      </c>
      <c r="CK8" s="48">
        <v>87.486000000000004</v>
      </c>
      <c r="CL8" s="48">
        <v>89.195999999999998</v>
      </c>
      <c r="CM8" s="48">
        <v>90.906000000000006</v>
      </c>
      <c r="CN8" s="48">
        <v>90.335999999999999</v>
      </c>
      <c r="CO8" s="48">
        <v>89.195999999999998</v>
      </c>
      <c r="CP8" s="48">
        <v>90.474000000000004</v>
      </c>
      <c r="CQ8" s="48">
        <v>90.906000000000006</v>
      </c>
      <c r="CR8" s="48">
        <v>91.475999999999999</v>
      </c>
      <c r="CS8" s="48">
        <v>93.186000000000007</v>
      </c>
      <c r="CT8" s="48">
        <v>92.046000000000006</v>
      </c>
      <c r="CU8" s="48">
        <v>92.616</v>
      </c>
      <c r="CV8" s="48">
        <v>91.475999999999999</v>
      </c>
      <c r="CW8" s="48">
        <v>95.742000000000004</v>
      </c>
      <c r="CX8" s="48">
        <v>97.71</v>
      </c>
      <c r="CY8" s="48">
        <v>92.322000000000003</v>
      </c>
      <c r="CZ8" s="48">
        <v>93.462000000000003</v>
      </c>
      <c r="DA8" s="48">
        <v>92.183999999999997</v>
      </c>
    </row>
    <row r="9" spans="1:105">
      <c r="A9" s="46">
        <v>7</v>
      </c>
      <c r="B9" s="13">
        <v>10</v>
      </c>
      <c r="C9" s="13">
        <v>10</v>
      </c>
      <c r="D9" s="13">
        <f t="shared" si="4"/>
        <v>100</v>
      </c>
      <c r="E9" s="13">
        <v>4</v>
      </c>
      <c r="F9" s="48">
        <f t="shared" si="5"/>
        <v>40</v>
      </c>
      <c r="G9" s="48">
        <f t="shared" si="0"/>
        <v>70</v>
      </c>
      <c r="H9" s="13">
        <v>10</v>
      </c>
      <c r="I9" s="48">
        <v>9</v>
      </c>
      <c r="J9" s="48">
        <f t="shared" si="1"/>
        <v>90</v>
      </c>
      <c r="K9" s="30">
        <v>3</v>
      </c>
      <c r="L9" s="30">
        <f t="shared" si="6"/>
        <v>33.333333333333329</v>
      </c>
      <c r="M9" s="30">
        <f t="shared" si="2"/>
        <v>61.666666666666664</v>
      </c>
      <c r="N9" s="48">
        <f t="shared" si="3"/>
        <v>3068.2860000000001</v>
      </c>
      <c r="O9" s="56">
        <v>-60.767088625</v>
      </c>
      <c r="P9" s="43">
        <v>40.242013374999999</v>
      </c>
      <c r="Q9" s="56">
        <v>-63.790362499999993</v>
      </c>
      <c r="R9" s="56">
        <v>39.267242499999995</v>
      </c>
      <c r="T9" s="13">
        <v>3.05</v>
      </c>
      <c r="U9" s="13">
        <v>2.9750000000000001</v>
      </c>
      <c r="V9" s="13">
        <v>2.9249999999999998</v>
      </c>
      <c r="W9" s="13">
        <v>2.9249999999999998</v>
      </c>
      <c r="X9" s="13">
        <v>3</v>
      </c>
      <c r="Y9" s="13">
        <v>2.9249999999999998</v>
      </c>
      <c r="Z9" s="13">
        <v>2.95</v>
      </c>
      <c r="AA9" s="13">
        <v>2.4249999999999998</v>
      </c>
      <c r="AB9" s="13">
        <v>2.9750000000000001</v>
      </c>
      <c r="AC9" s="13">
        <v>2.65</v>
      </c>
      <c r="AD9" s="13">
        <v>2.4249999999999998</v>
      </c>
      <c r="AE9" s="13">
        <v>2.875</v>
      </c>
      <c r="AF9" s="13">
        <v>2.9750000000000001</v>
      </c>
      <c r="AG9" s="13">
        <v>2.5750000000000002</v>
      </c>
      <c r="AH9" s="13">
        <v>2.9750000000000001</v>
      </c>
      <c r="AI9" s="13">
        <v>3.05</v>
      </c>
      <c r="AJ9" s="13">
        <v>3.1749999999999998</v>
      </c>
      <c r="AK9" s="13">
        <v>3.125</v>
      </c>
      <c r="AL9" s="13">
        <v>2.8</v>
      </c>
      <c r="AM9" s="13">
        <v>3.0750000000000002</v>
      </c>
      <c r="AN9" s="13">
        <v>3.2749999999999999</v>
      </c>
      <c r="AO9" s="13">
        <v>2.9</v>
      </c>
      <c r="AP9" s="13">
        <v>2.875</v>
      </c>
      <c r="AQ9" s="13">
        <v>3.125</v>
      </c>
      <c r="AR9" s="13">
        <v>3.05</v>
      </c>
      <c r="AS9" s="13">
        <v>3.0750000000000002</v>
      </c>
      <c r="AT9" s="13">
        <v>3.3250000000000002</v>
      </c>
      <c r="AU9" s="13">
        <v>3.4</v>
      </c>
      <c r="AV9" s="13">
        <v>3.375</v>
      </c>
      <c r="AW9" s="13">
        <v>3.4249999999999998</v>
      </c>
      <c r="AX9" s="13">
        <v>3.35</v>
      </c>
      <c r="AY9" s="13">
        <v>3.65</v>
      </c>
      <c r="AZ9" s="13">
        <v>3.5750000000000002</v>
      </c>
      <c r="BA9" s="13">
        <v>3.75</v>
      </c>
      <c r="BB9" s="13">
        <v>3.55</v>
      </c>
      <c r="BC9" s="13">
        <v>3.5249999999999999</v>
      </c>
      <c r="BD9" s="13">
        <v>3.625</v>
      </c>
      <c r="BE9" s="13">
        <v>3.3</v>
      </c>
      <c r="BF9" s="13">
        <v>3.3</v>
      </c>
      <c r="BH9" s="36" t="s">
        <v>524</v>
      </c>
      <c r="BI9" s="48">
        <v>500</v>
      </c>
      <c r="BJ9" s="52">
        <v>6.832474999999999E-2</v>
      </c>
      <c r="BK9" s="13">
        <f t="shared" si="7"/>
        <v>6</v>
      </c>
      <c r="BM9" s="48">
        <v>72.221999999999994</v>
      </c>
      <c r="BN9" s="48">
        <v>79.073999999999998</v>
      </c>
      <c r="BO9" s="48">
        <v>73.944000000000003</v>
      </c>
      <c r="BP9" s="48">
        <v>72.233999999999995</v>
      </c>
      <c r="BQ9" s="48">
        <v>71.093999999999994</v>
      </c>
      <c r="BR9" s="48">
        <v>71.093999999999994</v>
      </c>
      <c r="BS9" s="48">
        <v>72.804000000000002</v>
      </c>
      <c r="BT9" s="48">
        <v>71.525999999999996</v>
      </c>
      <c r="BU9" s="48">
        <v>71.664000000000001</v>
      </c>
      <c r="BV9" s="48">
        <v>59.555999999999997</v>
      </c>
      <c r="BW9" s="48">
        <v>72.233999999999995</v>
      </c>
      <c r="BX9" s="48">
        <v>64.686000000000007</v>
      </c>
      <c r="BY9" s="48">
        <v>58.985999999999997</v>
      </c>
      <c r="BZ9" s="48">
        <v>69.953999999999994</v>
      </c>
      <c r="CA9" s="48">
        <v>71.664000000000001</v>
      </c>
      <c r="CB9" s="48">
        <v>62.405999999999999</v>
      </c>
      <c r="CC9" s="48">
        <v>72.665999999999997</v>
      </c>
      <c r="CD9" s="48">
        <v>73.944000000000003</v>
      </c>
      <c r="CE9" s="48">
        <v>76.793999999999997</v>
      </c>
      <c r="CF9" s="48">
        <v>75.221999999999994</v>
      </c>
      <c r="CG9" s="48">
        <v>68.244</v>
      </c>
      <c r="CH9" s="48">
        <v>74.513999999999996</v>
      </c>
      <c r="CI9" s="48">
        <v>79.073999999999998</v>
      </c>
      <c r="CJ9" s="48">
        <v>70.524000000000001</v>
      </c>
      <c r="CK9" s="48">
        <v>69.522000000000006</v>
      </c>
      <c r="CL9" s="48">
        <v>75.653999999999996</v>
      </c>
      <c r="CM9" s="48">
        <v>73.512</v>
      </c>
      <c r="CN9" s="48">
        <v>74.513999999999996</v>
      </c>
      <c r="CO9" s="48">
        <v>80.213999999999999</v>
      </c>
      <c r="CP9" s="48">
        <v>81.924000000000007</v>
      </c>
      <c r="CQ9" s="48">
        <v>80.921999999999997</v>
      </c>
      <c r="CR9" s="48">
        <v>82.061999999999998</v>
      </c>
      <c r="CS9" s="48">
        <v>80.784000000000006</v>
      </c>
      <c r="CT9" s="48">
        <v>86.328000000000003</v>
      </c>
      <c r="CU9" s="48">
        <v>84.186000000000007</v>
      </c>
      <c r="CV9" s="48">
        <v>87.311999999999998</v>
      </c>
      <c r="CW9" s="48">
        <v>82.751999999999995</v>
      </c>
      <c r="CX9" s="48">
        <v>81.75</v>
      </c>
      <c r="CY9" s="48">
        <v>84.894000000000005</v>
      </c>
      <c r="CZ9" s="48">
        <v>77.915999999999997</v>
      </c>
      <c r="DA9" s="48">
        <v>77.915999999999997</v>
      </c>
    </row>
    <row r="10" spans="1:105">
      <c r="A10" s="46">
        <v>8</v>
      </c>
      <c r="B10" s="13">
        <v>10</v>
      </c>
      <c r="C10" s="13">
        <v>10</v>
      </c>
      <c r="D10" s="13">
        <f t="shared" si="4"/>
        <v>100</v>
      </c>
      <c r="E10" s="13">
        <v>5</v>
      </c>
      <c r="F10" s="48">
        <f t="shared" si="5"/>
        <v>50</v>
      </c>
      <c r="G10" s="48">
        <f t="shared" si="0"/>
        <v>75</v>
      </c>
      <c r="H10" s="13">
        <v>10</v>
      </c>
      <c r="I10" s="48">
        <v>10</v>
      </c>
      <c r="J10" s="48">
        <f t="shared" si="1"/>
        <v>100</v>
      </c>
      <c r="K10" s="30">
        <v>3.9743589743589745</v>
      </c>
      <c r="L10" s="30">
        <f t="shared" si="6"/>
        <v>39.743589743589745</v>
      </c>
      <c r="M10" s="30">
        <f t="shared" si="2"/>
        <v>69.871794871794876</v>
      </c>
      <c r="N10" s="48">
        <f t="shared" si="3"/>
        <v>4024.3319999999999</v>
      </c>
      <c r="O10" s="56">
        <v>-63.098630400000005</v>
      </c>
      <c r="P10" s="43">
        <v>42.184752099999997</v>
      </c>
      <c r="Q10" s="56">
        <v>-59.736436000000005</v>
      </c>
      <c r="R10" s="56">
        <v>44.263563999999995</v>
      </c>
      <c r="T10" s="13">
        <v>4</v>
      </c>
      <c r="U10" s="13">
        <v>3.9249999999999998</v>
      </c>
      <c r="V10" s="13">
        <v>4</v>
      </c>
      <c r="W10" s="13">
        <v>4.0250000000000004</v>
      </c>
      <c r="X10" s="13">
        <v>3.95</v>
      </c>
      <c r="Y10" s="13">
        <v>4.0999999999999996</v>
      </c>
      <c r="Z10" s="13">
        <v>4.2</v>
      </c>
      <c r="AA10" s="13">
        <v>4.2750000000000004</v>
      </c>
      <c r="AB10" s="13">
        <v>4.1749999999999998</v>
      </c>
      <c r="AC10" s="13">
        <v>4.05</v>
      </c>
      <c r="AD10" s="13">
        <v>4.2249999999999996</v>
      </c>
      <c r="AE10" s="13">
        <v>4.1749999999999998</v>
      </c>
      <c r="AF10" s="13">
        <v>4.25</v>
      </c>
      <c r="AG10" s="13">
        <v>3.7250000000000001</v>
      </c>
      <c r="AH10" s="13">
        <v>4.45</v>
      </c>
      <c r="AI10" s="13">
        <v>4.4749999999999996</v>
      </c>
      <c r="AJ10" s="13">
        <v>3.8250000000000002</v>
      </c>
      <c r="AK10" s="13">
        <v>3.75</v>
      </c>
      <c r="AL10" s="13">
        <v>4.1749999999999998</v>
      </c>
      <c r="AM10" s="13">
        <v>4.375</v>
      </c>
      <c r="AN10" s="13">
        <v>4.4000000000000004</v>
      </c>
      <c r="AO10" s="13">
        <v>4.4749999999999996</v>
      </c>
      <c r="AP10" s="13">
        <v>4.0750000000000002</v>
      </c>
      <c r="AQ10" s="13">
        <v>4.125</v>
      </c>
      <c r="AR10" s="13">
        <v>4.125</v>
      </c>
      <c r="AS10" s="13">
        <v>4.125</v>
      </c>
      <c r="AT10" s="13">
        <v>4.0250000000000004</v>
      </c>
      <c r="AU10" s="13">
        <v>4.2</v>
      </c>
      <c r="AV10" s="13">
        <v>4.4000000000000004</v>
      </c>
      <c r="AW10" s="13">
        <v>4.45</v>
      </c>
      <c r="AX10" s="13">
        <v>4.2249999999999996</v>
      </c>
      <c r="AY10" s="13">
        <v>4.2750000000000004</v>
      </c>
      <c r="AZ10" s="13">
        <v>4.375</v>
      </c>
      <c r="BA10" s="13">
        <v>4.5750000000000002</v>
      </c>
      <c r="BB10" s="13">
        <v>4.5999999999999996</v>
      </c>
      <c r="BC10" s="13">
        <v>4.4000000000000004</v>
      </c>
      <c r="BD10" s="13">
        <v>4.2750000000000004</v>
      </c>
      <c r="BE10" s="13">
        <v>4.2750000000000004</v>
      </c>
      <c r="BF10" s="13">
        <v>3.6749999999999998</v>
      </c>
      <c r="BH10" s="36" t="s">
        <v>525</v>
      </c>
      <c r="BI10" s="48">
        <v>500</v>
      </c>
      <c r="BJ10" s="52">
        <v>5.9809199999999993E-2</v>
      </c>
      <c r="BK10" s="13">
        <f t="shared" si="7"/>
        <v>5</v>
      </c>
      <c r="BM10" s="48">
        <v>93.018000000000001</v>
      </c>
      <c r="BN10" s="48">
        <v>95.447999999999993</v>
      </c>
      <c r="BO10" s="48">
        <v>94.308000000000007</v>
      </c>
      <c r="BP10" s="48">
        <v>92.597999999999999</v>
      </c>
      <c r="BQ10" s="48">
        <v>94.308000000000007</v>
      </c>
      <c r="BR10" s="48">
        <v>94.878</v>
      </c>
      <c r="BS10" s="48">
        <v>93.168000000000006</v>
      </c>
      <c r="BT10" s="48">
        <v>97.02</v>
      </c>
      <c r="BU10" s="48">
        <v>98.867999999999995</v>
      </c>
      <c r="BV10" s="48">
        <v>100.146</v>
      </c>
      <c r="BW10" s="48">
        <v>98.298000000000002</v>
      </c>
      <c r="BX10" s="48">
        <v>95.742000000000004</v>
      </c>
      <c r="BY10" s="48">
        <v>99.006</v>
      </c>
      <c r="BZ10" s="48">
        <v>98.298000000000002</v>
      </c>
      <c r="CA10" s="48">
        <v>100.44</v>
      </c>
      <c r="CB10" s="48">
        <v>87.468000000000004</v>
      </c>
      <c r="CC10" s="48">
        <v>104.568</v>
      </c>
      <c r="CD10" s="48">
        <v>105.57</v>
      </c>
      <c r="CE10" s="48">
        <v>90.611999999999995</v>
      </c>
      <c r="CF10" s="48">
        <v>88.47</v>
      </c>
      <c r="CG10" s="48">
        <v>98.73</v>
      </c>
      <c r="CH10" s="48">
        <v>102.858</v>
      </c>
      <c r="CI10" s="48">
        <v>103.86</v>
      </c>
      <c r="CJ10" s="48">
        <v>105.13800000000001</v>
      </c>
      <c r="CK10" s="48">
        <v>96.018000000000001</v>
      </c>
      <c r="CL10" s="48">
        <v>97.158000000000001</v>
      </c>
      <c r="CM10" s="48">
        <v>97.158000000000001</v>
      </c>
      <c r="CN10" s="48">
        <v>97.158000000000001</v>
      </c>
      <c r="CO10" s="48">
        <v>94.878</v>
      </c>
      <c r="CP10" s="48">
        <v>98.867999999999995</v>
      </c>
      <c r="CQ10" s="48">
        <v>103.428</v>
      </c>
      <c r="CR10" s="48">
        <v>104.568</v>
      </c>
      <c r="CS10" s="48">
        <v>99.438000000000002</v>
      </c>
      <c r="CT10" s="48">
        <v>100.578</v>
      </c>
      <c r="CU10" s="48">
        <v>102.426</v>
      </c>
      <c r="CV10" s="48">
        <v>106.554</v>
      </c>
      <c r="CW10" s="48">
        <v>107.124</v>
      </c>
      <c r="CX10" s="48">
        <v>101.7</v>
      </c>
      <c r="CY10" s="48">
        <v>99.713999999999999</v>
      </c>
      <c r="CZ10" s="48">
        <v>99.281999999999996</v>
      </c>
      <c r="DA10" s="48">
        <v>85.463999999999999</v>
      </c>
    </row>
    <row r="11" spans="1:105">
      <c r="A11" s="46">
        <v>9</v>
      </c>
      <c r="B11" s="13">
        <v>10</v>
      </c>
      <c r="C11" s="13">
        <v>8</v>
      </c>
      <c r="D11" s="13">
        <f t="shared" si="4"/>
        <v>80</v>
      </c>
      <c r="E11" s="13">
        <v>6</v>
      </c>
      <c r="F11" s="48">
        <f t="shared" si="5"/>
        <v>75</v>
      </c>
      <c r="G11" s="48">
        <f t="shared" si="0"/>
        <v>77.5</v>
      </c>
      <c r="H11" s="13">
        <v>10</v>
      </c>
      <c r="I11" s="48">
        <v>10</v>
      </c>
      <c r="J11" s="48">
        <f t="shared" si="1"/>
        <v>100</v>
      </c>
      <c r="K11" s="30">
        <v>3.3076923076923075</v>
      </c>
      <c r="L11" s="30">
        <f t="shared" si="6"/>
        <v>33.076923076923073</v>
      </c>
      <c r="M11" s="30">
        <f t="shared" si="2"/>
        <v>66.538461538461533</v>
      </c>
      <c r="N11" s="48">
        <f t="shared" si="3"/>
        <v>3322.1820000000002</v>
      </c>
      <c r="O11" s="56">
        <v>-60.014466249999998</v>
      </c>
      <c r="P11" s="43">
        <v>40.4313675</v>
      </c>
      <c r="Q11" s="56">
        <v>-63.812070000000006</v>
      </c>
      <c r="R11" s="56">
        <v>40.187930000000001</v>
      </c>
      <c r="T11" s="13">
        <v>3.25</v>
      </c>
      <c r="U11" s="13">
        <v>3.15</v>
      </c>
      <c r="V11" s="13">
        <v>3.1749999999999998</v>
      </c>
      <c r="W11" s="13">
        <v>3.2</v>
      </c>
      <c r="X11" s="13">
        <v>3.0750000000000002</v>
      </c>
      <c r="Y11" s="13">
        <v>3.0750000000000002</v>
      </c>
      <c r="Z11" s="13">
        <v>2.9</v>
      </c>
      <c r="AA11" s="13">
        <v>3.1</v>
      </c>
      <c r="AB11" s="13">
        <v>3.0750000000000002</v>
      </c>
      <c r="AC11" s="13">
        <v>2.85</v>
      </c>
      <c r="AD11" s="13">
        <v>3.4750000000000001</v>
      </c>
      <c r="AE11" s="13">
        <v>3.125</v>
      </c>
      <c r="AF11" s="13">
        <v>3.2250000000000001</v>
      </c>
      <c r="AG11" s="13">
        <v>3.3</v>
      </c>
      <c r="AH11" s="13">
        <v>3.35</v>
      </c>
      <c r="AI11" s="13">
        <v>3.4249999999999998</v>
      </c>
      <c r="AJ11" s="13">
        <v>3.4249999999999998</v>
      </c>
      <c r="AK11" s="13">
        <v>3.4</v>
      </c>
      <c r="AL11" s="13">
        <v>2.625</v>
      </c>
      <c r="AM11" s="13">
        <v>3.2749999999999999</v>
      </c>
      <c r="AN11" s="13">
        <v>3.5</v>
      </c>
      <c r="AO11" s="13">
        <v>3</v>
      </c>
      <c r="AP11" s="13">
        <v>3.5750000000000002</v>
      </c>
      <c r="AQ11" s="13">
        <v>3.4</v>
      </c>
      <c r="AR11" s="13">
        <v>3.4</v>
      </c>
      <c r="AS11" s="13">
        <v>3.4249999999999998</v>
      </c>
      <c r="AT11" s="13">
        <v>3.5750000000000002</v>
      </c>
      <c r="AU11" s="13">
        <v>3.5249999999999999</v>
      </c>
      <c r="AV11" s="13">
        <v>3.6749999999999998</v>
      </c>
      <c r="AW11" s="13">
        <v>3.75</v>
      </c>
      <c r="AX11" s="13">
        <v>3.75</v>
      </c>
      <c r="AY11" s="13">
        <v>3.8</v>
      </c>
      <c r="AZ11" s="13">
        <v>3.7749999999999999</v>
      </c>
      <c r="BA11" s="13">
        <v>3.7250000000000001</v>
      </c>
      <c r="BB11" s="13">
        <v>3.7</v>
      </c>
      <c r="BC11" s="13">
        <v>3.5750000000000002</v>
      </c>
      <c r="BD11" s="13">
        <v>3.8</v>
      </c>
      <c r="BE11" s="13">
        <v>3.7</v>
      </c>
      <c r="BF11" s="13">
        <v>3.5750000000000002</v>
      </c>
      <c r="BH11" s="36" t="s">
        <v>526</v>
      </c>
      <c r="BI11" s="48">
        <v>500</v>
      </c>
      <c r="BJ11" s="52">
        <v>6.1956666666666667E-2</v>
      </c>
      <c r="BK11" s="13">
        <f t="shared" si="7"/>
        <v>4</v>
      </c>
      <c r="BM11" s="48">
        <v>79.926000000000002</v>
      </c>
      <c r="BN11" s="48">
        <v>78.936000000000007</v>
      </c>
      <c r="BO11" s="48">
        <v>78.504000000000005</v>
      </c>
      <c r="BP11" s="48">
        <v>76.224000000000004</v>
      </c>
      <c r="BQ11" s="48">
        <v>77.225999999999999</v>
      </c>
      <c r="BR11" s="48">
        <v>77.796000000000006</v>
      </c>
      <c r="BS11" s="48">
        <v>74.513999999999996</v>
      </c>
      <c r="BT11" s="48">
        <v>74.945999999999998</v>
      </c>
      <c r="BU11" s="48">
        <v>69.953999999999994</v>
      </c>
      <c r="BV11" s="48">
        <v>75.516000000000005</v>
      </c>
      <c r="BW11" s="48">
        <v>75.378</v>
      </c>
      <c r="BX11" s="48">
        <v>69.245999999999995</v>
      </c>
      <c r="BY11" s="48">
        <v>84.066000000000003</v>
      </c>
      <c r="BZ11" s="48">
        <v>75.516000000000005</v>
      </c>
      <c r="CA11" s="48">
        <v>77.796000000000006</v>
      </c>
      <c r="CB11" s="48">
        <v>79.506</v>
      </c>
      <c r="CC11" s="48">
        <v>81.215999999999994</v>
      </c>
      <c r="CD11" s="48">
        <v>82.926000000000002</v>
      </c>
      <c r="CE11" s="48">
        <v>82.494</v>
      </c>
      <c r="CF11" s="48">
        <v>82.355999999999995</v>
      </c>
      <c r="CG11" s="48">
        <v>64.116</v>
      </c>
      <c r="CH11" s="48">
        <v>79.506</v>
      </c>
      <c r="CI11" s="48">
        <v>84.203999999999994</v>
      </c>
      <c r="CJ11" s="48">
        <v>73.236000000000004</v>
      </c>
      <c r="CK11" s="48">
        <v>85.914000000000001</v>
      </c>
      <c r="CL11" s="48">
        <v>81.492000000000004</v>
      </c>
      <c r="CM11" s="48">
        <v>81.492000000000004</v>
      </c>
      <c r="CN11" s="48">
        <v>82.061999999999998</v>
      </c>
      <c r="CO11" s="48">
        <v>85.914000000000001</v>
      </c>
      <c r="CP11" s="48">
        <v>84.341999999999999</v>
      </c>
      <c r="CQ11" s="48">
        <v>86.897999999999996</v>
      </c>
      <c r="CR11" s="48">
        <v>89.471999999999994</v>
      </c>
      <c r="CS11" s="48">
        <v>88.608000000000004</v>
      </c>
      <c r="CT11" s="48">
        <v>90.18</v>
      </c>
      <c r="CU11" s="48">
        <v>89.61</v>
      </c>
      <c r="CV11" s="48">
        <v>88.47</v>
      </c>
      <c r="CW11" s="48">
        <v>87.468000000000004</v>
      </c>
      <c r="CX11" s="48">
        <v>82.89</v>
      </c>
      <c r="CY11" s="48">
        <v>89.316000000000003</v>
      </c>
      <c r="CZ11" s="48">
        <v>87.9</v>
      </c>
      <c r="DA11" s="48">
        <v>85.05</v>
      </c>
    </row>
    <row r="12" spans="1:105">
      <c r="A12" s="46">
        <v>10</v>
      </c>
      <c r="B12" s="13">
        <v>10</v>
      </c>
      <c r="C12" s="13">
        <v>10</v>
      </c>
      <c r="D12" s="13">
        <f t="shared" si="4"/>
        <v>100</v>
      </c>
      <c r="E12" s="13">
        <v>2</v>
      </c>
      <c r="F12" s="48">
        <f t="shared" si="5"/>
        <v>20</v>
      </c>
      <c r="G12" s="48">
        <f t="shared" si="0"/>
        <v>60</v>
      </c>
      <c r="H12" s="13">
        <v>10</v>
      </c>
      <c r="I12" s="48">
        <v>9</v>
      </c>
      <c r="J12" s="48">
        <f t="shared" si="1"/>
        <v>90</v>
      </c>
      <c r="K12" s="30">
        <v>2.8205128205128207</v>
      </c>
      <c r="L12" s="30">
        <f t="shared" si="6"/>
        <v>31.339031339031344</v>
      </c>
      <c r="M12" s="30">
        <f t="shared" si="2"/>
        <v>60.669515669515675</v>
      </c>
      <c r="N12" s="48">
        <f t="shared" si="3"/>
        <v>3111.39</v>
      </c>
      <c r="O12" s="56">
        <v>-59.209349750000001</v>
      </c>
      <c r="P12" s="43">
        <v>42.718029999999999</v>
      </c>
      <c r="Q12" s="56">
        <v>-58.958167000000003</v>
      </c>
      <c r="R12" s="56">
        <v>45.041832999999997</v>
      </c>
      <c r="T12" s="13">
        <v>2.85</v>
      </c>
      <c r="U12" s="13">
        <v>3.0750000000000002</v>
      </c>
      <c r="V12" s="13">
        <v>2.9750000000000001</v>
      </c>
      <c r="W12" s="13">
        <v>2.85</v>
      </c>
      <c r="X12" s="13">
        <v>2.8250000000000002</v>
      </c>
      <c r="Y12" s="13">
        <v>2.9750000000000001</v>
      </c>
      <c r="Z12" s="13">
        <v>2.7</v>
      </c>
      <c r="AA12" s="13">
        <v>2.95</v>
      </c>
      <c r="AB12" s="13">
        <v>3.125</v>
      </c>
      <c r="AC12" s="13">
        <v>3.45</v>
      </c>
      <c r="AD12" s="13">
        <v>3.375</v>
      </c>
      <c r="AE12" s="13">
        <v>3.15</v>
      </c>
      <c r="AF12" s="13">
        <v>3.375</v>
      </c>
      <c r="AG12" s="13">
        <v>3.3250000000000002</v>
      </c>
      <c r="AH12" s="13">
        <v>3.45</v>
      </c>
      <c r="AI12" s="13">
        <v>3.3</v>
      </c>
      <c r="AJ12" s="13">
        <v>3.1749999999999998</v>
      </c>
      <c r="AK12" s="13">
        <v>3.0249999999999999</v>
      </c>
      <c r="AL12" s="13">
        <v>2.9750000000000001</v>
      </c>
      <c r="AM12" s="13">
        <v>2.875</v>
      </c>
      <c r="AN12" s="13">
        <v>3.0249999999999999</v>
      </c>
      <c r="AO12" s="13">
        <v>3</v>
      </c>
      <c r="AP12" s="13">
        <v>3.125</v>
      </c>
      <c r="AQ12" s="13">
        <v>3.2749999999999999</v>
      </c>
      <c r="AR12" s="13">
        <v>3.2</v>
      </c>
      <c r="AS12" s="13">
        <v>3.125</v>
      </c>
      <c r="AT12" s="13">
        <v>3.0249999999999999</v>
      </c>
      <c r="AU12" s="13">
        <v>3.125</v>
      </c>
      <c r="AV12" s="13">
        <v>3.05</v>
      </c>
      <c r="AW12" s="13">
        <v>3.1749999999999998</v>
      </c>
      <c r="AX12" s="13">
        <v>3.4249999999999998</v>
      </c>
      <c r="AY12" s="13">
        <v>3.1</v>
      </c>
      <c r="AZ12" s="13">
        <v>3.35</v>
      </c>
      <c r="BA12" s="13">
        <v>3.5249999999999999</v>
      </c>
      <c r="BB12" s="13">
        <v>3.2250000000000001</v>
      </c>
      <c r="BC12" s="13">
        <v>3.3</v>
      </c>
      <c r="BD12" s="13">
        <v>3.2749999999999999</v>
      </c>
      <c r="BE12" s="13">
        <v>3.25</v>
      </c>
      <c r="BF12" s="13">
        <v>3.3</v>
      </c>
      <c r="BH12" s="36" t="s">
        <v>527</v>
      </c>
      <c r="BI12" s="48">
        <v>500</v>
      </c>
      <c r="BJ12" s="52">
        <v>6.3439999999999996E-2</v>
      </c>
      <c r="BK12" s="13">
        <f t="shared" si="7"/>
        <v>8</v>
      </c>
      <c r="BM12" s="48">
        <v>69.096000000000004</v>
      </c>
      <c r="BN12" s="48">
        <v>72.665999999999997</v>
      </c>
      <c r="BO12" s="48">
        <v>69.816000000000003</v>
      </c>
      <c r="BP12" s="48">
        <v>74.945999999999998</v>
      </c>
      <c r="BQ12" s="48">
        <v>72.233999999999995</v>
      </c>
      <c r="BR12" s="48">
        <v>69.384</v>
      </c>
      <c r="BS12" s="48">
        <v>68.813999999999993</v>
      </c>
      <c r="BT12" s="48">
        <v>73.097999999999999</v>
      </c>
      <c r="BU12" s="48">
        <v>66.257999999999996</v>
      </c>
      <c r="BV12" s="48">
        <v>72.528000000000006</v>
      </c>
      <c r="BW12" s="48">
        <v>75.947999999999993</v>
      </c>
      <c r="BX12" s="48">
        <v>83.927999999999997</v>
      </c>
      <c r="BY12" s="48">
        <v>82.218000000000004</v>
      </c>
      <c r="BZ12" s="48">
        <v>76.95</v>
      </c>
      <c r="CA12" s="48">
        <v>82.218000000000004</v>
      </c>
      <c r="CB12" s="48">
        <v>81.078000000000003</v>
      </c>
      <c r="CC12" s="48">
        <v>83.927999999999997</v>
      </c>
      <c r="CD12" s="48">
        <v>79.644000000000005</v>
      </c>
      <c r="CE12" s="48">
        <v>77.658000000000001</v>
      </c>
      <c r="CF12" s="48">
        <v>74.238</v>
      </c>
      <c r="CG12" s="48">
        <v>72.665999999999997</v>
      </c>
      <c r="CH12" s="48">
        <v>70.385999999999996</v>
      </c>
      <c r="CI12" s="48">
        <v>73.373999999999995</v>
      </c>
      <c r="CJ12" s="48">
        <v>73.236000000000004</v>
      </c>
      <c r="CK12" s="48">
        <v>76.085999999999999</v>
      </c>
      <c r="CL12" s="48">
        <v>79.506</v>
      </c>
      <c r="CM12" s="48">
        <v>77.796000000000006</v>
      </c>
      <c r="CN12" s="48">
        <v>76.085999999999999</v>
      </c>
      <c r="CO12" s="48">
        <v>73.373999999999995</v>
      </c>
      <c r="CP12" s="48">
        <v>75.653999999999996</v>
      </c>
      <c r="CQ12" s="48">
        <v>73.944000000000003</v>
      </c>
      <c r="CR12" s="48">
        <v>76.793999999999997</v>
      </c>
      <c r="CS12" s="48">
        <v>81.63</v>
      </c>
      <c r="CT12" s="48">
        <v>74.652000000000001</v>
      </c>
      <c r="CU12" s="48">
        <v>79.488</v>
      </c>
      <c r="CV12" s="48">
        <v>83.477999999999994</v>
      </c>
      <c r="CW12" s="48">
        <v>76.206000000000003</v>
      </c>
      <c r="CX12" s="48">
        <v>76.62</v>
      </c>
      <c r="CY12" s="48">
        <v>78.641999999999996</v>
      </c>
      <c r="CZ12" s="48">
        <v>77.207999999999998</v>
      </c>
      <c r="DA12" s="48">
        <v>77.915999999999997</v>
      </c>
    </row>
    <row r="13" spans="1:105">
      <c r="A13" s="46">
        <v>11</v>
      </c>
      <c r="B13" s="13">
        <v>10</v>
      </c>
      <c r="C13" s="13">
        <v>10</v>
      </c>
      <c r="D13" s="13">
        <f t="shared" si="4"/>
        <v>100</v>
      </c>
      <c r="E13" s="13">
        <v>6</v>
      </c>
      <c r="F13" s="48">
        <f t="shared" si="5"/>
        <v>60</v>
      </c>
      <c r="G13" s="48">
        <f t="shared" si="0"/>
        <v>80</v>
      </c>
      <c r="H13" s="13">
        <v>10</v>
      </c>
      <c r="I13" s="48">
        <v>10</v>
      </c>
      <c r="J13" s="48">
        <f t="shared" si="1"/>
        <v>100</v>
      </c>
      <c r="K13" s="30">
        <v>3</v>
      </c>
      <c r="L13" s="30">
        <f t="shared" si="6"/>
        <v>30</v>
      </c>
      <c r="M13" s="30">
        <f t="shared" si="2"/>
        <v>65</v>
      </c>
      <c r="N13" s="48">
        <f t="shared" si="3"/>
        <v>3222.1679999999997</v>
      </c>
      <c r="O13" s="56">
        <v>-58.013750166666675</v>
      </c>
      <c r="P13" s="43">
        <v>43.416398416666659</v>
      </c>
      <c r="Q13" s="56">
        <v>-58.010738500000002</v>
      </c>
      <c r="R13" s="56">
        <v>45.989261499999998</v>
      </c>
      <c r="T13" s="13">
        <v>3.2</v>
      </c>
      <c r="U13" s="13">
        <v>3.2</v>
      </c>
      <c r="V13" s="13">
        <v>2.8</v>
      </c>
      <c r="W13" s="13">
        <v>3.0750000000000002</v>
      </c>
      <c r="X13" s="13">
        <v>3.1749999999999998</v>
      </c>
      <c r="Y13" s="13">
        <v>3.2</v>
      </c>
      <c r="Z13" s="13">
        <v>3.2250000000000001</v>
      </c>
      <c r="AA13" s="13">
        <v>3.125</v>
      </c>
      <c r="AB13" s="13">
        <v>3.6</v>
      </c>
      <c r="AC13" s="13">
        <v>3.4</v>
      </c>
      <c r="AD13" s="13">
        <v>3.35</v>
      </c>
      <c r="AE13" s="13">
        <v>3.375</v>
      </c>
      <c r="AF13" s="13">
        <v>3.4</v>
      </c>
      <c r="AG13" s="13">
        <v>3.3</v>
      </c>
      <c r="AH13" s="13">
        <v>3.4750000000000001</v>
      </c>
      <c r="AI13" s="13">
        <v>3.15</v>
      </c>
      <c r="AJ13" s="13">
        <v>3.15</v>
      </c>
      <c r="AK13" s="13">
        <v>2.9249999999999998</v>
      </c>
      <c r="AL13" s="13">
        <v>2.9</v>
      </c>
      <c r="AM13" s="13">
        <v>3.3250000000000002</v>
      </c>
      <c r="AN13" s="13">
        <v>3.4</v>
      </c>
      <c r="AO13" s="13">
        <v>3.2749999999999999</v>
      </c>
      <c r="AP13" s="13">
        <v>3.0750000000000002</v>
      </c>
      <c r="AQ13" s="13">
        <v>3.2749999999999999</v>
      </c>
      <c r="AR13" s="13">
        <v>3.35</v>
      </c>
      <c r="AS13" s="13">
        <v>3.45</v>
      </c>
      <c r="AT13" s="13">
        <v>3.375</v>
      </c>
      <c r="AU13" s="13">
        <v>3.5249999999999999</v>
      </c>
      <c r="AV13" s="13">
        <v>3.5249999999999999</v>
      </c>
      <c r="AW13" s="13">
        <v>3.4</v>
      </c>
      <c r="AX13" s="13">
        <v>3.45</v>
      </c>
      <c r="AY13" s="13">
        <v>3.55</v>
      </c>
      <c r="AZ13" s="13">
        <v>3.45</v>
      </c>
      <c r="BA13" s="13">
        <v>3.3</v>
      </c>
      <c r="BB13" s="13">
        <v>3.4</v>
      </c>
      <c r="BC13" s="13">
        <v>3.5</v>
      </c>
      <c r="BD13" s="13">
        <v>2.65</v>
      </c>
      <c r="BE13" s="13">
        <v>3.3250000000000002</v>
      </c>
      <c r="BF13" s="13">
        <v>3.4750000000000001</v>
      </c>
      <c r="BH13" s="36" t="s">
        <v>528</v>
      </c>
      <c r="BI13" s="48">
        <v>500</v>
      </c>
      <c r="BJ13" s="52">
        <v>6.9575499999999998E-2</v>
      </c>
      <c r="BK13" s="13">
        <f t="shared" si="7"/>
        <v>4</v>
      </c>
      <c r="BM13" s="48">
        <v>72.653999999999996</v>
      </c>
      <c r="BN13" s="48">
        <v>79.506</v>
      </c>
      <c r="BO13" s="48">
        <v>77.796000000000006</v>
      </c>
      <c r="BP13" s="48">
        <v>77.364000000000004</v>
      </c>
      <c r="BQ13" s="48">
        <v>67.242000000000004</v>
      </c>
      <c r="BR13" s="48">
        <v>74.513999999999996</v>
      </c>
      <c r="BS13" s="48">
        <v>76.793999999999997</v>
      </c>
      <c r="BT13" s="48">
        <v>77.364000000000004</v>
      </c>
      <c r="BU13" s="48">
        <v>77.933999999999997</v>
      </c>
      <c r="BV13" s="48">
        <v>76.085999999999999</v>
      </c>
      <c r="BW13" s="48">
        <v>86.483999999999995</v>
      </c>
      <c r="BX13" s="48">
        <v>81.924000000000007</v>
      </c>
      <c r="BY13" s="48">
        <v>80.784000000000006</v>
      </c>
      <c r="BZ13" s="48">
        <v>81.786000000000001</v>
      </c>
      <c r="CA13" s="48">
        <v>81.492000000000004</v>
      </c>
      <c r="CB13" s="48">
        <v>80.507999999999996</v>
      </c>
      <c r="CC13" s="48">
        <v>83.634</v>
      </c>
      <c r="CD13" s="48">
        <v>76.224000000000004</v>
      </c>
      <c r="CE13" s="48">
        <v>76.224000000000004</v>
      </c>
      <c r="CF13" s="48">
        <v>71.525999999999996</v>
      </c>
      <c r="CG13" s="48">
        <v>69.522000000000006</v>
      </c>
      <c r="CH13" s="48">
        <v>80.213999999999999</v>
      </c>
      <c r="CI13" s="48">
        <v>81.924000000000007</v>
      </c>
      <c r="CJ13" s="48">
        <v>79.073999999999998</v>
      </c>
      <c r="CK13" s="48">
        <v>74.513999999999996</v>
      </c>
      <c r="CL13" s="48">
        <v>79.073999999999998</v>
      </c>
      <c r="CM13" s="48">
        <v>80.352000000000004</v>
      </c>
      <c r="CN13" s="48">
        <v>82.632000000000005</v>
      </c>
      <c r="CO13" s="48">
        <v>80.921999999999997</v>
      </c>
      <c r="CP13" s="48">
        <v>83.91</v>
      </c>
      <c r="CQ13" s="48">
        <v>83.91</v>
      </c>
      <c r="CR13" s="48">
        <v>81.06</v>
      </c>
      <c r="CS13" s="48">
        <v>81.768000000000001</v>
      </c>
      <c r="CT13" s="48">
        <v>83.616</v>
      </c>
      <c r="CU13" s="48">
        <v>80.766000000000005</v>
      </c>
      <c r="CV13" s="48">
        <v>77.778000000000006</v>
      </c>
      <c r="CW13" s="48">
        <v>79.763999999999996</v>
      </c>
      <c r="CX13" s="48">
        <v>81.180000000000007</v>
      </c>
      <c r="CY13" s="48">
        <v>62.387999999999998</v>
      </c>
      <c r="CZ13" s="48">
        <v>78.486000000000004</v>
      </c>
      <c r="DA13" s="48">
        <v>81.474000000000004</v>
      </c>
    </row>
    <row r="14" spans="1:105">
      <c r="A14" s="46">
        <v>12</v>
      </c>
      <c r="B14" s="13">
        <v>10</v>
      </c>
      <c r="C14" s="13">
        <v>10</v>
      </c>
      <c r="D14" s="13">
        <f t="shared" si="4"/>
        <v>100</v>
      </c>
      <c r="E14" s="13">
        <v>4</v>
      </c>
      <c r="F14" s="48">
        <f t="shared" si="5"/>
        <v>40</v>
      </c>
      <c r="G14" s="48">
        <f t="shared" si="0"/>
        <v>70</v>
      </c>
      <c r="H14" s="13">
        <v>10</v>
      </c>
      <c r="I14" s="48">
        <v>10</v>
      </c>
      <c r="J14" s="48">
        <f t="shared" si="1"/>
        <v>100</v>
      </c>
      <c r="K14" s="30">
        <v>3.1538461538461537</v>
      </c>
      <c r="L14" s="30">
        <f t="shared" si="6"/>
        <v>31.538461538461537</v>
      </c>
      <c r="M14" s="30">
        <f t="shared" si="2"/>
        <v>65.769230769230774</v>
      </c>
      <c r="N14" s="48">
        <f t="shared" si="3"/>
        <v>3225.9240000000004</v>
      </c>
      <c r="O14" s="56">
        <v>-57.765252875000002</v>
      </c>
      <c r="P14" s="43">
        <v>43.993476749999999</v>
      </c>
      <c r="Q14" s="56">
        <v>-58.597060749999997</v>
      </c>
      <c r="R14" s="56">
        <v>45.402939250000003</v>
      </c>
      <c r="T14" s="13">
        <v>3.3</v>
      </c>
      <c r="U14" s="13">
        <v>3.05</v>
      </c>
      <c r="V14" s="13">
        <v>3.2749999999999999</v>
      </c>
      <c r="W14" s="13">
        <v>3</v>
      </c>
      <c r="X14" s="13">
        <v>2.9249999999999998</v>
      </c>
      <c r="Y14" s="13">
        <v>3</v>
      </c>
      <c r="Z14" s="13">
        <v>2.9249999999999998</v>
      </c>
      <c r="AA14" s="13">
        <v>3.4</v>
      </c>
      <c r="AB14" s="13">
        <v>3.3</v>
      </c>
      <c r="AC14" s="13">
        <v>3.4249999999999998</v>
      </c>
      <c r="AD14" s="13">
        <v>3.625</v>
      </c>
      <c r="AE14" s="13">
        <v>3.3250000000000002</v>
      </c>
      <c r="AF14" s="13">
        <v>3.6749999999999998</v>
      </c>
      <c r="AG14" s="13">
        <v>3.65</v>
      </c>
      <c r="AH14" s="13">
        <v>3.5249999999999999</v>
      </c>
      <c r="AI14" s="13">
        <v>3.4</v>
      </c>
      <c r="AJ14" s="13">
        <v>2.6749999999999998</v>
      </c>
      <c r="AK14" s="13">
        <v>2.8250000000000002</v>
      </c>
      <c r="AL14" s="13">
        <v>3.25</v>
      </c>
      <c r="AM14" s="13">
        <v>3.2749999999999999</v>
      </c>
      <c r="AN14" s="13">
        <v>3.3250000000000002</v>
      </c>
      <c r="AO14" s="13">
        <v>3.1</v>
      </c>
      <c r="AP14" s="13">
        <v>3.4</v>
      </c>
      <c r="AQ14" s="13">
        <v>3.35</v>
      </c>
      <c r="AR14" s="13">
        <v>3.1</v>
      </c>
      <c r="AS14" s="13">
        <v>3.4249999999999998</v>
      </c>
      <c r="AT14" s="13">
        <v>3.3250000000000002</v>
      </c>
      <c r="AU14" s="13">
        <v>3.25</v>
      </c>
      <c r="AV14" s="13">
        <v>3.4750000000000001</v>
      </c>
      <c r="AW14" s="13">
        <v>3.05</v>
      </c>
      <c r="AX14" s="13">
        <v>3.0750000000000002</v>
      </c>
      <c r="AY14" s="13">
        <v>3.2250000000000001</v>
      </c>
      <c r="AZ14" s="13">
        <v>3.4249999999999998</v>
      </c>
      <c r="BA14" s="13">
        <v>3.4750000000000001</v>
      </c>
      <c r="BB14" s="13">
        <v>3.25</v>
      </c>
      <c r="BC14" s="13">
        <v>3.35</v>
      </c>
      <c r="BD14" s="13">
        <v>3.3250000000000002</v>
      </c>
      <c r="BE14" s="13">
        <v>3.3</v>
      </c>
      <c r="BF14" s="13">
        <v>3.2250000000000001</v>
      </c>
      <c r="BH14" s="36" t="s">
        <v>529</v>
      </c>
      <c r="BI14" s="48">
        <v>500</v>
      </c>
      <c r="BJ14" s="52">
        <v>5.9655999999999994E-2</v>
      </c>
      <c r="BK14" s="13">
        <f t="shared" si="7"/>
        <v>6</v>
      </c>
      <c r="BM14" s="48">
        <v>76.506</v>
      </c>
      <c r="BN14" s="48">
        <v>80.646000000000001</v>
      </c>
      <c r="BO14" s="48">
        <v>80.075999999999993</v>
      </c>
      <c r="BP14" s="48">
        <v>74.376000000000005</v>
      </c>
      <c r="BQ14" s="48">
        <v>79.506</v>
      </c>
      <c r="BR14" s="48">
        <v>72.804000000000002</v>
      </c>
      <c r="BS14" s="48">
        <v>71.957999999999998</v>
      </c>
      <c r="BT14" s="48">
        <v>73.097999999999999</v>
      </c>
      <c r="BU14" s="48">
        <v>70.956000000000003</v>
      </c>
      <c r="BV14" s="48">
        <v>82.355999999999995</v>
      </c>
      <c r="BW14" s="48">
        <v>80.075999999999993</v>
      </c>
      <c r="BX14" s="48">
        <v>81.924000000000007</v>
      </c>
      <c r="BY14" s="48">
        <v>87.486000000000004</v>
      </c>
      <c r="BZ14" s="48">
        <v>79.644000000000005</v>
      </c>
      <c r="CA14" s="48">
        <v>88.194000000000003</v>
      </c>
      <c r="CB14" s="48">
        <v>87.623999999999995</v>
      </c>
      <c r="CC14" s="48">
        <v>85.206000000000003</v>
      </c>
      <c r="CD14" s="48">
        <v>81.924000000000007</v>
      </c>
      <c r="CE14" s="48">
        <v>65.688000000000002</v>
      </c>
      <c r="CF14" s="48">
        <v>68.244</v>
      </c>
      <c r="CG14" s="48">
        <v>78.504000000000005</v>
      </c>
      <c r="CH14" s="48">
        <v>79.506</v>
      </c>
      <c r="CI14" s="48">
        <v>80.646000000000001</v>
      </c>
      <c r="CJ14" s="48">
        <v>75.516000000000005</v>
      </c>
      <c r="CK14" s="48">
        <v>82.355999999999995</v>
      </c>
      <c r="CL14" s="48">
        <v>81.215999999999994</v>
      </c>
      <c r="CM14" s="48">
        <v>75.516000000000005</v>
      </c>
      <c r="CN14" s="48">
        <v>82.926000000000002</v>
      </c>
      <c r="CO14" s="48">
        <v>80.646000000000001</v>
      </c>
      <c r="CP14" s="48">
        <v>77.64</v>
      </c>
      <c r="CQ14" s="48">
        <v>82.77</v>
      </c>
      <c r="CR14" s="48">
        <v>73.512</v>
      </c>
      <c r="CS14" s="48">
        <v>73.944000000000003</v>
      </c>
      <c r="CT14" s="48">
        <v>77.069999999999993</v>
      </c>
      <c r="CU14" s="48">
        <v>81.63</v>
      </c>
      <c r="CV14" s="48">
        <v>82.77</v>
      </c>
      <c r="CW14" s="48">
        <v>77.64</v>
      </c>
      <c r="CX14" s="48">
        <v>77.760000000000005</v>
      </c>
      <c r="CY14" s="48">
        <v>79.349999999999994</v>
      </c>
      <c r="CZ14" s="48">
        <v>78.78</v>
      </c>
      <c r="DA14" s="48">
        <v>77.933999999999997</v>
      </c>
    </row>
    <row r="15" spans="1:105">
      <c r="A15" s="46">
        <v>13</v>
      </c>
      <c r="B15" s="13">
        <v>10</v>
      </c>
      <c r="C15" s="13">
        <v>10</v>
      </c>
      <c r="D15" s="13">
        <f t="shared" si="4"/>
        <v>100</v>
      </c>
      <c r="E15" s="13">
        <v>7</v>
      </c>
      <c r="F15" s="48">
        <f t="shared" si="5"/>
        <v>70</v>
      </c>
      <c r="G15" s="48">
        <f t="shared" si="0"/>
        <v>85</v>
      </c>
      <c r="H15" s="13">
        <v>10</v>
      </c>
      <c r="I15" s="48">
        <v>9</v>
      </c>
      <c r="J15" s="48">
        <f t="shared" si="1"/>
        <v>90</v>
      </c>
      <c r="K15" s="30">
        <v>2.5897435897435899</v>
      </c>
      <c r="L15" s="30">
        <f t="shared" si="6"/>
        <v>28.774928774928775</v>
      </c>
      <c r="M15" s="30">
        <f t="shared" si="2"/>
        <v>59.387464387464391</v>
      </c>
      <c r="N15" s="48">
        <f t="shared" si="3"/>
        <v>2972.0160000000001</v>
      </c>
      <c r="O15" s="56">
        <v>-59.271719857142855</v>
      </c>
      <c r="P15" s="43">
        <v>45.357078714285713</v>
      </c>
      <c r="Q15" s="56">
        <v>-56.630772285714286</v>
      </c>
      <c r="R15" s="56">
        <v>47.369227714285714</v>
      </c>
      <c r="T15" s="13">
        <v>2.9750000000000001</v>
      </c>
      <c r="U15" s="13">
        <v>2.9</v>
      </c>
      <c r="V15" s="13">
        <v>2.8250000000000002</v>
      </c>
      <c r="W15" s="13">
        <v>2.5249999999999999</v>
      </c>
      <c r="X15" s="13">
        <v>2.7</v>
      </c>
      <c r="Y15" s="13">
        <v>2.85</v>
      </c>
      <c r="Z15" s="13">
        <v>2.85</v>
      </c>
      <c r="AA15" s="13">
        <v>2.8</v>
      </c>
      <c r="AB15" s="13">
        <v>2.9750000000000001</v>
      </c>
      <c r="AC15" s="13">
        <v>3.0249999999999999</v>
      </c>
      <c r="AD15" s="13">
        <v>3.05</v>
      </c>
      <c r="AE15" s="13">
        <v>3.1749999999999998</v>
      </c>
      <c r="AF15" s="13">
        <v>3.25</v>
      </c>
      <c r="AG15" s="13">
        <v>2.9</v>
      </c>
      <c r="AH15" s="13">
        <v>2.7749999999999999</v>
      </c>
      <c r="AI15" s="13">
        <v>2.7250000000000001</v>
      </c>
      <c r="AJ15" s="13">
        <v>2.9249999999999998</v>
      </c>
      <c r="AK15" s="13">
        <v>2.65</v>
      </c>
      <c r="AL15" s="13">
        <v>2.8250000000000002</v>
      </c>
      <c r="AM15" s="13">
        <v>2.95</v>
      </c>
      <c r="AN15" s="13">
        <v>2.9249999999999998</v>
      </c>
      <c r="AO15" s="13">
        <v>2.95</v>
      </c>
      <c r="AP15" s="13">
        <v>2.95</v>
      </c>
      <c r="AQ15" s="13">
        <v>3.0249999999999999</v>
      </c>
      <c r="AR15" s="13">
        <v>2.8250000000000002</v>
      </c>
      <c r="AS15" s="13">
        <v>2.9249999999999998</v>
      </c>
      <c r="AT15" s="13">
        <v>3.2</v>
      </c>
      <c r="AU15" s="13">
        <v>3.2</v>
      </c>
      <c r="AV15" s="13">
        <v>3.125</v>
      </c>
      <c r="AW15" s="13">
        <v>2.95</v>
      </c>
      <c r="AX15" s="13">
        <v>3.35</v>
      </c>
      <c r="AY15" s="13">
        <v>3.2</v>
      </c>
      <c r="AZ15" s="13">
        <v>3.3</v>
      </c>
      <c r="BA15" s="13">
        <v>2.95</v>
      </c>
      <c r="BB15" s="13">
        <v>3.375</v>
      </c>
      <c r="BC15" s="13">
        <v>3.35</v>
      </c>
      <c r="BD15" s="13">
        <v>3.3250000000000002</v>
      </c>
      <c r="BE15" s="13">
        <v>3.1</v>
      </c>
      <c r="BF15" s="13">
        <v>3.125</v>
      </c>
      <c r="BH15" s="36" t="s">
        <v>530</v>
      </c>
      <c r="BI15" s="48">
        <v>500</v>
      </c>
      <c r="BJ15" s="52">
        <v>6.3660285714285711E-2</v>
      </c>
      <c r="BK15" s="13">
        <f t="shared" si="7"/>
        <v>3</v>
      </c>
      <c r="BM15" s="48">
        <v>63.966000000000001</v>
      </c>
      <c r="BN15" s="48">
        <v>73.805999999999997</v>
      </c>
      <c r="BO15" s="48">
        <v>72.665999999999997</v>
      </c>
      <c r="BP15" s="48">
        <v>70.956000000000003</v>
      </c>
      <c r="BQ15" s="48">
        <v>69.245999999999995</v>
      </c>
      <c r="BR15" s="48">
        <v>62.405999999999999</v>
      </c>
      <c r="BS15" s="48">
        <v>66.396000000000001</v>
      </c>
      <c r="BT15" s="48">
        <v>69.816000000000003</v>
      </c>
      <c r="BU15" s="48">
        <v>69.816000000000003</v>
      </c>
      <c r="BV15" s="48">
        <v>68.676000000000002</v>
      </c>
      <c r="BW15" s="48">
        <v>72.096000000000004</v>
      </c>
      <c r="BX15" s="48">
        <v>73.805999999999997</v>
      </c>
      <c r="BY15" s="48">
        <v>74.376000000000005</v>
      </c>
      <c r="BZ15" s="48">
        <v>77.225999999999999</v>
      </c>
      <c r="CA15" s="48">
        <v>78.936000000000007</v>
      </c>
      <c r="CB15" s="48">
        <v>70.956000000000003</v>
      </c>
      <c r="CC15" s="48">
        <v>68.105999999999995</v>
      </c>
      <c r="CD15" s="48">
        <v>67.397999999999996</v>
      </c>
      <c r="CE15" s="48">
        <v>71.525999999999996</v>
      </c>
      <c r="CF15" s="48">
        <v>64.254000000000005</v>
      </c>
      <c r="CG15" s="48">
        <v>69.245999999999995</v>
      </c>
      <c r="CH15" s="48">
        <v>72.096000000000004</v>
      </c>
      <c r="CI15" s="48">
        <v>71.525999999999996</v>
      </c>
      <c r="CJ15" s="48">
        <v>72.096000000000004</v>
      </c>
      <c r="CK15" s="48">
        <v>72.096000000000004</v>
      </c>
      <c r="CL15" s="48">
        <v>73.805999999999997</v>
      </c>
      <c r="CM15" s="48">
        <v>69.245999999999995</v>
      </c>
      <c r="CN15" s="48">
        <v>71.525999999999996</v>
      </c>
      <c r="CO15" s="48">
        <v>77.364000000000004</v>
      </c>
      <c r="CP15" s="48">
        <v>77.364000000000004</v>
      </c>
      <c r="CQ15" s="48">
        <v>75.221999999999994</v>
      </c>
      <c r="CR15" s="48">
        <v>70.662000000000006</v>
      </c>
      <c r="CS15" s="48">
        <v>80.784000000000006</v>
      </c>
      <c r="CT15" s="48">
        <v>76.932000000000002</v>
      </c>
      <c r="CU15" s="48">
        <v>79.212000000000003</v>
      </c>
      <c r="CV15" s="48">
        <v>71.093999999999994</v>
      </c>
      <c r="CW15" s="48">
        <v>80.489999999999995</v>
      </c>
      <c r="CX15" s="48">
        <v>77.760000000000005</v>
      </c>
      <c r="CY15" s="48">
        <v>77.622</v>
      </c>
      <c r="CZ15" s="48">
        <v>74.22</v>
      </c>
      <c r="DA15" s="48">
        <v>75.221999999999994</v>
      </c>
    </row>
    <row r="16" spans="1:105">
      <c r="A16" s="46">
        <v>14</v>
      </c>
      <c r="B16" s="13">
        <v>10</v>
      </c>
      <c r="C16" s="13">
        <v>10</v>
      </c>
      <c r="D16" s="13">
        <f t="shared" si="4"/>
        <v>100</v>
      </c>
      <c r="E16" s="13">
        <v>4</v>
      </c>
      <c r="F16" s="48">
        <f t="shared" si="5"/>
        <v>40</v>
      </c>
      <c r="G16" s="48">
        <f t="shared" si="0"/>
        <v>70</v>
      </c>
      <c r="H16" s="13">
        <v>10</v>
      </c>
      <c r="I16" s="48">
        <v>10</v>
      </c>
      <c r="J16" s="48">
        <f t="shared" si="1"/>
        <v>100</v>
      </c>
      <c r="K16" s="30">
        <v>3.0512820512820511</v>
      </c>
      <c r="L16" s="30">
        <f t="shared" si="6"/>
        <v>30.512820512820511</v>
      </c>
      <c r="M16" s="30">
        <f t="shared" si="2"/>
        <v>65.256410256410248</v>
      </c>
      <c r="N16" s="48">
        <f t="shared" si="3"/>
        <v>3245.6699999999992</v>
      </c>
      <c r="O16" s="56">
        <v>-58.86740666666666</v>
      </c>
      <c r="P16" s="43">
        <v>45.669910833333326</v>
      </c>
      <c r="Q16" s="56">
        <v>-55.750371666666666</v>
      </c>
      <c r="R16" s="56">
        <v>48.249628333333334</v>
      </c>
      <c r="T16" s="13">
        <v>3</v>
      </c>
      <c r="U16" s="13">
        <v>2.875</v>
      </c>
      <c r="V16" s="13">
        <v>2.95</v>
      </c>
      <c r="W16" s="13">
        <v>2.875</v>
      </c>
      <c r="X16" s="13">
        <v>2.95</v>
      </c>
      <c r="Y16" s="13">
        <v>3.1</v>
      </c>
      <c r="Z16" s="13">
        <v>2.8250000000000002</v>
      </c>
      <c r="AA16" s="13">
        <v>3.2250000000000001</v>
      </c>
      <c r="AB16" s="13">
        <v>3.5249999999999999</v>
      </c>
      <c r="AC16" s="13">
        <v>3.4750000000000001</v>
      </c>
      <c r="AD16" s="13">
        <v>3.7250000000000001</v>
      </c>
      <c r="AE16" s="13">
        <v>3.7749999999999999</v>
      </c>
      <c r="AF16" s="13">
        <v>3.8250000000000002</v>
      </c>
      <c r="AG16" s="13">
        <v>3.6</v>
      </c>
      <c r="AH16" s="13">
        <v>3.7749999999999999</v>
      </c>
      <c r="AI16" s="13">
        <v>3.4249999999999998</v>
      </c>
      <c r="AJ16" s="13">
        <v>3.4</v>
      </c>
      <c r="AK16" s="13">
        <v>3.1</v>
      </c>
      <c r="AL16" s="13">
        <v>3.3250000000000002</v>
      </c>
      <c r="AM16" s="13">
        <v>3.3</v>
      </c>
      <c r="AN16" s="13">
        <v>3.25</v>
      </c>
      <c r="AO16" s="13">
        <v>3.3</v>
      </c>
      <c r="AP16" s="13">
        <v>3.15</v>
      </c>
      <c r="AQ16" s="13">
        <v>3.2</v>
      </c>
      <c r="AR16" s="13">
        <v>3.3</v>
      </c>
      <c r="AS16" s="13">
        <v>3.4249999999999998</v>
      </c>
      <c r="AT16" s="13">
        <v>3.45</v>
      </c>
      <c r="AU16" s="13">
        <v>3.25</v>
      </c>
      <c r="AV16" s="13">
        <v>3.35</v>
      </c>
      <c r="AW16" s="13">
        <v>3.2</v>
      </c>
      <c r="AX16" s="13">
        <v>3.05</v>
      </c>
      <c r="AY16" s="13">
        <v>3.2749999999999999</v>
      </c>
      <c r="AZ16" s="13">
        <v>3.375</v>
      </c>
      <c r="BA16" s="13">
        <v>3.25</v>
      </c>
      <c r="BB16" s="13">
        <v>3.375</v>
      </c>
      <c r="BC16" s="13">
        <v>2.6749999999999998</v>
      </c>
      <c r="BD16" s="13">
        <v>3.3</v>
      </c>
      <c r="BE16" s="13">
        <v>3.375</v>
      </c>
      <c r="BF16" s="13">
        <v>3.35</v>
      </c>
      <c r="BH16" s="36" t="s">
        <v>531</v>
      </c>
      <c r="BI16" s="48">
        <v>500</v>
      </c>
      <c r="BJ16" s="52">
        <v>5.928075E-2</v>
      </c>
      <c r="BK16" s="13">
        <f t="shared" si="7"/>
        <v>6</v>
      </c>
      <c r="BM16" s="48">
        <v>73.793999999999997</v>
      </c>
      <c r="BN16" s="48">
        <v>77.796000000000006</v>
      </c>
      <c r="BO16" s="48">
        <v>73.236000000000004</v>
      </c>
      <c r="BP16" s="48">
        <v>70.385999999999996</v>
      </c>
      <c r="BQ16" s="48">
        <v>72.096000000000004</v>
      </c>
      <c r="BR16" s="48">
        <v>70.385999999999996</v>
      </c>
      <c r="BS16" s="48">
        <v>72.096000000000004</v>
      </c>
      <c r="BT16" s="48">
        <v>75.516000000000005</v>
      </c>
      <c r="BU16" s="48">
        <v>68.244</v>
      </c>
      <c r="BV16" s="48">
        <v>78.366</v>
      </c>
      <c r="BW16" s="48">
        <v>84.635999999999996</v>
      </c>
      <c r="BX16" s="48">
        <v>83.495999999999995</v>
      </c>
      <c r="BY16" s="48">
        <v>89.766000000000005</v>
      </c>
      <c r="BZ16" s="48">
        <v>90.906000000000006</v>
      </c>
      <c r="CA16" s="48">
        <v>92.046000000000006</v>
      </c>
      <c r="CB16" s="48">
        <v>86.915999999999997</v>
      </c>
      <c r="CC16" s="48">
        <v>90.906000000000006</v>
      </c>
      <c r="CD16" s="48">
        <v>82.494</v>
      </c>
      <c r="CE16" s="48">
        <v>82.355999999999995</v>
      </c>
      <c r="CF16" s="48">
        <v>75.516000000000005</v>
      </c>
      <c r="CG16" s="48">
        <v>81.078000000000003</v>
      </c>
      <c r="CH16" s="48">
        <v>79.644000000000005</v>
      </c>
      <c r="CI16" s="48">
        <v>78.936000000000007</v>
      </c>
      <c r="CJ16" s="48">
        <v>79.644000000000005</v>
      </c>
      <c r="CK16" s="48">
        <v>76.224000000000004</v>
      </c>
      <c r="CL16" s="48">
        <v>77.796000000000006</v>
      </c>
      <c r="CM16" s="48">
        <v>80.075999999999993</v>
      </c>
      <c r="CN16" s="48">
        <v>82.926000000000002</v>
      </c>
      <c r="CO16" s="48">
        <v>83.063999999999993</v>
      </c>
      <c r="CP16" s="48">
        <v>78.504000000000005</v>
      </c>
      <c r="CQ16" s="48">
        <v>80.784000000000006</v>
      </c>
      <c r="CR16" s="48">
        <v>77.364000000000004</v>
      </c>
      <c r="CS16" s="48">
        <v>74.376000000000005</v>
      </c>
      <c r="CT16" s="48">
        <v>79.073999999999998</v>
      </c>
      <c r="CU16" s="48">
        <v>81.353999999999999</v>
      </c>
      <c r="CV16" s="48">
        <v>78.504000000000005</v>
      </c>
      <c r="CW16" s="48">
        <v>81.353999999999999</v>
      </c>
      <c r="CX16" s="48">
        <v>62.231999999999999</v>
      </c>
      <c r="CY16" s="48">
        <v>80.075999999999993</v>
      </c>
      <c r="CZ16" s="48">
        <v>80.921999999999997</v>
      </c>
      <c r="DA16" s="48">
        <v>80.784000000000006</v>
      </c>
    </row>
    <row r="17" spans="1:105">
      <c r="A17" s="46">
        <v>15</v>
      </c>
      <c r="B17" s="13">
        <v>10</v>
      </c>
      <c r="C17" s="13">
        <v>10</v>
      </c>
      <c r="D17" s="13">
        <f t="shared" si="4"/>
        <v>100</v>
      </c>
      <c r="E17" s="13">
        <v>2</v>
      </c>
      <c r="F17" s="48">
        <f t="shared" si="5"/>
        <v>20</v>
      </c>
      <c r="G17" s="48">
        <f t="shared" si="0"/>
        <v>60</v>
      </c>
      <c r="H17" s="13">
        <v>10</v>
      </c>
      <c r="I17" s="48">
        <v>9</v>
      </c>
      <c r="J17" s="48">
        <f t="shared" si="1"/>
        <v>90</v>
      </c>
      <c r="K17" s="30">
        <v>2.2564102564102564</v>
      </c>
      <c r="L17" s="30">
        <f t="shared" si="6"/>
        <v>25.071225071225072</v>
      </c>
      <c r="M17" s="30">
        <f t="shared" si="2"/>
        <v>57.535612535612536</v>
      </c>
      <c r="N17" s="48">
        <f t="shared" si="3"/>
        <v>2634.7559999999999</v>
      </c>
      <c r="O17" s="56">
        <v>-59.363032249999996</v>
      </c>
      <c r="P17" s="43">
        <v>49.366722750000001</v>
      </c>
      <c r="Q17" s="56">
        <v>-56.499872499999995</v>
      </c>
      <c r="R17" s="56">
        <v>47.500127500000005</v>
      </c>
      <c r="T17" s="13">
        <v>2.4249999999999998</v>
      </c>
      <c r="U17" s="13">
        <v>2.6</v>
      </c>
      <c r="V17" s="13">
        <v>2.4</v>
      </c>
      <c r="W17" s="13">
        <v>2.2749999999999999</v>
      </c>
      <c r="X17" s="13">
        <v>2.4500000000000002</v>
      </c>
      <c r="Y17" s="13">
        <v>2.5499999999999998</v>
      </c>
      <c r="Z17" s="13">
        <v>2.6</v>
      </c>
      <c r="AA17" s="13">
        <v>2.4500000000000002</v>
      </c>
      <c r="AB17" s="13">
        <v>2.7</v>
      </c>
      <c r="AC17" s="13">
        <v>2.75</v>
      </c>
      <c r="AD17" s="13">
        <v>2.9249999999999998</v>
      </c>
      <c r="AE17" s="13">
        <v>3</v>
      </c>
      <c r="AF17" s="13">
        <v>2.7749999999999999</v>
      </c>
      <c r="AG17" s="13">
        <v>2.5499999999999998</v>
      </c>
      <c r="AH17" s="13">
        <v>2.8250000000000002</v>
      </c>
      <c r="AI17" s="13">
        <v>2.75</v>
      </c>
      <c r="AJ17" s="13">
        <v>2.625</v>
      </c>
      <c r="AK17" s="13">
        <v>2</v>
      </c>
      <c r="AL17" s="13">
        <v>2.625</v>
      </c>
      <c r="AM17" s="13">
        <v>2.65</v>
      </c>
      <c r="AN17" s="13">
        <v>2.4500000000000002</v>
      </c>
      <c r="AO17" s="13">
        <v>2.5750000000000002</v>
      </c>
      <c r="AP17" s="13">
        <v>2.5249999999999999</v>
      </c>
      <c r="AQ17" s="13">
        <v>2.5499999999999998</v>
      </c>
      <c r="AR17" s="13">
        <v>2.3250000000000002</v>
      </c>
      <c r="AS17" s="13">
        <v>2.6749999999999998</v>
      </c>
      <c r="AT17" s="13">
        <v>2.625</v>
      </c>
      <c r="AU17" s="13">
        <v>2.7250000000000001</v>
      </c>
      <c r="AV17" s="13">
        <v>2.8250000000000002</v>
      </c>
      <c r="AW17" s="13">
        <v>2.8250000000000002</v>
      </c>
      <c r="AX17" s="13">
        <v>2.95</v>
      </c>
      <c r="AY17" s="13">
        <v>2.85</v>
      </c>
      <c r="AZ17" s="13">
        <v>2.95</v>
      </c>
      <c r="BA17" s="13">
        <v>2.7</v>
      </c>
      <c r="BB17" s="13">
        <v>3.2</v>
      </c>
      <c r="BC17" s="13">
        <v>2.9750000000000001</v>
      </c>
      <c r="BD17" s="13">
        <v>2.8</v>
      </c>
      <c r="BE17" s="13">
        <v>2.75</v>
      </c>
      <c r="BF17" s="13">
        <v>2.5750000000000002</v>
      </c>
      <c r="BH17" s="36" t="s">
        <v>532</v>
      </c>
      <c r="BI17" s="48">
        <v>500</v>
      </c>
      <c r="BJ17" s="52">
        <v>6.5737999999999991E-2</v>
      </c>
      <c r="BK17" s="13">
        <f t="shared" si="7"/>
        <v>8</v>
      </c>
      <c r="BM17" s="48">
        <v>56.555999999999997</v>
      </c>
      <c r="BN17" s="48">
        <v>64.823999999999998</v>
      </c>
      <c r="BO17" s="48">
        <v>60.558</v>
      </c>
      <c r="BP17" s="48">
        <v>63.683999999999997</v>
      </c>
      <c r="BQ17" s="48">
        <v>58.692</v>
      </c>
      <c r="BR17" s="48">
        <v>55.841999999999999</v>
      </c>
      <c r="BS17" s="48">
        <v>59.832000000000001</v>
      </c>
      <c r="BT17" s="48">
        <v>62.543999999999997</v>
      </c>
      <c r="BU17" s="48">
        <v>63.683999999999997</v>
      </c>
      <c r="BV17" s="48">
        <v>59.832000000000001</v>
      </c>
      <c r="BW17" s="48">
        <v>64.962000000000003</v>
      </c>
      <c r="BX17" s="48">
        <v>66.671999999999997</v>
      </c>
      <c r="BY17" s="48">
        <v>70.662000000000006</v>
      </c>
      <c r="BZ17" s="48">
        <v>72.372</v>
      </c>
      <c r="CA17" s="48">
        <v>68.105999999999995</v>
      </c>
      <c r="CB17" s="48">
        <v>62.405999999999999</v>
      </c>
      <c r="CC17" s="48">
        <v>68.382000000000005</v>
      </c>
      <c r="CD17" s="48">
        <v>67.103999999999999</v>
      </c>
      <c r="CE17" s="48">
        <v>64.254000000000005</v>
      </c>
      <c r="CF17" s="48">
        <v>49.002000000000002</v>
      </c>
      <c r="CG17" s="48">
        <v>64.254000000000005</v>
      </c>
      <c r="CH17" s="48">
        <v>65.256</v>
      </c>
      <c r="CI17" s="48">
        <v>60.264000000000003</v>
      </c>
      <c r="CJ17" s="48">
        <v>63.113999999999997</v>
      </c>
      <c r="CK17" s="48">
        <v>61.542000000000002</v>
      </c>
      <c r="CL17" s="48">
        <v>63.408000000000001</v>
      </c>
      <c r="CM17" s="48">
        <v>57.845999999999997</v>
      </c>
      <c r="CN17" s="48">
        <v>64.53</v>
      </c>
      <c r="CO17" s="48">
        <v>62.957999999999998</v>
      </c>
      <c r="CP17" s="48">
        <v>66.102000000000004</v>
      </c>
      <c r="CQ17" s="48">
        <v>67.95</v>
      </c>
      <c r="CR17" s="48">
        <v>68.813999999999993</v>
      </c>
      <c r="CS17" s="48">
        <v>70.367999999999995</v>
      </c>
      <c r="CT17" s="48">
        <v>67.224000000000004</v>
      </c>
      <c r="CU17" s="48">
        <v>69.798000000000002</v>
      </c>
      <c r="CV17" s="48">
        <v>63.665999999999997</v>
      </c>
      <c r="CW17" s="48">
        <v>75.635999999999996</v>
      </c>
      <c r="CX17" s="48">
        <v>69.486000000000004</v>
      </c>
      <c r="CY17" s="48">
        <v>66.947999999999993</v>
      </c>
      <c r="CZ17" s="48">
        <v>64.805999999999997</v>
      </c>
      <c r="DA17" s="48">
        <v>60.816000000000003</v>
      </c>
    </row>
    <row r="18" spans="1:105">
      <c r="A18" s="46">
        <v>16</v>
      </c>
      <c r="B18" s="13">
        <v>10</v>
      </c>
      <c r="C18" s="13">
        <v>9</v>
      </c>
      <c r="D18" s="13">
        <f t="shared" si="4"/>
        <v>90</v>
      </c>
      <c r="E18" s="13">
        <v>3</v>
      </c>
      <c r="F18" s="13">
        <f t="shared" si="5"/>
        <v>33.333333333333329</v>
      </c>
      <c r="G18" s="13">
        <f t="shared" si="0"/>
        <v>61.666666666666664</v>
      </c>
      <c r="H18" s="13">
        <v>10</v>
      </c>
      <c r="I18" s="48">
        <v>10</v>
      </c>
      <c r="J18" s="48">
        <f t="shared" si="1"/>
        <v>100</v>
      </c>
      <c r="K18" s="30">
        <v>2.5384615384615383</v>
      </c>
      <c r="L18" s="30">
        <f t="shared" si="6"/>
        <v>25.384615384615383</v>
      </c>
      <c r="M18" s="30">
        <f t="shared" si="2"/>
        <v>62.692307692307693</v>
      </c>
      <c r="N18" s="48">
        <f t="shared" si="3"/>
        <v>2661.6120000000001</v>
      </c>
      <c r="O18" s="56">
        <v>-60.239153499999993</v>
      </c>
      <c r="P18" s="43">
        <v>43.644616833333338</v>
      </c>
      <c r="Q18" s="56">
        <v>-61.974414000000003</v>
      </c>
      <c r="R18" s="56">
        <v>42.025585999999997</v>
      </c>
      <c r="T18" s="13">
        <v>2.7</v>
      </c>
      <c r="U18" s="13">
        <v>2.5750000000000002</v>
      </c>
      <c r="V18" s="13">
        <v>2.5</v>
      </c>
      <c r="W18" s="13">
        <v>2.2749999999999999</v>
      </c>
      <c r="X18" s="13">
        <v>2.1749999999999998</v>
      </c>
      <c r="Y18" s="13">
        <v>2.2999999999999998</v>
      </c>
      <c r="Z18" s="13">
        <v>2.35</v>
      </c>
      <c r="AA18" s="13">
        <v>2.375</v>
      </c>
      <c r="AB18" s="13">
        <v>2.65</v>
      </c>
      <c r="AC18" s="13">
        <v>2.5499999999999998</v>
      </c>
      <c r="AD18" s="13">
        <v>2.5249999999999999</v>
      </c>
      <c r="AE18" s="13">
        <v>2.375</v>
      </c>
      <c r="AF18" s="13">
        <v>2.5</v>
      </c>
      <c r="AG18" s="13">
        <v>2.5249999999999999</v>
      </c>
      <c r="AH18" s="13">
        <v>2.7749999999999999</v>
      </c>
      <c r="AI18" s="13">
        <v>2.4249999999999998</v>
      </c>
      <c r="AJ18" s="13">
        <v>2.8</v>
      </c>
      <c r="AK18" s="13">
        <v>2.375</v>
      </c>
      <c r="AL18" s="13">
        <v>2.2250000000000001</v>
      </c>
      <c r="AM18" s="13">
        <v>2.625</v>
      </c>
      <c r="AN18" s="13">
        <v>2.5249999999999999</v>
      </c>
      <c r="AO18" s="13">
        <v>2.5499999999999998</v>
      </c>
      <c r="AP18" s="13">
        <v>2.4500000000000002</v>
      </c>
      <c r="AQ18" s="13">
        <v>2.4750000000000001</v>
      </c>
      <c r="AR18" s="13">
        <v>2.7250000000000001</v>
      </c>
      <c r="AS18" s="13">
        <v>2.7250000000000001</v>
      </c>
      <c r="AT18" s="13">
        <v>2.9750000000000001</v>
      </c>
      <c r="AU18" s="13">
        <v>2.9</v>
      </c>
      <c r="AV18" s="13">
        <v>2.75</v>
      </c>
      <c r="AW18" s="13">
        <v>2.7250000000000001</v>
      </c>
      <c r="AX18" s="13">
        <v>2.875</v>
      </c>
      <c r="AY18" s="13">
        <v>2.9750000000000001</v>
      </c>
      <c r="AZ18" s="13">
        <v>3.125</v>
      </c>
      <c r="BA18" s="13">
        <v>3.3250000000000002</v>
      </c>
      <c r="BB18" s="13">
        <v>3.0750000000000002</v>
      </c>
      <c r="BC18" s="13">
        <v>2.6</v>
      </c>
      <c r="BD18" s="13">
        <v>2.95</v>
      </c>
      <c r="BE18" s="13">
        <v>2.95</v>
      </c>
      <c r="BF18" s="13">
        <v>3.0249999999999999</v>
      </c>
      <c r="BH18" s="36" t="s">
        <v>533</v>
      </c>
      <c r="BI18" s="48">
        <v>500</v>
      </c>
      <c r="BJ18" s="52">
        <v>6.655833333333333E-2</v>
      </c>
      <c r="BK18" s="13">
        <f t="shared" si="7"/>
        <v>7</v>
      </c>
      <c r="BM18" s="48">
        <v>63.69</v>
      </c>
      <c r="BN18" s="48">
        <v>64.686000000000007</v>
      </c>
      <c r="BO18" s="48">
        <v>66.828000000000003</v>
      </c>
      <c r="BP18" s="48">
        <v>63.978000000000002</v>
      </c>
      <c r="BQ18" s="48">
        <v>62.7</v>
      </c>
      <c r="BR18" s="48">
        <v>57.137999999999998</v>
      </c>
      <c r="BS18" s="48">
        <v>55.29</v>
      </c>
      <c r="BT18" s="48">
        <v>58.14</v>
      </c>
      <c r="BU18" s="48">
        <v>59.28</v>
      </c>
      <c r="BV18" s="48">
        <v>59.85</v>
      </c>
      <c r="BW18" s="48">
        <v>66.12</v>
      </c>
      <c r="BX18" s="48">
        <v>63.408000000000001</v>
      </c>
      <c r="BY18" s="48">
        <v>62.7</v>
      </c>
      <c r="BZ18" s="48">
        <v>58.847999999999999</v>
      </c>
      <c r="CA18" s="48">
        <v>61.698</v>
      </c>
      <c r="CB18" s="48">
        <v>62.7</v>
      </c>
      <c r="CC18" s="48">
        <v>68.537999999999997</v>
      </c>
      <c r="CD18" s="48">
        <v>60.42</v>
      </c>
      <c r="CE18" s="48">
        <v>69.540000000000006</v>
      </c>
      <c r="CF18" s="48">
        <v>59.417999999999999</v>
      </c>
      <c r="CG18" s="48">
        <v>55.86</v>
      </c>
      <c r="CH18" s="48">
        <v>64.686000000000007</v>
      </c>
      <c r="CI18" s="48">
        <v>63.27</v>
      </c>
      <c r="CJ18" s="48">
        <v>63.84</v>
      </c>
      <c r="CK18" s="48">
        <v>61.128</v>
      </c>
      <c r="CL18" s="48">
        <v>61.698</v>
      </c>
      <c r="CM18" s="48">
        <v>67.397999999999996</v>
      </c>
      <c r="CN18" s="48">
        <v>67.397999999999996</v>
      </c>
      <c r="CO18" s="48">
        <v>70.938000000000002</v>
      </c>
      <c r="CP18" s="48">
        <v>69.227999999999994</v>
      </c>
      <c r="CQ18" s="48">
        <v>66.239999999999995</v>
      </c>
      <c r="CR18" s="48">
        <v>65.238</v>
      </c>
      <c r="CS18" s="48">
        <v>68.951999999999998</v>
      </c>
      <c r="CT18" s="48">
        <v>71.37</v>
      </c>
      <c r="CU18" s="48">
        <v>74.358000000000004</v>
      </c>
      <c r="CV18" s="48">
        <v>79.349999999999994</v>
      </c>
      <c r="CW18" s="48">
        <v>73.218000000000004</v>
      </c>
      <c r="CX18" s="48">
        <v>60.521999999999998</v>
      </c>
      <c r="CY18" s="48">
        <v>69.936000000000007</v>
      </c>
      <c r="CZ18" s="48">
        <v>69.936000000000007</v>
      </c>
      <c r="DA18" s="48">
        <v>72.078000000000003</v>
      </c>
    </row>
    <row r="19" spans="1:105">
      <c r="A19" s="46">
        <v>17</v>
      </c>
      <c r="B19" s="13">
        <v>10</v>
      </c>
      <c r="C19" s="13">
        <v>10</v>
      </c>
      <c r="D19" s="13">
        <f t="shared" si="4"/>
        <v>100</v>
      </c>
      <c r="E19" s="13">
        <v>6</v>
      </c>
      <c r="F19" s="13">
        <f t="shared" si="5"/>
        <v>60</v>
      </c>
      <c r="G19" s="13">
        <f t="shared" si="0"/>
        <v>80</v>
      </c>
      <c r="H19" s="13">
        <v>10</v>
      </c>
      <c r="I19" s="48">
        <v>10</v>
      </c>
      <c r="J19" s="48">
        <f t="shared" si="1"/>
        <v>100</v>
      </c>
      <c r="K19" s="30">
        <v>1.6923076923076923</v>
      </c>
      <c r="L19" s="30">
        <f t="shared" si="6"/>
        <v>16.923076923076923</v>
      </c>
      <c r="M19" s="30">
        <f t="shared" si="2"/>
        <v>58.46153846153846</v>
      </c>
      <c r="N19" s="48">
        <f t="shared" si="3"/>
        <v>2264.16</v>
      </c>
      <c r="O19" s="56">
        <v>-61.152296166666666</v>
      </c>
      <c r="P19" s="43">
        <v>42.397467083333332</v>
      </c>
      <c r="Q19" s="56">
        <v>-61.075119833333332</v>
      </c>
      <c r="R19" s="56">
        <v>42.924880166666668</v>
      </c>
      <c r="T19" s="13">
        <v>2.4249999999999998</v>
      </c>
      <c r="U19" s="13">
        <v>2.125</v>
      </c>
      <c r="V19" s="13">
        <v>2.2250000000000001</v>
      </c>
      <c r="W19" s="13">
        <v>1.9</v>
      </c>
      <c r="X19" s="13">
        <v>1.85</v>
      </c>
      <c r="Y19" s="13">
        <v>1.925</v>
      </c>
      <c r="Z19" s="13">
        <v>1.95</v>
      </c>
      <c r="AA19" s="13">
        <v>2.3250000000000002</v>
      </c>
      <c r="AB19" s="13">
        <v>2.35</v>
      </c>
      <c r="AC19" s="13">
        <v>1.7</v>
      </c>
      <c r="AD19" s="13">
        <v>2.5249999999999999</v>
      </c>
      <c r="AE19" s="13">
        <v>2.2250000000000001</v>
      </c>
      <c r="AF19" s="13">
        <v>2.375</v>
      </c>
      <c r="AG19" s="13">
        <v>2.2250000000000001</v>
      </c>
      <c r="AH19" s="13">
        <v>2.5750000000000002</v>
      </c>
      <c r="AI19" s="13">
        <v>2.4</v>
      </c>
      <c r="AJ19" s="13">
        <v>2.5249999999999999</v>
      </c>
      <c r="AK19" s="13">
        <v>1.85</v>
      </c>
      <c r="AL19" s="13">
        <v>2.0499999999999998</v>
      </c>
      <c r="AM19" s="13">
        <v>2.2250000000000001</v>
      </c>
      <c r="AN19" s="13">
        <v>2.25</v>
      </c>
      <c r="AO19" s="13">
        <v>2.1749999999999998</v>
      </c>
      <c r="AP19" s="13">
        <v>2.15</v>
      </c>
      <c r="AQ19" s="13">
        <v>2.0750000000000002</v>
      </c>
      <c r="AR19" s="13">
        <v>2.125</v>
      </c>
      <c r="AS19" s="13">
        <v>2.25</v>
      </c>
      <c r="AT19" s="13">
        <v>2.4</v>
      </c>
      <c r="AU19" s="13">
        <v>2.2749999999999999</v>
      </c>
      <c r="AV19" s="13">
        <v>2.5249999999999999</v>
      </c>
      <c r="AW19" s="13">
        <v>2.35</v>
      </c>
      <c r="AX19" s="13">
        <v>2.4</v>
      </c>
      <c r="AY19" s="13">
        <v>2.4</v>
      </c>
      <c r="AZ19" s="13">
        <v>2.4249999999999998</v>
      </c>
      <c r="BA19" s="13">
        <v>2.3250000000000002</v>
      </c>
      <c r="BB19" s="13">
        <v>2.65</v>
      </c>
      <c r="BC19" s="13">
        <v>2.6</v>
      </c>
      <c r="BD19" s="13">
        <v>2.625</v>
      </c>
      <c r="BE19" s="13">
        <v>2.4750000000000001</v>
      </c>
      <c r="BF19" s="13">
        <v>1.675</v>
      </c>
      <c r="BH19" s="36" t="s">
        <v>534</v>
      </c>
      <c r="BI19" s="48">
        <v>500</v>
      </c>
      <c r="BJ19" s="52">
        <v>6.4426833333333336E-2</v>
      </c>
      <c r="BK19" s="13">
        <f t="shared" si="7"/>
        <v>4</v>
      </c>
      <c r="BM19" s="48">
        <v>44.448</v>
      </c>
      <c r="BN19" s="48">
        <v>52.853999999999999</v>
      </c>
      <c r="BO19" s="48">
        <v>60.125999999999998</v>
      </c>
      <c r="BP19" s="48">
        <v>52.853999999999999</v>
      </c>
      <c r="BQ19" s="48">
        <v>55.997999999999998</v>
      </c>
      <c r="BR19" s="48">
        <v>49.02</v>
      </c>
      <c r="BS19" s="48">
        <v>47.88</v>
      </c>
      <c r="BT19" s="48">
        <v>49.158000000000001</v>
      </c>
      <c r="BU19" s="48">
        <v>49.59</v>
      </c>
      <c r="BV19" s="48">
        <v>58.277999999999999</v>
      </c>
      <c r="BW19" s="48">
        <v>58.847999999999999</v>
      </c>
      <c r="BX19" s="48">
        <v>43.32</v>
      </c>
      <c r="BY19" s="48">
        <v>62.838000000000001</v>
      </c>
      <c r="BZ19" s="48">
        <v>55.427999999999997</v>
      </c>
      <c r="CA19" s="48">
        <v>59.85</v>
      </c>
      <c r="CB19" s="48">
        <v>55.427999999999997</v>
      </c>
      <c r="CC19" s="48">
        <v>64.41</v>
      </c>
      <c r="CD19" s="48">
        <v>60.42</v>
      </c>
      <c r="CE19" s="48">
        <v>62.838000000000001</v>
      </c>
      <c r="CF19" s="48">
        <v>46.878</v>
      </c>
      <c r="CG19" s="48">
        <v>52.44</v>
      </c>
      <c r="CH19" s="48">
        <v>55.134</v>
      </c>
      <c r="CI19" s="48">
        <v>55.704000000000001</v>
      </c>
      <c r="CJ19" s="48">
        <v>53.994</v>
      </c>
      <c r="CK19" s="48">
        <v>53.423999999999999</v>
      </c>
      <c r="CL19" s="48">
        <v>51.281999999999996</v>
      </c>
      <c r="CM19" s="48">
        <v>52.853999999999999</v>
      </c>
      <c r="CN19" s="48">
        <v>54.84</v>
      </c>
      <c r="CO19" s="48">
        <v>57.828000000000003</v>
      </c>
      <c r="CP19" s="48">
        <v>55.841999999999999</v>
      </c>
      <c r="CQ19" s="48">
        <v>60.246000000000002</v>
      </c>
      <c r="CR19" s="48">
        <v>56.688000000000002</v>
      </c>
      <c r="CS19" s="48">
        <v>57.828000000000003</v>
      </c>
      <c r="CT19" s="48">
        <v>57.258000000000003</v>
      </c>
      <c r="CU19" s="48">
        <v>57.966000000000001</v>
      </c>
      <c r="CV19" s="48">
        <v>55.116</v>
      </c>
      <c r="CW19" s="48">
        <v>63.095999999999997</v>
      </c>
      <c r="CX19" s="48">
        <v>60.798000000000002</v>
      </c>
      <c r="CY19" s="48">
        <v>62.094000000000001</v>
      </c>
      <c r="CZ19" s="48">
        <v>58.673999999999999</v>
      </c>
      <c r="DA19" s="48">
        <v>40.590000000000003</v>
      </c>
    </row>
    <row r="20" spans="1:105">
      <c r="A20" s="46">
        <v>18</v>
      </c>
      <c r="B20" s="13">
        <v>10</v>
      </c>
      <c r="C20" s="13">
        <v>10</v>
      </c>
      <c r="D20" s="13">
        <f t="shared" si="4"/>
        <v>100</v>
      </c>
      <c r="E20" s="13">
        <v>3</v>
      </c>
      <c r="F20" s="13">
        <f t="shared" si="5"/>
        <v>30</v>
      </c>
      <c r="G20" s="13">
        <f t="shared" si="0"/>
        <v>65</v>
      </c>
      <c r="H20" s="13">
        <v>10</v>
      </c>
      <c r="I20" s="48">
        <v>9</v>
      </c>
      <c r="J20" s="48">
        <f t="shared" si="1"/>
        <v>90</v>
      </c>
      <c r="K20" s="30">
        <v>2.4615384615384617</v>
      </c>
      <c r="L20" s="30">
        <f t="shared" si="6"/>
        <v>27.350427350427353</v>
      </c>
      <c r="M20" s="30">
        <f t="shared" si="2"/>
        <v>58.675213675213676</v>
      </c>
      <c r="N20" s="48">
        <f t="shared" si="3"/>
        <v>2997.6059999999993</v>
      </c>
      <c r="O20" s="56">
        <v>-62.949483166666674</v>
      </c>
      <c r="P20" s="43">
        <v>41.815421500000006</v>
      </c>
      <c r="Q20" s="56">
        <v>-63.147130666666669</v>
      </c>
      <c r="R20" s="56">
        <v>40.852869333333331</v>
      </c>
      <c r="T20" s="13">
        <v>2.9249999999999998</v>
      </c>
      <c r="U20" s="13">
        <v>2.9249999999999998</v>
      </c>
      <c r="V20" s="13">
        <v>2.875</v>
      </c>
      <c r="W20" s="13">
        <v>2.75</v>
      </c>
      <c r="X20" s="13">
        <v>2.6</v>
      </c>
      <c r="Y20" s="13">
        <v>2.6</v>
      </c>
      <c r="Z20" s="13">
        <v>2.875</v>
      </c>
      <c r="AA20" s="13">
        <v>2.875</v>
      </c>
      <c r="AB20" s="13">
        <v>2.5750000000000002</v>
      </c>
      <c r="AC20" s="13">
        <v>2.625</v>
      </c>
      <c r="AD20" s="13">
        <v>3.2</v>
      </c>
      <c r="AE20" s="13">
        <v>3.25</v>
      </c>
      <c r="AF20" s="13">
        <v>2.95</v>
      </c>
      <c r="AG20" s="13">
        <v>3.0750000000000002</v>
      </c>
      <c r="AH20" s="13">
        <v>3.15</v>
      </c>
      <c r="AI20" s="13">
        <v>2.9750000000000001</v>
      </c>
      <c r="AJ20" s="13">
        <v>3.0249999999999999</v>
      </c>
      <c r="AK20" s="13">
        <v>2.5499999999999998</v>
      </c>
      <c r="AL20" s="13">
        <v>2.875</v>
      </c>
      <c r="AM20" s="13">
        <v>2.85</v>
      </c>
      <c r="AN20" s="13">
        <v>2.75</v>
      </c>
      <c r="AO20" s="13">
        <v>3.125</v>
      </c>
      <c r="AP20" s="13">
        <v>3.2</v>
      </c>
      <c r="AQ20" s="13">
        <v>3.125</v>
      </c>
      <c r="AR20" s="13">
        <v>2.85</v>
      </c>
      <c r="AS20" s="13">
        <v>3.1749999999999998</v>
      </c>
      <c r="AT20" s="13">
        <v>3.1749999999999998</v>
      </c>
      <c r="AU20" s="13">
        <v>3</v>
      </c>
      <c r="AV20" s="13">
        <v>3.25</v>
      </c>
      <c r="AW20" s="13">
        <v>3.4</v>
      </c>
      <c r="AX20" s="13">
        <v>3.3250000000000002</v>
      </c>
      <c r="AY20" s="13">
        <v>3.4249999999999998</v>
      </c>
      <c r="AZ20" s="13">
        <v>3.3250000000000002</v>
      </c>
      <c r="BA20" s="13">
        <v>3.6</v>
      </c>
      <c r="BB20" s="13">
        <v>3.45</v>
      </c>
      <c r="BC20" s="13">
        <v>3.5750000000000002</v>
      </c>
      <c r="BD20" s="13">
        <v>2.85</v>
      </c>
      <c r="BE20" s="13">
        <v>3.5750000000000002</v>
      </c>
      <c r="BF20" s="13">
        <v>3.25</v>
      </c>
      <c r="BH20" s="36" t="s">
        <v>535</v>
      </c>
      <c r="BI20" s="48">
        <v>500</v>
      </c>
      <c r="BJ20" s="52">
        <v>6.6333666666666666E-2</v>
      </c>
      <c r="BK20" s="13">
        <f t="shared" si="7"/>
        <v>7</v>
      </c>
      <c r="BM20" s="48">
        <v>60.252000000000002</v>
      </c>
      <c r="BN20" s="48">
        <v>73.512</v>
      </c>
      <c r="BO20" s="48">
        <v>70.662000000000006</v>
      </c>
      <c r="BP20" s="48">
        <v>70.662000000000006</v>
      </c>
      <c r="BQ20" s="48">
        <v>69.522000000000006</v>
      </c>
      <c r="BR20" s="48">
        <v>66.671999999999997</v>
      </c>
      <c r="BS20" s="48">
        <v>63.252000000000002</v>
      </c>
      <c r="BT20" s="48">
        <v>63.252000000000002</v>
      </c>
      <c r="BU20" s="48">
        <v>69.953999999999994</v>
      </c>
      <c r="BV20" s="48">
        <v>69.522000000000006</v>
      </c>
      <c r="BW20" s="48">
        <v>62.543999999999997</v>
      </c>
      <c r="BX20" s="48">
        <v>64.116</v>
      </c>
      <c r="BY20" s="48">
        <v>77.364000000000004</v>
      </c>
      <c r="BZ20" s="48">
        <v>78.936000000000007</v>
      </c>
      <c r="CA20" s="48">
        <v>71.664000000000001</v>
      </c>
      <c r="CB20" s="48">
        <v>74.513999999999996</v>
      </c>
      <c r="CC20" s="48">
        <v>76.224000000000004</v>
      </c>
      <c r="CD20" s="48">
        <v>71.664000000000001</v>
      </c>
      <c r="CE20" s="48">
        <v>73.373999999999995</v>
      </c>
      <c r="CF20" s="48">
        <v>62.543999999999997</v>
      </c>
      <c r="CG20" s="48">
        <v>69.384</v>
      </c>
      <c r="CH20" s="48">
        <v>69.384</v>
      </c>
      <c r="CI20" s="48">
        <v>66.534000000000006</v>
      </c>
      <c r="CJ20" s="48">
        <v>75.653999999999996</v>
      </c>
      <c r="CK20" s="48">
        <v>77.364000000000004</v>
      </c>
      <c r="CL20" s="48">
        <v>75.653999999999996</v>
      </c>
      <c r="CM20" s="48">
        <v>69.384</v>
      </c>
      <c r="CN20" s="48">
        <v>75.930000000000007</v>
      </c>
      <c r="CO20" s="48">
        <v>76.793999999999997</v>
      </c>
      <c r="CP20" s="48">
        <v>72.233999999999995</v>
      </c>
      <c r="CQ20" s="48">
        <v>77.64</v>
      </c>
      <c r="CR20" s="48">
        <v>81.06</v>
      </c>
      <c r="CS20" s="48">
        <v>79.349999999999994</v>
      </c>
      <c r="CT20" s="48">
        <v>81.197999999999993</v>
      </c>
      <c r="CU20" s="48">
        <v>79.349999999999994</v>
      </c>
      <c r="CV20" s="48">
        <v>85.62</v>
      </c>
      <c r="CW20" s="48">
        <v>82.2</v>
      </c>
      <c r="CX20" s="48">
        <v>82.89</v>
      </c>
      <c r="CY20" s="48">
        <v>67.085999999999999</v>
      </c>
      <c r="CZ20" s="48">
        <v>84.617999999999995</v>
      </c>
      <c r="DA20" s="48">
        <v>78.072000000000003</v>
      </c>
    </row>
    <row r="21" spans="1:105">
      <c r="A21" s="46">
        <v>19</v>
      </c>
      <c r="B21" s="13">
        <v>10</v>
      </c>
      <c r="C21" s="13">
        <v>10</v>
      </c>
      <c r="D21" s="13">
        <f t="shared" si="4"/>
        <v>100</v>
      </c>
      <c r="E21" s="13">
        <v>2</v>
      </c>
      <c r="F21" s="13">
        <f t="shared" si="5"/>
        <v>20</v>
      </c>
      <c r="G21" s="13">
        <f t="shared" si="0"/>
        <v>60</v>
      </c>
      <c r="H21" s="13">
        <v>10</v>
      </c>
      <c r="I21" s="48">
        <v>10</v>
      </c>
      <c r="J21" s="48">
        <f t="shared" si="1"/>
        <v>100</v>
      </c>
      <c r="K21" s="30">
        <v>2.4615384615384617</v>
      </c>
      <c r="L21" s="30">
        <f t="shared" si="6"/>
        <v>24.615384615384617</v>
      </c>
      <c r="M21" s="30">
        <f t="shared" si="2"/>
        <v>62.307692307692307</v>
      </c>
      <c r="N21" s="48">
        <f t="shared" si="3"/>
        <v>2944.7700000000009</v>
      </c>
      <c r="O21" s="56">
        <v>-65.687265999999994</v>
      </c>
      <c r="P21" s="43">
        <v>43.7479795</v>
      </c>
      <c r="Q21" s="56">
        <v>-65.006444500000001</v>
      </c>
      <c r="R21" s="56">
        <v>38.993555499999999</v>
      </c>
      <c r="T21" s="13">
        <v>2.7749999999999999</v>
      </c>
      <c r="U21" s="13">
        <v>2.75</v>
      </c>
      <c r="V21" s="13">
        <v>2.5750000000000002</v>
      </c>
      <c r="W21" s="13">
        <v>2.4</v>
      </c>
      <c r="X21" s="13">
        <v>2.2999999999999998</v>
      </c>
      <c r="Y21" s="13">
        <v>2.3250000000000002</v>
      </c>
      <c r="Z21" s="13">
        <v>2.4</v>
      </c>
      <c r="AA21" s="13">
        <v>2.4750000000000001</v>
      </c>
      <c r="AB21" s="13">
        <v>2.9750000000000001</v>
      </c>
      <c r="AC21" s="13">
        <v>2.95</v>
      </c>
      <c r="AD21" s="13">
        <v>3.2</v>
      </c>
      <c r="AE21" s="13">
        <v>3.4</v>
      </c>
      <c r="AF21" s="13">
        <v>3.0750000000000002</v>
      </c>
      <c r="AG21" s="13">
        <v>3.0750000000000002</v>
      </c>
      <c r="AH21" s="13">
        <v>3.15</v>
      </c>
      <c r="AI21" s="13">
        <v>3.2</v>
      </c>
      <c r="AJ21" s="13">
        <v>3.2250000000000001</v>
      </c>
      <c r="AK21" s="13">
        <v>2.7</v>
      </c>
      <c r="AL21" s="13">
        <v>2.9</v>
      </c>
      <c r="AM21" s="13">
        <v>2.7749999999999999</v>
      </c>
      <c r="AN21" s="13">
        <v>2.65</v>
      </c>
      <c r="AO21" s="13">
        <v>2.9249999999999998</v>
      </c>
      <c r="AP21" s="13">
        <v>2.9249999999999998</v>
      </c>
      <c r="AQ21" s="13">
        <v>2.9249999999999998</v>
      </c>
      <c r="AR21" s="13">
        <v>3.0249999999999999</v>
      </c>
      <c r="AS21" s="13">
        <v>3.05</v>
      </c>
      <c r="AT21" s="13">
        <v>3.15</v>
      </c>
      <c r="AU21" s="13">
        <v>3.3</v>
      </c>
      <c r="AV21" s="13">
        <v>3.1749999999999998</v>
      </c>
      <c r="AW21" s="13">
        <v>3.4</v>
      </c>
      <c r="AX21" s="13">
        <v>3.3</v>
      </c>
      <c r="AY21" s="13">
        <v>3.2749999999999999</v>
      </c>
      <c r="AZ21" s="13">
        <v>3.75</v>
      </c>
      <c r="BA21" s="13">
        <v>3.3250000000000002</v>
      </c>
      <c r="BB21" s="13">
        <v>3.0249999999999999</v>
      </c>
      <c r="BC21" s="13">
        <v>3.4750000000000001</v>
      </c>
      <c r="BD21" s="13">
        <v>3.45</v>
      </c>
      <c r="BE21" s="13">
        <v>3.4249999999999998</v>
      </c>
      <c r="BF21" s="13">
        <v>2.6749999999999998</v>
      </c>
      <c r="BH21" s="36" t="s">
        <v>536</v>
      </c>
      <c r="BI21" s="48">
        <v>500</v>
      </c>
      <c r="BJ21" s="52">
        <v>6.9182500000000008E-2</v>
      </c>
      <c r="BK21" s="13">
        <f t="shared" si="7"/>
        <v>8</v>
      </c>
      <c r="BM21" s="48">
        <v>61.116</v>
      </c>
      <c r="BN21" s="48">
        <v>63.545999999999999</v>
      </c>
      <c r="BO21" s="48">
        <v>68.105999999999995</v>
      </c>
      <c r="BP21" s="48">
        <v>67.103999999999999</v>
      </c>
      <c r="BQ21" s="48">
        <v>63.545999999999999</v>
      </c>
      <c r="BR21" s="48">
        <v>59.555999999999997</v>
      </c>
      <c r="BS21" s="48">
        <v>57.276000000000003</v>
      </c>
      <c r="BT21" s="48">
        <v>57.276000000000003</v>
      </c>
      <c r="BU21" s="48">
        <v>59.988</v>
      </c>
      <c r="BV21" s="48">
        <v>61.265999999999998</v>
      </c>
      <c r="BW21" s="48">
        <v>72.665999999999997</v>
      </c>
      <c r="BX21" s="48">
        <v>72.096000000000004</v>
      </c>
      <c r="BY21" s="48">
        <v>77.796000000000006</v>
      </c>
      <c r="BZ21" s="48">
        <v>81.924000000000007</v>
      </c>
      <c r="CA21" s="48">
        <v>74.945999999999998</v>
      </c>
      <c r="CB21" s="48">
        <v>74.945999999999998</v>
      </c>
      <c r="CC21" s="48">
        <v>76.656000000000006</v>
      </c>
      <c r="CD21" s="48">
        <v>77.796000000000006</v>
      </c>
      <c r="CE21" s="48">
        <v>77.933999999999997</v>
      </c>
      <c r="CF21" s="48">
        <v>65.963999999999999</v>
      </c>
      <c r="CG21" s="48">
        <v>70.956000000000003</v>
      </c>
      <c r="CH21" s="48">
        <v>68.105999999999995</v>
      </c>
      <c r="CI21" s="48">
        <v>65.256</v>
      </c>
      <c r="CJ21" s="48">
        <v>71.525999999999996</v>
      </c>
      <c r="CK21" s="48">
        <v>71.093999999999994</v>
      </c>
      <c r="CL21" s="48">
        <v>71.093999999999994</v>
      </c>
      <c r="CM21" s="48">
        <v>73.805999999999997</v>
      </c>
      <c r="CN21" s="48">
        <v>73.944000000000003</v>
      </c>
      <c r="CO21" s="48">
        <v>76.224000000000004</v>
      </c>
      <c r="CP21" s="48">
        <v>79.212000000000003</v>
      </c>
      <c r="CQ21" s="48">
        <v>75.930000000000007</v>
      </c>
      <c r="CR21" s="48">
        <v>79.763999999999996</v>
      </c>
      <c r="CS21" s="48">
        <v>78.347999999999999</v>
      </c>
      <c r="CT21" s="48">
        <v>78.209999999999994</v>
      </c>
      <c r="CU21" s="48">
        <v>87.744</v>
      </c>
      <c r="CV21" s="48">
        <v>77.052000000000007</v>
      </c>
      <c r="CW21" s="48">
        <v>70.644000000000005</v>
      </c>
      <c r="CX21" s="48">
        <v>80.885999999999996</v>
      </c>
      <c r="CY21" s="48">
        <v>80.471999999999994</v>
      </c>
      <c r="CZ21" s="48">
        <v>79.902000000000001</v>
      </c>
      <c r="DA21" s="48">
        <v>63.095999999999997</v>
      </c>
    </row>
    <row r="22" spans="1:105">
      <c r="A22" s="46">
        <v>20</v>
      </c>
      <c r="B22" s="13">
        <v>10</v>
      </c>
      <c r="C22" s="13">
        <v>10</v>
      </c>
      <c r="D22" s="13">
        <f t="shared" si="4"/>
        <v>100</v>
      </c>
      <c r="E22" s="13">
        <v>2</v>
      </c>
      <c r="F22" s="13">
        <f t="shared" si="5"/>
        <v>20</v>
      </c>
      <c r="G22" s="13">
        <f t="shared" si="0"/>
        <v>60</v>
      </c>
      <c r="H22" s="13">
        <v>10</v>
      </c>
      <c r="I22" s="48">
        <v>9</v>
      </c>
      <c r="J22" s="48">
        <f t="shared" si="1"/>
        <v>90</v>
      </c>
      <c r="K22" s="30">
        <v>2.5128205128205128</v>
      </c>
      <c r="L22" s="30">
        <f t="shared" si="6"/>
        <v>27.920227920227919</v>
      </c>
      <c r="M22" s="30">
        <f t="shared" si="2"/>
        <v>58.960113960113958</v>
      </c>
      <c r="N22" s="48">
        <f t="shared" si="3"/>
        <v>2985.0719999999997</v>
      </c>
      <c r="O22" s="56">
        <v>-62.592432500000001</v>
      </c>
      <c r="P22" s="43">
        <v>36.937025749999997</v>
      </c>
      <c r="Q22" s="56">
        <v>-63.125777499999998</v>
      </c>
      <c r="R22" s="56">
        <v>40.874222500000002</v>
      </c>
      <c r="T22" s="13">
        <v>2.875</v>
      </c>
      <c r="U22" s="13">
        <v>2.9750000000000001</v>
      </c>
      <c r="V22" s="13">
        <v>2.85</v>
      </c>
      <c r="W22" s="13">
        <v>2.5</v>
      </c>
      <c r="X22" s="13">
        <v>2.375</v>
      </c>
      <c r="Y22" s="13">
        <v>2.5249999999999999</v>
      </c>
      <c r="Z22" s="13">
        <v>2.75</v>
      </c>
      <c r="AA22" s="13">
        <v>2.625</v>
      </c>
      <c r="AB22" s="13">
        <v>2.875</v>
      </c>
      <c r="AC22" s="13">
        <v>3.1749999999999998</v>
      </c>
      <c r="AD22" s="13">
        <v>3.2</v>
      </c>
      <c r="AE22" s="13">
        <v>3.05</v>
      </c>
      <c r="AF22" s="13">
        <v>3.125</v>
      </c>
      <c r="AG22" s="13">
        <v>3.05</v>
      </c>
      <c r="AH22" s="13">
        <v>2.9750000000000001</v>
      </c>
      <c r="AI22" s="13">
        <v>3.125</v>
      </c>
      <c r="AJ22" s="13">
        <v>3.2</v>
      </c>
      <c r="AK22" s="13">
        <v>2.7250000000000001</v>
      </c>
      <c r="AL22" s="13">
        <v>2.875</v>
      </c>
      <c r="AM22" s="13">
        <v>3.1749999999999998</v>
      </c>
      <c r="AN22" s="13">
        <v>3.1</v>
      </c>
      <c r="AO22" s="13">
        <v>3.4</v>
      </c>
      <c r="AP22" s="13">
        <v>3.1749999999999998</v>
      </c>
      <c r="AQ22" s="13">
        <v>3.0750000000000002</v>
      </c>
      <c r="AR22" s="13">
        <v>3.2749999999999999</v>
      </c>
      <c r="AS22" s="13">
        <v>2.9750000000000001</v>
      </c>
      <c r="AT22" s="13">
        <v>3.25</v>
      </c>
      <c r="AU22" s="13">
        <v>3.625</v>
      </c>
      <c r="AV22" s="13">
        <v>3.4249999999999998</v>
      </c>
      <c r="AW22" s="13">
        <v>3.7</v>
      </c>
      <c r="AX22" s="13">
        <v>3.7</v>
      </c>
      <c r="AY22" s="13">
        <v>3.8</v>
      </c>
      <c r="AZ22" s="13">
        <v>2.95</v>
      </c>
      <c r="BA22" s="13">
        <v>3.45</v>
      </c>
      <c r="BB22" s="13">
        <v>3.4</v>
      </c>
      <c r="BC22" s="13">
        <v>3.1749999999999998</v>
      </c>
      <c r="BD22" s="13">
        <v>3.3250000000000002</v>
      </c>
      <c r="BE22" s="13">
        <v>3.4</v>
      </c>
      <c r="BF22" s="13">
        <v>3.125</v>
      </c>
      <c r="BH22" s="36" t="s">
        <v>537</v>
      </c>
      <c r="BI22" s="48">
        <v>500</v>
      </c>
      <c r="BJ22" s="52">
        <v>6.3056000000000001E-2</v>
      </c>
      <c r="BK22" s="13">
        <f t="shared" si="7"/>
        <v>8</v>
      </c>
      <c r="BM22" s="48">
        <v>60.095999999999997</v>
      </c>
      <c r="BN22" s="48">
        <v>70.506</v>
      </c>
      <c r="BO22" s="48">
        <v>67.793999999999997</v>
      </c>
      <c r="BP22" s="48">
        <v>70.073999999999998</v>
      </c>
      <c r="BQ22" s="48">
        <v>67.224000000000004</v>
      </c>
      <c r="BR22" s="48">
        <v>59.244</v>
      </c>
      <c r="BS22" s="48">
        <v>56.393999999999998</v>
      </c>
      <c r="BT22" s="48">
        <v>59.814</v>
      </c>
      <c r="BU22" s="48">
        <v>65.376000000000005</v>
      </c>
      <c r="BV22" s="48">
        <v>62.387999999999998</v>
      </c>
      <c r="BW22" s="48">
        <v>67.361999999999995</v>
      </c>
      <c r="BX22" s="48">
        <v>74.201999999999998</v>
      </c>
      <c r="BY22" s="48">
        <v>76.067999999999998</v>
      </c>
      <c r="BZ22" s="48">
        <v>72.647999999999996</v>
      </c>
      <c r="CA22" s="48">
        <v>73.926000000000002</v>
      </c>
      <c r="CB22" s="48">
        <v>73.08</v>
      </c>
      <c r="CC22" s="48">
        <v>70.506</v>
      </c>
      <c r="CD22" s="48">
        <v>73.926000000000002</v>
      </c>
      <c r="CE22" s="48">
        <v>75.498000000000005</v>
      </c>
      <c r="CF22" s="48">
        <v>64.373999999999995</v>
      </c>
      <c r="CG22" s="48">
        <v>68.225999999999999</v>
      </c>
      <c r="CH22" s="48">
        <v>75.066000000000003</v>
      </c>
      <c r="CI22" s="48">
        <v>72.924000000000007</v>
      </c>
      <c r="CJ22" s="48">
        <v>79.763999999999996</v>
      </c>
      <c r="CK22" s="48">
        <v>74.201999999999998</v>
      </c>
      <c r="CL22" s="48">
        <v>72.353999999999999</v>
      </c>
      <c r="CM22" s="48">
        <v>76.914000000000001</v>
      </c>
      <c r="CN22" s="48">
        <v>69.936000000000007</v>
      </c>
      <c r="CO22" s="48">
        <v>75.774000000000001</v>
      </c>
      <c r="CP22" s="48">
        <v>84.03</v>
      </c>
      <c r="CQ22" s="48">
        <v>80.334000000000003</v>
      </c>
      <c r="CR22" s="48">
        <v>86.171999999999997</v>
      </c>
      <c r="CS22" s="48">
        <v>86.171999999999997</v>
      </c>
      <c r="CT22" s="48">
        <v>88.451999999999998</v>
      </c>
      <c r="CU22" s="48">
        <v>68.796000000000006</v>
      </c>
      <c r="CV22" s="48">
        <v>80.471999999999994</v>
      </c>
      <c r="CW22" s="48">
        <v>79.763999999999996</v>
      </c>
      <c r="CX22" s="48">
        <v>73.908000000000001</v>
      </c>
      <c r="CY22" s="48">
        <v>78.054000000000002</v>
      </c>
      <c r="CZ22" s="48">
        <v>79.331999999999994</v>
      </c>
      <c r="DA22" s="48">
        <v>73.926000000000002</v>
      </c>
    </row>
    <row r="23" spans="1:105">
      <c r="A23" s="46">
        <v>21</v>
      </c>
      <c r="B23" s="13">
        <v>10</v>
      </c>
      <c r="C23" s="13">
        <v>10</v>
      </c>
      <c r="D23" s="13">
        <f t="shared" si="4"/>
        <v>100</v>
      </c>
      <c r="E23" s="13">
        <v>2</v>
      </c>
      <c r="F23" s="13">
        <f t="shared" si="5"/>
        <v>20</v>
      </c>
      <c r="G23" s="13">
        <f t="shared" si="0"/>
        <v>60</v>
      </c>
      <c r="H23" s="13">
        <v>10</v>
      </c>
      <c r="I23" s="48">
        <v>10</v>
      </c>
      <c r="J23" s="48">
        <f t="shared" si="1"/>
        <v>100</v>
      </c>
      <c r="K23" s="30">
        <v>3.4871794871794872</v>
      </c>
      <c r="L23" s="30">
        <f t="shared" si="6"/>
        <v>34.871794871794869</v>
      </c>
      <c r="M23" s="30">
        <f t="shared" si="2"/>
        <v>67.435897435897431</v>
      </c>
      <c r="N23" s="48">
        <f t="shared" si="3"/>
        <v>3692.8740000000007</v>
      </c>
      <c r="O23" s="56">
        <v>-66.855609999999999</v>
      </c>
      <c r="P23" s="43">
        <v>41.145615750000005</v>
      </c>
      <c r="Q23" s="56">
        <v>-62.373282000000003</v>
      </c>
      <c r="R23" s="56">
        <v>41.626717999999997</v>
      </c>
      <c r="T23" s="13">
        <v>3.55</v>
      </c>
      <c r="U23" s="13">
        <v>3.65</v>
      </c>
      <c r="V23" s="13">
        <v>3.5</v>
      </c>
      <c r="W23" s="13">
        <v>3.5</v>
      </c>
      <c r="X23" s="13">
        <v>3.2749999999999999</v>
      </c>
      <c r="Y23" s="13">
        <v>3.4750000000000001</v>
      </c>
      <c r="Z23" s="13">
        <v>3.4</v>
      </c>
      <c r="AA23" s="13">
        <v>3.5</v>
      </c>
      <c r="AB23" s="13">
        <v>3.7749999999999999</v>
      </c>
      <c r="AC23" s="13">
        <v>3.875</v>
      </c>
      <c r="AD23" s="13">
        <v>4</v>
      </c>
      <c r="AE23" s="13">
        <v>4.125</v>
      </c>
      <c r="AF23" s="13">
        <v>4.4000000000000004</v>
      </c>
      <c r="AG23" s="13">
        <v>4.1749999999999998</v>
      </c>
      <c r="AH23" s="13">
        <v>3.5249999999999999</v>
      </c>
      <c r="AI23" s="13">
        <v>4.3250000000000002</v>
      </c>
      <c r="AJ23" s="13">
        <v>4.05</v>
      </c>
      <c r="AK23" s="13">
        <v>3.7250000000000001</v>
      </c>
      <c r="AL23" s="13">
        <v>4.05</v>
      </c>
      <c r="AM23" s="13">
        <v>3.7250000000000001</v>
      </c>
      <c r="AN23" s="13">
        <v>3.4</v>
      </c>
      <c r="AO23" s="13">
        <v>3.9</v>
      </c>
      <c r="AP23" s="13">
        <v>3.7</v>
      </c>
      <c r="AQ23" s="13">
        <v>3.9750000000000001</v>
      </c>
      <c r="AR23" s="13">
        <v>3.95</v>
      </c>
      <c r="AS23" s="13">
        <v>4</v>
      </c>
      <c r="AT23" s="13">
        <v>3.55</v>
      </c>
      <c r="AU23" s="13">
        <v>4.2750000000000004</v>
      </c>
      <c r="AV23" s="13">
        <v>4.25</v>
      </c>
      <c r="AW23" s="13">
        <v>4.1500000000000004</v>
      </c>
      <c r="AX23" s="13">
        <v>4.2</v>
      </c>
      <c r="AY23" s="13">
        <v>4.0250000000000004</v>
      </c>
      <c r="AZ23" s="13">
        <v>4.2249999999999996</v>
      </c>
      <c r="BA23" s="13">
        <v>4.0750000000000002</v>
      </c>
      <c r="BB23" s="13">
        <v>4.1749999999999998</v>
      </c>
      <c r="BC23" s="13">
        <v>2.875</v>
      </c>
      <c r="BD23" s="13">
        <v>4.0250000000000004</v>
      </c>
      <c r="BE23" s="13">
        <v>4.3</v>
      </c>
      <c r="BF23" s="13">
        <v>3.9</v>
      </c>
      <c r="BH23" s="36" t="s">
        <v>538</v>
      </c>
      <c r="BI23" s="48">
        <v>500</v>
      </c>
      <c r="BJ23" s="52">
        <v>6.6851999999999995E-2</v>
      </c>
      <c r="BK23" s="13">
        <f t="shared" si="7"/>
        <v>8</v>
      </c>
      <c r="BM23" s="48">
        <v>81.323999999999998</v>
      </c>
      <c r="BN23" s="48">
        <v>89.453999999999994</v>
      </c>
      <c r="BO23" s="48">
        <v>83.183999999999997</v>
      </c>
      <c r="BP23" s="48">
        <v>85.463999999999999</v>
      </c>
      <c r="BQ23" s="48">
        <v>82.043999999999997</v>
      </c>
      <c r="BR23" s="48">
        <v>82.043999999999997</v>
      </c>
      <c r="BS23" s="48">
        <v>76.914000000000001</v>
      </c>
      <c r="BT23" s="48">
        <v>81.906000000000006</v>
      </c>
      <c r="BU23" s="48">
        <v>79.763999999999996</v>
      </c>
      <c r="BV23" s="48">
        <v>82.475999999999999</v>
      </c>
      <c r="BW23" s="48">
        <v>88.745999999999995</v>
      </c>
      <c r="BX23" s="48">
        <v>90.593999999999994</v>
      </c>
      <c r="BY23" s="48">
        <v>94.308000000000007</v>
      </c>
      <c r="BZ23" s="48">
        <v>96.293999999999997</v>
      </c>
      <c r="CA23" s="48">
        <v>102.996</v>
      </c>
      <c r="CB23" s="48">
        <v>97.433999999999997</v>
      </c>
      <c r="CC23" s="48">
        <v>82.475999999999999</v>
      </c>
      <c r="CD23" s="48">
        <v>100.854</v>
      </c>
      <c r="CE23" s="48">
        <v>95.016000000000005</v>
      </c>
      <c r="CF23" s="48">
        <v>87.605999999999995</v>
      </c>
      <c r="CG23" s="48">
        <v>95.016000000000005</v>
      </c>
      <c r="CH23" s="48">
        <v>87.174000000000007</v>
      </c>
      <c r="CI23" s="48">
        <v>79.763999999999996</v>
      </c>
      <c r="CJ23" s="48">
        <v>91.164000000000001</v>
      </c>
      <c r="CK23" s="48">
        <v>86.603999999999999</v>
      </c>
      <c r="CL23" s="48">
        <v>92.873999999999995</v>
      </c>
      <c r="CM23" s="48">
        <v>92.304000000000002</v>
      </c>
      <c r="CN23" s="48">
        <v>93.444000000000003</v>
      </c>
      <c r="CO23" s="48">
        <v>82.614000000000004</v>
      </c>
      <c r="CP23" s="48">
        <v>99.713999999999999</v>
      </c>
      <c r="CQ23" s="48">
        <v>99.144000000000005</v>
      </c>
      <c r="CR23" s="48">
        <v>96.864000000000004</v>
      </c>
      <c r="CS23" s="48">
        <v>98.004000000000005</v>
      </c>
      <c r="CT23" s="48">
        <v>94.013999999999996</v>
      </c>
      <c r="CU23" s="48">
        <v>98.573999999999998</v>
      </c>
      <c r="CV23" s="48">
        <v>95.153999999999996</v>
      </c>
      <c r="CW23" s="48">
        <v>97.433999999999997</v>
      </c>
      <c r="CX23" s="48">
        <v>66.653999999999996</v>
      </c>
      <c r="CY23" s="48">
        <v>94.013999999999996</v>
      </c>
      <c r="CZ23" s="48">
        <v>100.28400000000001</v>
      </c>
      <c r="DA23" s="48">
        <v>91.164000000000001</v>
      </c>
    </row>
    <row r="24" spans="1:105">
      <c r="A24" s="46">
        <v>22</v>
      </c>
      <c r="B24" s="13">
        <v>10</v>
      </c>
      <c r="C24" s="13">
        <v>10</v>
      </c>
      <c r="D24" s="13">
        <f t="shared" si="4"/>
        <v>100</v>
      </c>
      <c r="E24" s="13">
        <v>3</v>
      </c>
      <c r="F24" s="13">
        <f t="shared" si="5"/>
        <v>30</v>
      </c>
      <c r="G24" s="13">
        <f t="shared" si="0"/>
        <v>65</v>
      </c>
      <c r="H24" s="13">
        <v>10</v>
      </c>
      <c r="I24" s="48">
        <v>10</v>
      </c>
      <c r="J24" s="48">
        <f t="shared" si="1"/>
        <v>100</v>
      </c>
      <c r="K24" s="30">
        <v>2.7692307692307692</v>
      </c>
      <c r="L24" s="30">
        <f t="shared" si="6"/>
        <v>27.692307692307693</v>
      </c>
      <c r="M24" s="30">
        <f t="shared" si="2"/>
        <v>63.846153846153847</v>
      </c>
      <c r="N24" s="48">
        <f t="shared" si="3"/>
        <v>3188.4180000000001</v>
      </c>
      <c r="O24" s="56">
        <v>-64.390536666666662</v>
      </c>
      <c r="P24" s="43">
        <v>37.257061166666666</v>
      </c>
      <c r="Q24" s="56">
        <v>-63.565970333333325</v>
      </c>
      <c r="R24" s="56">
        <v>40.434029666666667</v>
      </c>
      <c r="T24" s="13">
        <v>2.95</v>
      </c>
      <c r="U24" s="13">
        <v>3.05</v>
      </c>
      <c r="V24" s="13">
        <v>2.75</v>
      </c>
      <c r="W24" s="13">
        <v>2.7250000000000001</v>
      </c>
      <c r="X24" s="13">
        <v>2.8250000000000002</v>
      </c>
      <c r="Y24" s="13">
        <v>2.5750000000000002</v>
      </c>
      <c r="Z24" s="13">
        <v>2.85</v>
      </c>
      <c r="AA24" s="13">
        <v>3.125</v>
      </c>
      <c r="AB24" s="13">
        <v>3.0249999999999999</v>
      </c>
      <c r="AC24" s="13">
        <v>3.2</v>
      </c>
      <c r="AD24" s="13">
        <v>3.2</v>
      </c>
      <c r="AE24" s="13">
        <v>3.5249999999999999</v>
      </c>
      <c r="AF24" s="13">
        <v>3.3250000000000002</v>
      </c>
      <c r="AG24" s="13">
        <v>3.35</v>
      </c>
      <c r="AH24" s="13">
        <v>3.6</v>
      </c>
      <c r="AI24" s="13">
        <v>3.4249999999999998</v>
      </c>
      <c r="AJ24" s="13">
        <v>3.15</v>
      </c>
      <c r="AK24" s="13">
        <v>3.25</v>
      </c>
      <c r="AL24" s="13">
        <v>3.0750000000000002</v>
      </c>
      <c r="AM24" s="13">
        <v>3.1</v>
      </c>
      <c r="AN24" s="13">
        <v>3.0249999999999999</v>
      </c>
      <c r="AO24" s="13">
        <v>3.4</v>
      </c>
      <c r="AP24" s="13">
        <v>3.1749999999999998</v>
      </c>
      <c r="AQ24" s="13">
        <v>3.4</v>
      </c>
      <c r="AR24" s="13">
        <v>3.125</v>
      </c>
      <c r="AS24" s="13">
        <v>3.5</v>
      </c>
      <c r="AT24" s="13">
        <v>3.6749999999999998</v>
      </c>
      <c r="AU24" s="13">
        <v>3.9249999999999998</v>
      </c>
      <c r="AV24" s="13">
        <v>3.95</v>
      </c>
      <c r="AW24" s="13">
        <v>3.9</v>
      </c>
      <c r="AX24" s="13">
        <v>3.625</v>
      </c>
      <c r="AY24" s="13">
        <v>3.75</v>
      </c>
      <c r="AZ24" s="13">
        <v>3.875</v>
      </c>
      <c r="BA24" s="13">
        <v>3.7250000000000001</v>
      </c>
      <c r="BB24" s="13">
        <v>3.95</v>
      </c>
      <c r="BC24" s="13">
        <v>3.3250000000000002</v>
      </c>
      <c r="BD24" s="13">
        <v>3.85</v>
      </c>
      <c r="BE24" s="13">
        <v>4.0250000000000004</v>
      </c>
      <c r="BF24" s="13">
        <v>3.35</v>
      </c>
      <c r="BH24" s="36" t="s">
        <v>539</v>
      </c>
      <c r="BI24" s="48">
        <v>500</v>
      </c>
      <c r="BJ24" s="52">
        <v>6.5570000000000003E-2</v>
      </c>
      <c r="BK24" s="13">
        <f t="shared" si="7"/>
        <v>7</v>
      </c>
      <c r="BM24" s="48">
        <v>64.932000000000002</v>
      </c>
      <c r="BN24" s="48">
        <v>69.641999999999996</v>
      </c>
      <c r="BO24" s="48">
        <v>69.072000000000003</v>
      </c>
      <c r="BP24" s="48">
        <v>71.352000000000004</v>
      </c>
      <c r="BQ24" s="48">
        <v>64.512</v>
      </c>
      <c r="BR24" s="48">
        <v>63.942</v>
      </c>
      <c r="BS24" s="48">
        <v>66.221999999999994</v>
      </c>
      <c r="BT24" s="48">
        <v>60.521999999999998</v>
      </c>
      <c r="BU24" s="48">
        <v>67.224000000000004</v>
      </c>
      <c r="BV24" s="48">
        <v>73.061999999999998</v>
      </c>
      <c r="BW24" s="48">
        <v>71.646000000000001</v>
      </c>
      <c r="BX24" s="48">
        <v>75.203999999999994</v>
      </c>
      <c r="BY24" s="48">
        <v>75.203999999999994</v>
      </c>
      <c r="BZ24" s="48">
        <v>82.182000000000002</v>
      </c>
      <c r="CA24" s="48">
        <v>78.054000000000002</v>
      </c>
      <c r="CB24" s="48">
        <v>78.486000000000004</v>
      </c>
      <c r="CC24" s="48">
        <v>84.323999999999998</v>
      </c>
      <c r="CD24" s="48">
        <v>80.334000000000003</v>
      </c>
      <c r="CE24" s="48">
        <v>73.926000000000002</v>
      </c>
      <c r="CF24" s="48">
        <v>76.775999999999996</v>
      </c>
      <c r="CG24" s="48">
        <v>72.786000000000001</v>
      </c>
      <c r="CH24" s="48">
        <v>72.492000000000004</v>
      </c>
      <c r="CI24" s="48">
        <v>70.781999999999996</v>
      </c>
      <c r="CJ24" s="48">
        <v>79.331999999999994</v>
      </c>
      <c r="CK24" s="48">
        <v>74.201999999999998</v>
      </c>
      <c r="CL24" s="48">
        <v>79.331999999999994</v>
      </c>
      <c r="CM24" s="48">
        <v>72.924000000000007</v>
      </c>
      <c r="CN24" s="48">
        <v>81.611999999999995</v>
      </c>
      <c r="CO24" s="48">
        <v>85.602000000000004</v>
      </c>
      <c r="CP24" s="48">
        <v>91.302000000000007</v>
      </c>
      <c r="CQ24" s="48">
        <v>91.872</v>
      </c>
      <c r="CR24" s="48">
        <v>90.731999999999999</v>
      </c>
      <c r="CS24" s="48">
        <v>84.323999999999998</v>
      </c>
      <c r="CT24" s="48">
        <v>87.311999999999998</v>
      </c>
      <c r="CU24" s="48">
        <v>90.162000000000006</v>
      </c>
      <c r="CV24" s="48">
        <v>86.742000000000004</v>
      </c>
      <c r="CW24" s="48">
        <v>91.872</v>
      </c>
      <c r="CX24" s="48">
        <v>77.052000000000007</v>
      </c>
      <c r="CY24" s="48">
        <v>89.591999999999999</v>
      </c>
      <c r="CZ24" s="48">
        <v>93.581999999999994</v>
      </c>
      <c r="DA24" s="48">
        <v>78.191999999999993</v>
      </c>
    </row>
    <row r="25" spans="1:105">
      <c r="A25" s="46">
        <v>23</v>
      </c>
      <c r="B25" s="13">
        <v>10</v>
      </c>
      <c r="C25" s="13">
        <v>9</v>
      </c>
      <c r="D25" s="13">
        <f t="shared" si="4"/>
        <v>90</v>
      </c>
      <c r="E25" s="13">
        <v>2</v>
      </c>
      <c r="F25" s="13">
        <f t="shared" si="5"/>
        <v>22.222222222222221</v>
      </c>
      <c r="G25" s="13">
        <f t="shared" si="0"/>
        <v>56.111111111111114</v>
      </c>
      <c r="H25" s="13">
        <v>10</v>
      </c>
      <c r="I25" s="48">
        <v>10</v>
      </c>
      <c r="J25" s="48">
        <f t="shared" si="1"/>
        <v>100</v>
      </c>
      <c r="K25" s="30">
        <v>3.2820512820512819</v>
      </c>
      <c r="L25" s="30">
        <f t="shared" si="6"/>
        <v>32.820512820512818</v>
      </c>
      <c r="M25" s="30">
        <f t="shared" si="2"/>
        <v>66.410256410256409</v>
      </c>
      <c r="N25" s="48">
        <f t="shared" si="3"/>
        <v>3463.2960000000003</v>
      </c>
      <c r="O25" s="56">
        <v>-64.34689075</v>
      </c>
      <c r="P25" s="43">
        <v>33.912686000000001</v>
      </c>
      <c r="Q25" s="56">
        <v>-66.612063000000006</v>
      </c>
      <c r="R25" s="56">
        <v>37.387936999999994</v>
      </c>
      <c r="T25" s="13">
        <v>3.0249999999999999</v>
      </c>
      <c r="U25" s="13">
        <v>3.4750000000000001</v>
      </c>
      <c r="V25" s="13">
        <v>3.3250000000000002</v>
      </c>
      <c r="W25" s="13">
        <v>3.4750000000000001</v>
      </c>
      <c r="X25" s="13">
        <v>3.2250000000000001</v>
      </c>
      <c r="Y25" s="13">
        <v>3.2</v>
      </c>
      <c r="Z25" s="13">
        <v>3.1</v>
      </c>
      <c r="AA25" s="13">
        <v>2.9</v>
      </c>
      <c r="AB25" s="13">
        <v>3.25</v>
      </c>
      <c r="AC25" s="13">
        <v>3.3</v>
      </c>
      <c r="AD25" s="13">
        <v>3.3</v>
      </c>
      <c r="AE25" s="13">
        <v>3.6</v>
      </c>
      <c r="AF25" s="13">
        <v>3.4249999999999998</v>
      </c>
      <c r="AG25" s="13">
        <v>2.9249999999999998</v>
      </c>
      <c r="AH25" s="13">
        <v>3.55</v>
      </c>
      <c r="AI25" s="13">
        <v>3.4</v>
      </c>
      <c r="AJ25" s="13">
        <v>3.65</v>
      </c>
      <c r="AK25" s="13">
        <v>3.0249999999999999</v>
      </c>
      <c r="AL25" s="13">
        <v>3.45</v>
      </c>
      <c r="AM25" s="13">
        <v>3.6</v>
      </c>
      <c r="AN25" s="13">
        <v>3.5750000000000002</v>
      </c>
      <c r="AO25" s="13">
        <v>3.6749999999999998</v>
      </c>
      <c r="AP25" s="13">
        <v>3.9750000000000001</v>
      </c>
      <c r="AQ25" s="13">
        <v>3.9750000000000001</v>
      </c>
      <c r="AR25" s="13">
        <v>3.95</v>
      </c>
      <c r="AS25" s="13">
        <v>4.125</v>
      </c>
      <c r="AT25" s="13">
        <v>4.1500000000000004</v>
      </c>
      <c r="AU25" s="13">
        <v>3.85</v>
      </c>
      <c r="AV25" s="13">
        <v>4.2</v>
      </c>
      <c r="AW25" s="13">
        <v>4.25</v>
      </c>
      <c r="AX25" s="13">
        <v>4.25</v>
      </c>
      <c r="AY25" s="13">
        <v>4.2</v>
      </c>
      <c r="AZ25" s="13">
        <v>4.2750000000000004</v>
      </c>
      <c r="BA25" s="13">
        <v>4.2249999999999996</v>
      </c>
      <c r="BB25" s="13">
        <v>4.375</v>
      </c>
      <c r="BC25" s="13">
        <v>3.375</v>
      </c>
      <c r="BD25" s="13">
        <v>4.125</v>
      </c>
      <c r="BE25" s="13">
        <v>4.125</v>
      </c>
      <c r="BF25" s="13">
        <v>2.7250000000000001</v>
      </c>
      <c r="BH25" s="36" t="s">
        <v>540</v>
      </c>
      <c r="BI25" s="48">
        <v>500</v>
      </c>
      <c r="BJ25" s="52">
        <v>7.1508500000000003E-2</v>
      </c>
      <c r="BK25" s="13">
        <f t="shared" si="7"/>
        <v>8</v>
      </c>
      <c r="BM25" s="48">
        <v>76.331999999999994</v>
      </c>
      <c r="BN25" s="48">
        <v>85.031999999999996</v>
      </c>
      <c r="BO25" s="48">
        <v>70.644000000000005</v>
      </c>
      <c r="BP25" s="48">
        <v>81.042000000000002</v>
      </c>
      <c r="BQ25" s="48">
        <v>78.054000000000002</v>
      </c>
      <c r="BR25" s="48">
        <v>81.042000000000002</v>
      </c>
      <c r="BS25" s="48">
        <v>75.341999999999999</v>
      </c>
      <c r="BT25" s="48">
        <v>74.772000000000006</v>
      </c>
      <c r="BU25" s="48">
        <v>72.924000000000007</v>
      </c>
      <c r="BV25" s="48">
        <v>68.364000000000004</v>
      </c>
      <c r="BW25" s="48">
        <v>76.343999999999994</v>
      </c>
      <c r="BX25" s="48">
        <v>77.052000000000007</v>
      </c>
      <c r="BY25" s="48">
        <v>77.052000000000007</v>
      </c>
      <c r="BZ25" s="48">
        <v>83.891999999999996</v>
      </c>
      <c r="CA25" s="48">
        <v>80.628</v>
      </c>
      <c r="CB25" s="48">
        <v>68.796000000000006</v>
      </c>
      <c r="CC25" s="48">
        <v>82.751999999999995</v>
      </c>
      <c r="CD25" s="48">
        <v>79.763999999999996</v>
      </c>
      <c r="CE25" s="48">
        <v>85.031999999999996</v>
      </c>
      <c r="CF25" s="48">
        <v>70.644000000000005</v>
      </c>
      <c r="CG25" s="48">
        <v>80.903999999999996</v>
      </c>
      <c r="CH25" s="48">
        <v>84.323999999999998</v>
      </c>
      <c r="CI25" s="48">
        <v>83.322000000000003</v>
      </c>
      <c r="CJ25" s="48">
        <v>85.602000000000004</v>
      </c>
      <c r="CK25" s="48">
        <v>92.441999999999993</v>
      </c>
      <c r="CL25" s="48">
        <v>92.441999999999993</v>
      </c>
      <c r="CM25" s="48">
        <v>91.872</v>
      </c>
      <c r="CN25" s="48">
        <v>95.861999999999995</v>
      </c>
      <c r="CO25" s="48">
        <v>96.432000000000002</v>
      </c>
      <c r="CP25" s="48">
        <v>89.453999999999994</v>
      </c>
      <c r="CQ25" s="48">
        <v>97.572000000000003</v>
      </c>
      <c r="CR25" s="48">
        <v>98.712000000000003</v>
      </c>
      <c r="CS25" s="48">
        <v>98.712000000000003</v>
      </c>
      <c r="CT25" s="48">
        <v>97.572000000000003</v>
      </c>
      <c r="CU25" s="48">
        <v>99.281999999999996</v>
      </c>
      <c r="CV25" s="48">
        <v>98.141999999999996</v>
      </c>
      <c r="CW25" s="48">
        <v>101.562</v>
      </c>
      <c r="CX25" s="48">
        <v>78.191999999999993</v>
      </c>
      <c r="CY25" s="48">
        <v>95.724000000000004</v>
      </c>
      <c r="CZ25" s="48">
        <v>95.861999999999995</v>
      </c>
      <c r="DA25" s="48">
        <v>63.804000000000002</v>
      </c>
    </row>
    <row r="26" spans="1:105">
      <c r="A26" s="46">
        <v>24</v>
      </c>
      <c r="B26" s="13">
        <v>10</v>
      </c>
      <c r="C26" s="13">
        <v>10</v>
      </c>
      <c r="D26" s="13">
        <f t="shared" si="4"/>
        <v>100</v>
      </c>
      <c r="E26" s="13">
        <v>1</v>
      </c>
      <c r="F26" s="48">
        <f t="shared" si="5"/>
        <v>10</v>
      </c>
      <c r="G26" s="48">
        <f t="shared" si="0"/>
        <v>55</v>
      </c>
      <c r="H26" s="13">
        <v>10</v>
      </c>
      <c r="I26" s="48">
        <v>9</v>
      </c>
      <c r="J26" s="48">
        <f t="shared" si="1"/>
        <v>90</v>
      </c>
      <c r="K26" s="30">
        <v>1.9230769230769231</v>
      </c>
      <c r="L26" s="30">
        <f t="shared" si="6"/>
        <v>21.36752136752137</v>
      </c>
      <c r="M26" s="30">
        <f t="shared" si="2"/>
        <v>55.683760683760681</v>
      </c>
      <c r="N26" s="48">
        <f t="shared" si="3"/>
        <v>2506.7939999999994</v>
      </c>
      <c r="O26" s="56">
        <v>-65.1455275</v>
      </c>
      <c r="P26" s="43">
        <v>38.8544725</v>
      </c>
      <c r="Q26" s="56">
        <v>-58.535207</v>
      </c>
      <c r="R26" s="56">
        <v>45.464793</v>
      </c>
      <c r="T26" s="13">
        <v>2.125</v>
      </c>
      <c r="U26" s="13">
        <v>2.2999999999999998</v>
      </c>
      <c r="V26" s="13">
        <v>2.35</v>
      </c>
      <c r="W26" s="13">
        <v>1.9750000000000001</v>
      </c>
      <c r="X26" s="13">
        <v>1.7749999999999999</v>
      </c>
      <c r="Y26" s="13">
        <v>1.925</v>
      </c>
      <c r="Z26" s="13">
        <v>2.0499999999999998</v>
      </c>
      <c r="AA26" s="13">
        <v>2.0249999999999999</v>
      </c>
      <c r="AB26" s="13">
        <v>2.4249999999999998</v>
      </c>
      <c r="AC26" s="13">
        <v>2.4</v>
      </c>
      <c r="AD26" s="13">
        <v>2.4500000000000002</v>
      </c>
      <c r="AE26" s="13">
        <v>2.3250000000000002</v>
      </c>
      <c r="AF26" s="13">
        <v>2.4500000000000002</v>
      </c>
      <c r="AG26" s="13">
        <v>2.5750000000000002</v>
      </c>
      <c r="AH26" s="13">
        <v>2.2749999999999999</v>
      </c>
      <c r="AI26" s="13">
        <v>2.2250000000000001</v>
      </c>
      <c r="AJ26" s="13">
        <v>2.75</v>
      </c>
      <c r="AK26" s="13">
        <v>2.5499999999999998</v>
      </c>
      <c r="AL26" s="13">
        <v>2.75</v>
      </c>
      <c r="AM26" s="13">
        <v>2.4249999999999998</v>
      </c>
      <c r="AN26" s="13">
        <v>2.4500000000000002</v>
      </c>
      <c r="AO26" s="13">
        <v>2.9249999999999998</v>
      </c>
      <c r="AP26" s="13">
        <v>2.8</v>
      </c>
      <c r="AQ26" s="13">
        <v>2.8250000000000002</v>
      </c>
      <c r="AR26" s="13">
        <v>3.1</v>
      </c>
      <c r="AS26" s="13">
        <v>3.3250000000000002</v>
      </c>
      <c r="AT26" s="13">
        <v>2.65</v>
      </c>
      <c r="AU26" s="13">
        <v>3.2250000000000001</v>
      </c>
      <c r="AV26" s="13">
        <v>3.375</v>
      </c>
      <c r="AW26" s="13">
        <v>3.35</v>
      </c>
      <c r="AX26" s="13">
        <v>3.375</v>
      </c>
      <c r="AY26" s="13">
        <v>2.625</v>
      </c>
      <c r="AZ26" s="13">
        <v>3.0249999999999999</v>
      </c>
      <c r="BA26" s="13">
        <v>3.25</v>
      </c>
      <c r="BB26" s="13">
        <v>3.1</v>
      </c>
      <c r="BC26" s="13">
        <v>2.5</v>
      </c>
      <c r="BD26" s="13">
        <v>3.1749999999999998</v>
      </c>
      <c r="BE26" s="13">
        <v>3.2250000000000001</v>
      </c>
      <c r="BF26" s="13">
        <v>2.4500000000000002</v>
      </c>
      <c r="BH26" s="36" t="s">
        <v>541</v>
      </c>
      <c r="BI26" s="48">
        <v>500</v>
      </c>
      <c r="BJ26" s="52">
        <v>6.7030000000000006E-2</v>
      </c>
      <c r="BK26" s="13">
        <f t="shared" si="7"/>
        <v>9</v>
      </c>
      <c r="BM26" s="48">
        <v>45.69</v>
      </c>
      <c r="BN26" s="48">
        <v>58.38</v>
      </c>
      <c r="BO26" s="48">
        <v>49.83</v>
      </c>
      <c r="BP26" s="48">
        <v>53.82</v>
      </c>
      <c r="BQ26" s="48">
        <v>54.96</v>
      </c>
      <c r="BR26" s="48">
        <v>46.41</v>
      </c>
      <c r="BS26" s="48">
        <v>41.85</v>
      </c>
      <c r="BT26" s="48">
        <v>45.27</v>
      </c>
      <c r="BU26" s="48">
        <v>48.12</v>
      </c>
      <c r="BV26" s="48">
        <v>47.55</v>
      </c>
      <c r="BW26" s="48">
        <v>57.101999999999997</v>
      </c>
      <c r="BX26" s="48">
        <v>56.1</v>
      </c>
      <c r="BY26" s="48">
        <v>57.24</v>
      </c>
      <c r="BZ26" s="48">
        <v>54.39</v>
      </c>
      <c r="CA26" s="48">
        <v>57.533999999999999</v>
      </c>
      <c r="CB26" s="48">
        <v>60.521999999999998</v>
      </c>
      <c r="CC26" s="48">
        <v>53.543999999999997</v>
      </c>
      <c r="CD26" s="48">
        <v>52.835999999999999</v>
      </c>
      <c r="CE26" s="48">
        <v>64.944000000000003</v>
      </c>
      <c r="CF26" s="48">
        <v>59.814</v>
      </c>
      <c r="CG26" s="48">
        <v>64.512</v>
      </c>
      <c r="CH26" s="48">
        <v>56.67</v>
      </c>
      <c r="CI26" s="48">
        <v>57.24</v>
      </c>
      <c r="CJ26" s="48">
        <v>68.069999999999993</v>
      </c>
      <c r="CK26" s="48">
        <v>65.22</v>
      </c>
      <c r="CL26" s="48">
        <v>65.790000000000006</v>
      </c>
      <c r="CM26" s="48">
        <v>72.06</v>
      </c>
      <c r="CN26" s="48">
        <v>77.19</v>
      </c>
      <c r="CO26" s="48">
        <v>61.524000000000001</v>
      </c>
      <c r="CP26" s="48">
        <v>74.91</v>
      </c>
      <c r="CQ26" s="48">
        <v>78.33</v>
      </c>
      <c r="CR26" s="48">
        <v>77.760000000000005</v>
      </c>
      <c r="CS26" s="48">
        <v>78.33</v>
      </c>
      <c r="CT26" s="48">
        <v>61.091999999999999</v>
      </c>
      <c r="CU26" s="48">
        <v>70.349999999999994</v>
      </c>
      <c r="CV26" s="48">
        <v>75.48</v>
      </c>
      <c r="CW26" s="48">
        <v>72.06</v>
      </c>
      <c r="CX26" s="48">
        <v>58.38</v>
      </c>
      <c r="CY26" s="48">
        <v>73.77</v>
      </c>
      <c r="CZ26" s="48">
        <v>74.91</v>
      </c>
      <c r="DA26" s="48">
        <v>57.24</v>
      </c>
    </row>
    <row r="27" spans="1:105">
      <c r="A27" s="46">
        <v>25</v>
      </c>
      <c r="B27" s="13">
        <v>10</v>
      </c>
      <c r="C27" s="13">
        <v>10</v>
      </c>
      <c r="D27" s="13">
        <f t="shared" si="4"/>
        <v>100</v>
      </c>
      <c r="E27" s="13">
        <v>5</v>
      </c>
      <c r="F27" s="48">
        <f t="shared" si="5"/>
        <v>50</v>
      </c>
      <c r="G27" s="48">
        <f t="shared" si="0"/>
        <v>75</v>
      </c>
      <c r="H27" s="13">
        <v>10</v>
      </c>
      <c r="I27" s="48">
        <v>10</v>
      </c>
      <c r="J27" s="48">
        <f t="shared" si="1"/>
        <v>100</v>
      </c>
      <c r="K27" s="30">
        <v>3.8461538461538463</v>
      </c>
      <c r="L27" s="30">
        <f t="shared" si="6"/>
        <v>38.461538461538467</v>
      </c>
      <c r="M27" s="30">
        <f t="shared" si="2"/>
        <v>69.230769230769226</v>
      </c>
      <c r="N27" s="48">
        <f t="shared" si="3"/>
        <v>4141.3680000000013</v>
      </c>
      <c r="O27" s="56">
        <v>-66.247425800000002</v>
      </c>
      <c r="P27" s="43">
        <v>37.246715700000003</v>
      </c>
      <c r="Q27" s="56">
        <v>-67.787517199999996</v>
      </c>
      <c r="R27" s="56">
        <v>36.212482799999997</v>
      </c>
      <c r="T27" s="13">
        <v>4.2750000000000004</v>
      </c>
      <c r="U27" s="13">
        <v>4.125</v>
      </c>
      <c r="V27" s="13">
        <v>4.2</v>
      </c>
      <c r="W27" s="13">
        <v>3.65</v>
      </c>
      <c r="X27" s="13">
        <v>3.7250000000000001</v>
      </c>
      <c r="Y27" s="13">
        <v>3.65</v>
      </c>
      <c r="Z27" s="13">
        <v>3.8</v>
      </c>
      <c r="AA27" s="13">
        <v>3.6749999999999998</v>
      </c>
      <c r="AB27" s="13">
        <v>4.0750000000000002</v>
      </c>
      <c r="AC27" s="13">
        <v>4.125</v>
      </c>
      <c r="AD27" s="13">
        <v>4.2</v>
      </c>
      <c r="AE27" s="13">
        <v>4.6749999999999998</v>
      </c>
      <c r="AF27" s="13">
        <v>4.3</v>
      </c>
      <c r="AG27" s="13">
        <v>4.625</v>
      </c>
      <c r="AH27" s="13">
        <v>4.0999999999999996</v>
      </c>
      <c r="AI27" s="13">
        <v>4.5</v>
      </c>
      <c r="AJ27" s="13">
        <v>4.125</v>
      </c>
      <c r="AK27" s="13">
        <v>4.0999999999999996</v>
      </c>
      <c r="AL27" s="13">
        <v>4.4000000000000004</v>
      </c>
      <c r="AM27" s="13">
        <v>4.4000000000000004</v>
      </c>
      <c r="AN27" s="13">
        <v>4.4749999999999996</v>
      </c>
      <c r="AO27" s="13">
        <v>4.4749999999999996</v>
      </c>
      <c r="AP27" s="13">
        <v>4.6749999999999998</v>
      </c>
      <c r="AQ27" s="13">
        <v>4.625</v>
      </c>
      <c r="AR27" s="13">
        <v>4.875</v>
      </c>
      <c r="AS27" s="13">
        <v>4.2249999999999996</v>
      </c>
      <c r="AT27" s="13">
        <v>4.5999999999999996</v>
      </c>
      <c r="AU27" s="13">
        <v>4.5999999999999996</v>
      </c>
      <c r="AV27" s="13">
        <v>4.7249999999999996</v>
      </c>
      <c r="AW27" s="13">
        <v>4.7750000000000004</v>
      </c>
      <c r="AX27" s="13">
        <v>4.8499999999999996</v>
      </c>
      <c r="AY27" s="13">
        <v>4.9249999999999998</v>
      </c>
      <c r="AZ27" s="13">
        <v>4.9249999999999998</v>
      </c>
      <c r="BA27" s="13">
        <v>4.625</v>
      </c>
      <c r="BB27" s="13">
        <v>4.8499999999999996</v>
      </c>
      <c r="BC27" s="13">
        <v>4.25</v>
      </c>
      <c r="BD27" s="13">
        <v>4.6749999999999998</v>
      </c>
      <c r="BE27" s="13">
        <v>4.7</v>
      </c>
      <c r="BF27" s="13">
        <v>3.65</v>
      </c>
      <c r="BH27" s="36" t="s">
        <v>542</v>
      </c>
      <c r="BI27" s="48">
        <v>500</v>
      </c>
      <c r="BJ27" s="52">
        <v>6.0741999999999997E-2</v>
      </c>
      <c r="BK27" s="13">
        <f t="shared" si="7"/>
        <v>5</v>
      </c>
      <c r="BM27" s="48">
        <v>88.44</v>
      </c>
      <c r="BN27" s="48">
        <v>103.41</v>
      </c>
      <c r="BO27" s="48">
        <v>98.85</v>
      </c>
      <c r="BP27" s="48">
        <v>95.861999999999995</v>
      </c>
      <c r="BQ27" s="48">
        <v>97.572000000000003</v>
      </c>
      <c r="BR27" s="48">
        <v>85.463999999999999</v>
      </c>
      <c r="BS27" s="48">
        <v>86.742000000000004</v>
      </c>
      <c r="BT27" s="48">
        <v>85.463999999999999</v>
      </c>
      <c r="BU27" s="48">
        <v>88.02</v>
      </c>
      <c r="BV27" s="48">
        <v>86.034000000000006</v>
      </c>
      <c r="BW27" s="48">
        <v>95.153999999999996</v>
      </c>
      <c r="BX27" s="48">
        <v>95.861999999999995</v>
      </c>
      <c r="BY27" s="48">
        <v>97.14</v>
      </c>
      <c r="BZ27" s="48">
        <v>108.402</v>
      </c>
      <c r="CA27" s="48">
        <v>100.28400000000001</v>
      </c>
      <c r="CB27" s="48">
        <v>108.126</v>
      </c>
      <c r="CC27" s="48">
        <v>95.724000000000004</v>
      </c>
      <c r="CD27" s="48">
        <v>104.84399999999999</v>
      </c>
      <c r="CE27" s="48">
        <v>96.587999999999994</v>
      </c>
      <c r="CF27" s="48">
        <v>95.153999999999996</v>
      </c>
      <c r="CG27" s="48">
        <v>102.56399999999999</v>
      </c>
      <c r="CH27" s="48">
        <v>101.7</v>
      </c>
      <c r="CI27" s="48">
        <v>103.41</v>
      </c>
      <c r="CJ27" s="48">
        <v>103.41</v>
      </c>
      <c r="CK27" s="48">
        <v>108.402</v>
      </c>
      <c r="CL27" s="48">
        <v>107.262</v>
      </c>
      <c r="CM27" s="48">
        <v>112.53</v>
      </c>
      <c r="CN27" s="48">
        <v>97.572000000000003</v>
      </c>
      <c r="CO27" s="48">
        <v>106.69199999999999</v>
      </c>
      <c r="CP27" s="48">
        <v>106.26</v>
      </c>
      <c r="CQ27" s="48">
        <v>109.542</v>
      </c>
      <c r="CR27" s="48">
        <v>110.25</v>
      </c>
      <c r="CS27" s="48">
        <v>111.96</v>
      </c>
      <c r="CT27" s="48">
        <v>113.67</v>
      </c>
      <c r="CU27" s="48">
        <v>113.67</v>
      </c>
      <c r="CV27" s="48">
        <v>107.262</v>
      </c>
      <c r="CW27" s="48">
        <v>112.392</v>
      </c>
      <c r="CX27" s="48">
        <v>98.28</v>
      </c>
      <c r="CY27" s="48">
        <v>107.97</v>
      </c>
      <c r="CZ27" s="48">
        <v>108.97199999999999</v>
      </c>
      <c r="DA27" s="48">
        <v>84.462000000000003</v>
      </c>
    </row>
    <row r="28" spans="1:105">
      <c r="A28" s="46">
        <v>26</v>
      </c>
      <c r="B28" s="13">
        <v>10</v>
      </c>
      <c r="C28" s="13">
        <v>10</v>
      </c>
      <c r="D28" s="13">
        <f t="shared" si="4"/>
        <v>100</v>
      </c>
      <c r="E28" s="13">
        <v>6</v>
      </c>
      <c r="F28" s="48">
        <f t="shared" si="5"/>
        <v>60</v>
      </c>
      <c r="G28" s="48">
        <f t="shared" si="0"/>
        <v>80</v>
      </c>
      <c r="H28" s="13">
        <v>10</v>
      </c>
      <c r="I28" s="48">
        <v>10</v>
      </c>
      <c r="J28" s="48">
        <f t="shared" si="1"/>
        <v>100</v>
      </c>
      <c r="K28" s="30">
        <v>2.5897435897435899</v>
      </c>
      <c r="L28" s="30">
        <f t="shared" si="6"/>
        <v>25.897435897435901</v>
      </c>
      <c r="M28" s="30">
        <f t="shared" si="2"/>
        <v>62.948717948717949</v>
      </c>
      <c r="N28" s="48">
        <f t="shared" si="3"/>
        <v>3302.364</v>
      </c>
      <c r="O28" s="56">
        <v>-65.405170083333331</v>
      </c>
      <c r="P28" s="43">
        <v>37.374421416666664</v>
      </c>
      <c r="Q28" s="56">
        <v>-67.299149833333331</v>
      </c>
      <c r="R28" s="56">
        <v>36.700850166666662</v>
      </c>
      <c r="T28" s="13">
        <v>3.4</v>
      </c>
      <c r="U28" s="13">
        <v>3.55</v>
      </c>
      <c r="V28" s="13">
        <v>3</v>
      </c>
      <c r="W28" s="13">
        <v>3.0750000000000002</v>
      </c>
      <c r="X28" s="13">
        <v>2.625</v>
      </c>
      <c r="Y28" s="13">
        <v>2.9</v>
      </c>
      <c r="Z28" s="13">
        <v>2.9249999999999998</v>
      </c>
      <c r="AA28" s="13">
        <v>2.7749999999999999</v>
      </c>
      <c r="AB28" s="13">
        <v>3.0249999999999999</v>
      </c>
      <c r="AC28" s="13">
        <v>3.125</v>
      </c>
      <c r="AD28" s="13">
        <v>3.4750000000000001</v>
      </c>
      <c r="AE28" s="13">
        <v>3.2749999999999999</v>
      </c>
      <c r="AF28" s="13">
        <v>3.5750000000000002</v>
      </c>
      <c r="AG28" s="13">
        <v>3.625</v>
      </c>
      <c r="AH28" s="13">
        <v>3.125</v>
      </c>
      <c r="AI28" s="13">
        <v>2.9</v>
      </c>
      <c r="AJ28" s="13">
        <v>2.85</v>
      </c>
      <c r="AK28" s="13">
        <v>3.4</v>
      </c>
      <c r="AL28" s="13">
        <v>2.9750000000000001</v>
      </c>
      <c r="AM28" s="13">
        <v>3.6749999999999998</v>
      </c>
      <c r="AN28" s="13">
        <v>3.6</v>
      </c>
      <c r="AO28" s="13">
        <v>4</v>
      </c>
      <c r="AP28" s="13">
        <v>3.9</v>
      </c>
      <c r="AQ28" s="13">
        <v>4.2750000000000004</v>
      </c>
      <c r="AR28" s="13">
        <v>4.2249999999999996</v>
      </c>
      <c r="AS28" s="13">
        <v>3.25</v>
      </c>
      <c r="AT28" s="13">
        <v>3.6</v>
      </c>
      <c r="AU28" s="13">
        <v>3.95</v>
      </c>
      <c r="AV28" s="13">
        <v>4.25</v>
      </c>
      <c r="AW28" s="13">
        <v>3.4</v>
      </c>
      <c r="AX28" s="13">
        <v>4.0250000000000004</v>
      </c>
      <c r="AY28" s="13">
        <v>4.0750000000000002</v>
      </c>
      <c r="AZ28" s="13">
        <v>4</v>
      </c>
      <c r="BA28" s="13">
        <v>3.8</v>
      </c>
      <c r="BB28" s="13">
        <v>4.2750000000000004</v>
      </c>
      <c r="BC28" s="13">
        <v>3.0249999999999999</v>
      </c>
      <c r="BD28" s="13">
        <v>3.75</v>
      </c>
      <c r="BE28" s="13">
        <v>3.55</v>
      </c>
      <c r="BF28" s="13">
        <v>3.1749999999999998</v>
      </c>
      <c r="BH28" s="36" t="s">
        <v>543</v>
      </c>
      <c r="BI28" s="48">
        <v>500</v>
      </c>
      <c r="BJ28" s="52">
        <v>6.5354000000000009E-2</v>
      </c>
      <c r="BK28" s="13">
        <f t="shared" si="7"/>
        <v>4</v>
      </c>
      <c r="BM28" s="48">
        <v>60.942</v>
      </c>
      <c r="BN28" s="48">
        <v>86.88</v>
      </c>
      <c r="BO28" s="48">
        <v>79.331999999999994</v>
      </c>
      <c r="BP28" s="48">
        <v>82.751999999999995</v>
      </c>
      <c r="BQ28" s="48">
        <v>70.073999999999998</v>
      </c>
      <c r="BR28" s="48">
        <v>71.921999999999997</v>
      </c>
      <c r="BS28" s="48">
        <v>61.661999999999999</v>
      </c>
      <c r="BT28" s="48">
        <v>67.932000000000002</v>
      </c>
      <c r="BU28" s="48">
        <v>68.933999999999997</v>
      </c>
      <c r="BV28" s="48">
        <v>65.081999999999994</v>
      </c>
      <c r="BW28" s="48">
        <v>70.781999999999996</v>
      </c>
      <c r="BX28" s="48">
        <v>73.061999999999998</v>
      </c>
      <c r="BY28" s="48">
        <v>81.474000000000004</v>
      </c>
      <c r="BZ28" s="48">
        <v>76.481999999999999</v>
      </c>
      <c r="CA28" s="48">
        <v>83.322000000000003</v>
      </c>
      <c r="CB28" s="48">
        <v>84.462000000000003</v>
      </c>
      <c r="CC28" s="48">
        <v>72.924000000000007</v>
      </c>
      <c r="CD28" s="48">
        <v>68.658000000000001</v>
      </c>
      <c r="CE28" s="48">
        <v>67.518000000000001</v>
      </c>
      <c r="CF28" s="48">
        <v>79.763999999999996</v>
      </c>
      <c r="CG28" s="48">
        <v>69.504000000000005</v>
      </c>
      <c r="CH28" s="48">
        <v>85.602000000000004</v>
      </c>
      <c r="CI28" s="48">
        <v>83.891999999999996</v>
      </c>
      <c r="CJ28" s="48">
        <v>92.58</v>
      </c>
      <c r="CK28" s="48">
        <v>90.3</v>
      </c>
      <c r="CL28" s="48">
        <v>99.281999999999996</v>
      </c>
      <c r="CM28" s="48">
        <v>98.141999999999996</v>
      </c>
      <c r="CN28" s="48">
        <v>75.203999999999994</v>
      </c>
      <c r="CO28" s="48">
        <v>83.754000000000005</v>
      </c>
      <c r="CP28" s="48">
        <v>91.872</v>
      </c>
      <c r="CQ28" s="48">
        <v>98.28</v>
      </c>
      <c r="CR28" s="48">
        <v>79.055999999999997</v>
      </c>
      <c r="CS28" s="48">
        <v>93.15</v>
      </c>
      <c r="CT28" s="48">
        <v>94.29</v>
      </c>
      <c r="CU28" s="48">
        <v>93.012</v>
      </c>
      <c r="CV28" s="48">
        <v>88.451999999999998</v>
      </c>
      <c r="CW28" s="48">
        <v>98.85</v>
      </c>
      <c r="CX28" s="48">
        <v>70.349999999999994</v>
      </c>
      <c r="CY28" s="48">
        <v>86.88</v>
      </c>
      <c r="CZ28" s="48">
        <v>82.182000000000002</v>
      </c>
      <c r="DA28" s="48">
        <v>73.77</v>
      </c>
    </row>
    <row r="29" spans="1:105">
      <c r="A29" s="46">
        <v>27</v>
      </c>
      <c r="B29" s="13">
        <v>10</v>
      </c>
      <c r="C29" s="13">
        <v>10</v>
      </c>
      <c r="D29" s="13">
        <f t="shared" si="4"/>
        <v>100</v>
      </c>
      <c r="E29" s="13">
        <v>5</v>
      </c>
      <c r="F29" s="48">
        <f t="shared" si="5"/>
        <v>50</v>
      </c>
      <c r="G29" s="48">
        <f t="shared" si="0"/>
        <v>75</v>
      </c>
      <c r="H29" s="13">
        <v>10</v>
      </c>
      <c r="I29" s="48">
        <v>9</v>
      </c>
      <c r="J29" s="48">
        <f t="shared" si="1"/>
        <v>90</v>
      </c>
      <c r="K29" s="30">
        <v>3.6923076923076925</v>
      </c>
      <c r="L29" s="30">
        <f t="shared" si="6"/>
        <v>41.025641025641029</v>
      </c>
      <c r="M29" s="30">
        <f t="shared" si="2"/>
        <v>65.512820512820511</v>
      </c>
      <c r="N29" s="48">
        <f t="shared" si="3"/>
        <v>3944.7659999999996</v>
      </c>
      <c r="O29" s="56">
        <v>-68.404607600000006</v>
      </c>
      <c r="P29" s="43">
        <v>35.695778900000001</v>
      </c>
      <c r="Q29" s="56">
        <v>-68.395160399999995</v>
      </c>
      <c r="R29" s="56">
        <v>35.604839600000005</v>
      </c>
      <c r="T29" s="13">
        <v>3.5750000000000002</v>
      </c>
      <c r="U29" s="13">
        <v>4.1749999999999998</v>
      </c>
      <c r="V29" s="13">
        <v>3.875</v>
      </c>
      <c r="W29" s="13">
        <v>3.75</v>
      </c>
      <c r="X29" s="13">
        <v>3.65</v>
      </c>
      <c r="Y29" s="13">
        <v>3.65</v>
      </c>
      <c r="Z29" s="13">
        <v>3.625</v>
      </c>
      <c r="AA29" s="13">
        <v>3.6749999999999998</v>
      </c>
      <c r="AB29" s="13">
        <v>3.8</v>
      </c>
      <c r="AC29" s="13">
        <v>3.875</v>
      </c>
      <c r="AD29" s="13">
        <v>3.9</v>
      </c>
      <c r="AE29" s="13">
        <v>3.5750000000000002</v>
      </c>
      <c r="AF29" s="13">
        <v>3.9</v>
      </c>
      <c r="AG29" s="13">
        <v>3.9249999999999998</v>
      </c>
      <c r="AH29" s="13">
        <v>4.0999999999999996</v>
      </c>
      <c r="AI29" s="13">
        <v>3.8</v>
      </c>
      <c r="AJ29" s="13">
        <v>3.8</v>
      </c>
      <c r="AK29" s="13">
        <v>4.1500000000000004</v>
      </c>
      <c r="AL29" s="13">
        <v>3.95</v>
      </c>
      <c r="AM29" s="13">
        <v>4.125</v>
      </c>
      <c r="AN29" s="13">
        <v>4.4249999999999998</v>
      </c>
      <c r="AO29" s="13">
        <v>4.7249999999999996</v>
      </c>
      <c r="AP29" s="13">
        <v>4.6749999999999998</v>
      </c>
      <c r="AQ29" s="13">
        <v>4.55</v>
      </c>
      <c r="AR29" s="13">
        <v>4.6749999999999998</v>
      </c>
      <c r="AS29" s="13">
        <v>4.6500000000000004</v>
      </c>
      <c r="AT29" s="13">
        <v>4.625</v>
      </c>
      <c r="AU29" s="13">
        <v>4.625</v>
      </c>
      <c r="AV29" s="13">
        <v>4.2750000000000004</v>
      </c>
      <c r="AW29" s="13">
        <v>4.7750000000000004</v>
      </c>
      <c r="AX29" s="13">
        <v>4.5750000000000002</v>
      </c>
      <c r="AY29" s="13">
        <v>4.5999999999999996</v>
      </c>
      <c r="AZ29" s="13">
        <v>4.7</v>
      </c>
      <c r="BA29" s="13">
        <v>4.3250000000000002</v>
      </c>
      <c r="BB29" s="13">
        <v>4.75</v>
      </c>
      <c r="BC29" s="13">
        <v>3.7749999999999999</v>
      </c>
      <c r="BD29" s="13">
        <v>4.4249999999999998</v>
      </c>
      <c r="BE29" s="13">
        <v>4.4000000000000004</v>
      </c>
      <c r="BF29" s="13">
        <v>3.9</v>
      </c>
      <c r="BH29" s="36" t="s">
        <v>544</v>
      </c>
      <c r="BI29" s="48">
        <v>500</v>
      </c>
      <c r="BJ29" s="52">
        <v>7.0857399999999987E-2</v>
      </c>
      <c r="BK29" s="13">
        <f t="shared" si="7"/>
        <v>5</v>
      </c>
      <c r="BM29" s="48">
        <v>85.02</v>
      </c>
      <c r="BN29" s="48">
        <v>99.42</v>
      </c>
      <c r="BO29" s="48">
        <v>82.751999999999995</v>
      </c>
      <c r="BP29" s="48">
        <v>96.57</v>
      </c>
      <c r="BQ29" s="48">
        <v>89.73</v>
      </c>
      <c r="BR29" s="48">
        <v>86.88</v>
      </c>
      <c r="BS29" s="48">
        <v>84.6</v>
      </c>
      <c r="BT29" s="48">
        <v>84.6</v>
      </c>
      <c r="BU29" s="48">
        <v>84.462000000000003</v>
      </c>
      <c r="BV29" s="48">
        <v>85.17</v>
      </c>
      <c r="BW29" s="48">
        <v>88.02</v>
      </c>
      <c r="BX29" s="48">
        <v>89.73</v>
      </c>
      <c r="BY29" s="48">
        <v>90.3</v>
      </c>
      <c r="BZ29" s="48">
        <v>83.183999999999997</v>
      </c>
      <c r="CA29" s="48">
        <v>90.731999999999999</v>
      </c>
      <c r="CB29" s="48">
        <v>90.87</v>
      </c>
      <c r="CC29" s="48">
        <v>94.86</v>
      </c>
      <c r="CD29" s="48">
        <v>88.884</v>
      </c>
      <c r="CE29" s="48">
        <v>89.316000000000003</v>
      </c>
      <c r="CF29" s="48">
        <v>97.296000000000006</v>
      </c>
      <c r="CG29" s="48">
        <v>92.736000000000004</v>
      </c>
      <c r="CH29" s="48">
        <v>95.43</v>
      </c>
      <c r="CI29" s="48">
        <v>102.27</v>
      </c>
      <c r="CJ29" s="48">
        <v>109.11</v>
      </c>
      <c r="CK29" s="48">
        <v>107.97</v>
      </c>
      <c r="CL29" s="48">
        <v>105.12</v>
      </c>
      <c r="CM29" s="48">
        <v>107.97</v>
      </c>
      <c r="CN29" s="48">
        <v>107.4</v>
      </c>
      <c r="CO29" s="48">
        <v>106.83</v>
      </c>
      <c r="CP29" s="48">
        <v>106.83</v>
      </c>
      <c r="CQ29" s="48">
        <v>98.712000000000003</v>
      </c>
      <c r="CR29" s="48">
        <v>110.25</v>
      </c>
      <c r="CS29" s="48">
        <v>105.69</v>
      </c>
      <c r="CT29" s="48">
        <v>106.26</v>
      </c>
      <c r="CU29" s="48">
        <v>108.54</v>
      </c>
      <c r="CV29" s="48">
        <v>99.99</v>
      </c>
      <c r="CW29" s="48">
        <v>109.68</v>
      </c>
      <c r="CX29" s="48">
        <v>87.45</v>
      </c>
      <c r="CY29" s="48">
        <v>102.27</v>
      </c>
      <c r="CZ29" s="48">
        <v>101.562</v>
      </c>
      <c r="DA29" s="48">
        <v>90.3</v>
      </c>
    </row>
    <row r="30" spans="1:105">
      <c r="A30" s="46">
        <v>28</v>
      </c>
      <c r="B30" s="13">
        <v>10</v>
      </c>
      <c r="C30" s="13">
        <v>8</v>
      </c>
      <c r="D30" s="13">
        <f t="shared" si="4"/>
        <v>80</v>
      </c>
      <c r="E30" s="13">
        <v>4</v>
      </c>
      <c r="F30" s="48">
        <f t="shared" si="5"/>
        <v>50</v>
      </c>
      <c r="G30" s="48">
        <f t="shared" si="0"/>
        <v>65</v>
      </c>
      <c r="H30" s="13">
        <v>10</v>
      </c>
      <c r="I30" s="48">
        <v>10</v>
      </c>
      <c r="J30" s="48">
        <f t="shared" si="1"/>
        <v>100</v>
      </c>
      <c r="K30" s="30">
        <v>2.8717948717948718</v>
      </c>
      <c r="L30" s="30">
        <f t="shared" si="6"/>
        <v>28.717948717948715</v>
      </c>
      <c r="M30" s="30">
        <f t="shared" si="2"/>
        <v>64.358974358974365</v>
      </c>
      <c r="N30" s="48">
        <f t="shared" si="3"/>
        <v>3558.4800000000005</v>
      </c>
      <c r="O30" s="56">
        <v>-67.96592287499999</v>
      </c>
      <c r="P30" s="43">
        <v>35.395445374999994</v>
      </c>
      <c r="Q30" s="56">
        <v>-66.083845499999995</v>
      </c>
      <c r="R30" s="56">
        <v>37.916154499999998</v>
      </c>
      <c r="T30" s="13">
        <v>3.75</v>
      </c>
      <c r="U30" s="13">
        <v>3.7749999999999999</v>
      </c>
      <c r="V30" s="13">
        <v>3.4750000000000001</v>
      </c>
      <c r="W30" s="13">
        <v>3.2250000000000001</v>
      </c>
      <c r="X30" s="13">
        <v>3.2749999999999999</v>
      </c>
      <c r="Y30" s="13">
        <v>3.3250000000000002</v>
      </c>
      <c r="Z30" s="13">
        <v>3.3</v>
      </c>
      <c r="AA30" s="13">
        <v>3.0750000000000002</v>
      </c>
      <c r="AB30" s="13">
        <v>3.15</v>
      </c>
      <c r="AC30" s="13">
        <v>3.2749999999999999</v>
      </c>
      <c r="AD30" s="13">
        <v>3.45</v>
      </c>
      <c r="AE30" s="13">
        <v>3.5750000000000002</v>
      </c>
      <c r="AF30" s="13">
        <v>3.3</v>
      </c>
      <c r="AG30" s="13">
        <v>3.5</v>
      </c>
      <c r="AH30" s="13">
        <v>3.4750000000000001</v>
      </c>
      <c r="AI30" s="13">
        <v>3.35</v>
      </c>
      <c r="AJ30" s="13">
        <v>3.45</v>
      </c>
      <c r="AK30" s="13">
        <v>3.0249999999999999</v>
      </c>
      <c r="AL30" s="13">
        <v>2.95</v>
      </c>
      <c r="AM30" s="13">
        <v>3.95</v>
      </c>
      <c r="AN30" s="13">
        <v>4.25</v>
      </c>
      <c r="AO30" s="13">
        <v>4.5</v>
      </c>
      <c r="AP30" s="13">
        <v>4.5999999999999996</v>
      </c>
      <c r="AQ30" s="13">
        <v>3.8</v>
      </c>
      <c r="AR30" s="13">
        <v>4.4749999999999996</v>
      </c>
      <c r="AS30" s="13">
        <v>4.375</v>
      </c>
      <c r="AT30" s="13">
        <v>3.95</v>
      </c>
      <c r="AU30" s="13">
        <v>4.6500000000000004</v>
      </c>
      <c r="AV30" s="13">
        <v>3.3250000000000002</v>
      </c>
      <c r="AW30" s="13">
        <v>4.2750000000000004</v>
      </c>
      <c r="AX30" s="13">
        <v>4.45</v>
      </c>
      <c r="AY30" s="13">
        <v>4.45</v>
      </c>
      <c r="AZ30" s="13">
        <v>4.6500000000000004</v>
      </c>
      <c r="BA30" s="13">
        <v>3.6749999999999998</v>
      </c>
      <c r="BB30" s="13">
        <v>4.3250000000000002</v>
      </c>
      <c r="BC30" s="13">
        <v>3.2</v>
      </c>
      <c r="BD30" s="13">
        <v>4.05</v>
      </c>
      <c r="BE30" s="13">
        <v>4.6749999999999998</v>
      </c>
      <c r="BF30" s="13">
        <v>2.95</v>
      </c>
      <c r="BH30" s="36" t="s">
        <v>545</v>
      </c>
      <c r="BI30" s="48">
        <v>500</v>
      </c>
      <c r="BJ30" s="52">
        <v>6.8339750000000005E-2</v>
      </c>
      <c r="BK30" s="13">
        <f t="shared" si="7"/>
        <v>6</v>
      </c>
      <c r="BM30" s="48">
        <v>67.212000000000003</v>
      </c>
      <c r="BN30" s="48">
        <v>97.71</v>
      </c>
      <c r="BO30" s="48">
        <v>87.311999999999998</v>
      </c>
      <c r="BP30" s="48">
        <v>87.45</v>
      </c>
      <c r="BQ30" s="48">
        <v>80.61</v>
      </c>
      <c r="BR30" s="48">
        <v>75.341999999999999</v>
      </c>
      <c r="BS30" s="48">
        <v>76.481999999999999</v>
      </c>
      <c r="BT30" s="48">
        <v>77.19</v>
      </c>
      <c r="BU30" s="48">
        <v>76.62</v>
      </c>
      <c r="BV30" s="48">
        <v>71.489999999999995</v>
      </c>
      <c r="BW30" s="48">
        <v>74.063999999999993</v>
      </c>
      <c r="BX30" s="48">
        <v>76.481999999999999</v>
      </c>
      <c r="BY30" s="48">
        <v>80.471999999999994</v>
      </c>
      <c r="BZ30" s="48">
        <v>82.89</v>
      </c>
      <c r="CA30" s="48">
        <v>76.481999999999999</v>
      </c>
      <c r="CB30" s="48">
        <v>81.611999999999995</v>
      </c>
      <c r="CC30" s="48">
        <v>80.61</v>
      </c>
      <c r="CD30" s="48">
        <v>78.191999999999993</v>
      </c>
      <c r="CE30" s="48">
        <v>80.903999999999996</v>
      </c>
      <c r="CF30" s="48">
        <v>70.644000000000005</v>
      </c>
      <c r="CG30" s="48">
        <v>68.933999999999997</v>
      </c>
      <c r="CH30" s="48">
        <v>91.44</v>
      </c>
      <c r="CI30" s="48">
        <v>98.28</v>
      </c>
      <c r="CJ30" s="48">
        <v>103.98</v>
      </c>
      <c r="CK30" s="48">
        <v>106.26</v>
      </c>
      <c r="CL30" s="48">
        <v>87.744</v>
      </c>
      <c r="CM30" s="48">
        <v>103.41</v>
      </c>
      <c r="CN30" s="48">
        <v>101.13</v>
      </c>
      <c r="CO30" s="48">
        <v>91.733999999999995</v>
      </c>
      <c r="CP30" s="48">
        <v>107.4</v>
      </c>
      <c r="CQ30" s="48">
        <v>76.914000000000001</v>
      </c>
      <c r="CR30" s="48">
        <v>98.85</v>
      </c>
      <c r="CS30" s="48">
        <v>102.84</v>
      </c>
      <c r="CT30" s="48">
        <v>102.84</v>
      </c>
      <c r="CU30" s="48">
        <v>107.4</v>
      </c>
      <c r="CV30" s="48">
        <v>85.031999999999996</v>
      </c>
      <c r="CW30" s="48">
        <v>99.99</v>
      </c>
      <c r="CX30" s="48">
        <v>74.34</v>
      </c>
      <c r="CY30" s="48">
        <v>93.72</v>
      </c>
      <c r="CZ30" s="48">
        <v>107.97</v>
      </c>
      <c r="DA30" s="48">
        <v>68.501999999999995</v>
      </c>
    </row>
    <row r="31" spans="1:105">
      <c r="A31" s="46">
        <v>29</v>
      </c>
      <c r="B31" s="13">
        <v>10</v>
      </c>
      <c r="C31" s="13">
        <v>10</v>
      </c>
      <c r="D31" s="13">
        <f t="shared" si="4"/>
        <v>100</v>
      </c>
      <c r="E31" s="13">
        <v>3</v>
      </c>
      <c r="F31" s="48">
        <f t="shared" si="5"/>
        <v>30</v>
      </c>
      <c r="G31" s="48">
        <f t="shared" si="0"/>
        <v>65</v>
      </c>
      <c r="H31" s="13">
        <v>10</v>
      </c>
      <c r="I31" s="48">
        <v>9</v>
      </c>
      <c r="J31" s="48">
        <f t="shared" si="1"/>
        <v>90</v>
      </c>
      <c r="K31" s="30">
        <v>3.0256410256410255</v>
      </c>
      <c r="L31" s="30">
        <f t="shared" si="6"/>
        <v>33.618233618233617</v>
      </c>
      <c r="M31" s="30">
        <f t="shared" si="2"/>
        <v>61.809116809116809</v>
      </c>
      <c r="N31" s="48">
        <f t="shared" si="3"/>
        <v>3587.6759999999999</v>
      </c>
      <c r="O31" s="56">
        <v>-69.235691666666668</v>
      </c>
      <c r="P31" s="43">
        <v>35.882363000000005</v>
      </c>
      <c r="Q31" s="56">
        <v>-65.937417999999994</v>
      </c>
      <c r="R31" s="56">
        <v>38.062581999999999</v>
      </c>
      <c r="T31" s="13">
        <v>3.55</v>
      </c>
      <c r="U31" s="13">
        <v>3.7250000000000001</v>
      </c>
      <c r="V31" s="13">
        <v>3.65</v>
      </c>
      <c r="W31" s="13">
        <v>3.1</v>
      </c>
      <c r="X31" s="13">
        <v>3.35</v>
      </c>
      <c r="Y31" s="13">
        <v>3.4249999999999998</v>
      </c>
      <c r="Z31" s="13">
        <v>3.2</v>
      </c>
      <c r="AA31" s="13">
        <v>3.375</v>
      </c>
      <c r="AB31" s="13">
        <v>3.3250000000000002</v>
      </c>
      <c r="AC31" s="13">
        <v>3.5750000000000002</v>
      </c>
      <c r="AD31" s="13">
        <v>3.5249999999999999</v>
      </c>
      <c r="AE31" s="13">
        <v>3.6749999999999998</v>
      </c>
      <c r="AF31" s="13">
        <v>3.4249999999999998</v>
      </c>
      <c r="AG31" s="13">
        <v>3.875</v>
      </c>
      <c r="AH31" s="13">
        <v>3.625</v>
      </c>
      <c r="AI31" s="13">
        <v>3.6</v>
      </c>
      <c r="AJ31" s="13">
        <v>3.6749999999999998</v>
      </c>
      <c r="AK31" s="13">
        <v>3.6749999999999998</v>
      </c>
      <c r="AL31" s="13">
        <v>3.7250000000000001</v>
      </c>
      <c r="AM31" s="13">
        <v>3.875</v>
      </c>
      <c r="AN31" s="13">
        <v>4.1500000000000004</v>
      </c>
      <c r="AO31" s="13">
        <v>3.7250000000000001</v>
      </c>
      <c r="AP31" s="13">
        <v>4.0999999999999996</v>
      </c>
      <c r="AQ31" s="13">
        <v>4.2</v>
      </c>
      <c r="AR31" s="13">
        <v>4.1749999999999998</v>
      </c>
      <c r="AS31" s="13">
        <v>4.2249999999999996</v>
      </c>
      <c r="AT31" s="13">
        <v>3.9</v>
      </c>
      <c r="AU31" s="13">
        <v>4.4000000000000004</v>
      </c>
      <c r="AV31" s="13">
        <v>4.1749999999999998</v>
      </c>
      <c r="AW31" s="13">
        <v>3.9750000000000001</v>
      </c>
      <c r="AX31" s="13">
        <v>4.3</v>
      </c>
      <c r="AY31" s="13">
        <v>4.3</v>
      </c>
      <c r="AZ31" s="13">
        <v>4.3499999999999996</v>
      </c>
      <c r="BA31" s="13">
        <v>3.75</v>
      </c>
      <c r="BB31" s="13">
        <v>4.3</v>
      </c>
      <c r="BC31" s="13">
        <v>3.3</v>
      </c>
      <c r="BD31" s="13">
        <v>3.6749999999999998</v>
      </c>
      <c r="BE31" s="13">
        <v>4.0250000000000004</v>
      </c>
      <c r="BF31" s="13">
        <v>2.7749999999999999</v>
      </c>
      <c r="BH31" s="36" t="s">
        <v>546</v>
      </c>
      <c r="BI31" s="48">
        <v>500</v>
      </c>
      <c r="BJ31" s="52">
        <v>6.6153333333333328E-2</v>
      </c>
      <c r="BK31" s="13">
        <f t="shared" si="7"/>
        <v>7</v>
      </c>
      <c r="BM31" s="48">
        <v>70.632000000000005</v>
      </c>
      <c r="BN31" s="48">
        <v>97.572000000000003</v>
      </c>
      <c r="BO31" s="48">
        <v>82.751999999999995</v>
      </c>
      <c r="BP31" s="48">
        <v>86.742000000000004</v>
      </c>
      <c r="BQ31" s="48">
        <v>85.031999999999996</v>
      </c>
      <c r="BR31" s="48">
        <v>72.492000000000004</v>
      </c>
      <c r="BS31" s="48">
        <v>78.191999999999993</v>
      </c>
      <c r="BT31" s="48">
        <v>79.902000000000001</v>
      </c>
      <c r="BU31" s="48">
        <v>74.772000000000006</v>
      </c>
      <c r="BV31" s="48">
        <v>78.762</v>
      </c>
      <c r="BW31" s="48">
        <v>77.622</v>
      </c>
      <c r="BX31" s="48">
        <v>83.754000000000005</v>
      </c>
      <c r="BY31" s="48">
        <v>82.182000000000002</v>
      </c>
      <c r="BZ31" s="48">
        <v>85.602000000000004</v>
      </c>
      <c r="CA31" s="48">
        <v>80.628</v>
      </c>
      <c r="CB31" s="48">
        <v>90.162000000000006</v>
      </c>
      <c r="CC31" s="48">
        <v>84.894000000000005</v>
      </c>
      <c r="CD31" s="48">
        <v>83.891999999999996</v>
      </c>
      <c r="CE31" s="48">
        <v>86.034000000000006</v>
      </c>
      <c r="CF31" s="48">
        <v>86.034000000000006</v>
      </c>
      <c r="CG31" s="48">
        <v>88.037999999999997</v>
      </c>
      <c r="CH31" s="48">
        <v>90.162000000000006</v>
      </c>
      <c r="CI31" s="48">
        <v>96.432000000000002</v>
      </c>
      <c r="CJ31" s="48">
        <v>86.603999999999999</v>
      </c>
      <c r="CK31" s="48">
        <v>95.292000000000002</v>
      </c>
      <c r="CL31" s="48">
        <v>97.572000000000003</v>
      </c>
      <c r="CM31" s="48">
        <v>97.001999999999995</v>
      </c>
      <c r="CN31" s="48">
        <v>98.141999999999996</v>
      </c>
      <c r="CO31" s="48">
        <v>90.593999999999994</v>
      </c>
      <c r="CP31" s="48">
        <v>102.13200000000001</v>
      </c>
      <c r="CQ31" s="48">
        <v>97.001999999999995</v>
      </c>
      <c r="CR31" s="48">
        <v>92.441999999999993</v>
      </c>
      <c r="CS31" s="48">
        <v>99.852000000000004</v>
      </c>
      <c r="CT31" s="48">
        <v>99.852000000000004</v>
      </c>
      <c r="CU31" s="48">
        <v>100.992</v>
      </c>
      <c r="CV31" s="48">
        <v>87.311999999999998</v>
      </c>
      <c r="CW31" s="48">
        <v>99.852000000000004</v>
      </c>
      <c r="CX31" s="48">
        <v>76.62</v>
      </c>
      <c r="CY31" s="48">
        <v>85.602000000000004</v>
      </c>
      <c r="CZ31" s="48">
        <v>93.581999999999994</v>
      </c>
      <c r="DA31" s="48">
        <v>64.944000000000003</v>
      </c>
    </row>
    <row r="32" spans="1:105">
      <c r="A32" s="46">
        <v>30</v>
      </c>
      <c r="B32" s="13">
        <v>10</v>
      </c>
      <c r="C32" s="13">
        <v>10</v>
      </c>
      <c r="D32" s="13">
        <f t="shared" si="4"/>
        <v>100</v>
      </c>
      <c r="E32" s="13">
        <v>3</v>
      </c>
      <c r="F32" s="48">
        <f t="shared" si="5"/>
        <v>30</v>
      </c>
      <c r="G32" s="48">
        <f t="shared" si="0"/>
        <v>65</v>
      </c>
      <c r="H32" s="13">
        <v>10</v>
      </c>
      <c r="I32" s="9">
        <v>8</v>
      </c>
      <c r="J32" s="48">
        <f t="shared" si="1"/>
        <v>80</v>
      </c>
      <c r="K32" s="30">
        <v>3.0769230769230771</v>
      </c>
      <c r="L32" s="30">
        <f t="shared" si="6"/>
        <v>38.461538461538467</v>
      </c>
      <c r="M32" s="30">
        <f t="shared" si="2"/>
        <v>59.230769230769234</v>
      </c>
      <c r="N32" s="48">
        <f t="shared" si="3"/>
        <v>3618.78</v>
      </c>
      <c r="O32" s="56">
        <v>-70.693111999999999</v>
      </c>
      <c r="P32" s="43">
        <v>32.275673333333337</v>
      </c>
      <c r="Q32" s="56">
        <v>-72.515762666666674</v>
      </c>
      <c r="R32" s="56">
        <v>31.484237333333336</v>
      </c>
      <c r="T32" s="13">
        <v>4.0250000000000004</v>
      </c>
      <c r="U32" s="13">
        <v>3.95</v>
      </c>
      <c r="V32" s="13">
        <v>3.75</v>
      </c>
      <c r="W32" s="13">
        <v>3.0750000000000002</v>
      </c>
      <c r="X32" s="13">
        <v>3.1749999999999998</v>
      </c>
      <c r="Y32" s="13">
        <v>3.55</v>
      </c>
      <c r="Z32" s="13">
        <v>3.1</v>
      </c>
      <c r="AA32" s="13">
        <v>3.0249999999999999</v>
      </c>
      <c r="AB32" s="13">
        <v>3.125</v>
      </c>
      <c r="AC32" s="13">
        <v>3.2749999999999999</v>
      </c>
      <c r="AD32" s="13">
        <v>3.1749999999999998</v>
      </c>
      <c r="AE32" s="13">
        <v>3.5249999999999999</v>
      </c>
      <c r="AF32" s="13">
        <v>3.7749999999999999</v>
      </c>
      <c r="AG32" s="13">
        <v>3.3</v>
      </c>
      <c r="AH32" s="13">
        <v>3.4249999999999998</v>
      </c>
      <c r="AI32" s="13">
        <v>3.2</v>
      </c>
      <c r="AJ32" s="13">
        <v>3.55</v>
      </c>
      <c r="AK32" s="13">
        <v>3.375</v>
      </c>
      <c r="AL32" s="13">
        <v>3.2250000000000001</v>
      </c>
      <c r="AM32" s="13">
        <v>3.7749999999999999</v>
      </c>
      <c r="AN32" s="13">
        <v>4.2249999999999996</v>
      </c>
      <c r="AO32" s="13">
        <v>4.25</v>
      </c>
      <c r="AP32" s="13">
        <v>3.55</v>
      </c>
      <c r="AQ32" s="13">
        <v>3.9750000000000001</v>
      </c>
      <c r="AR32" s="13">
        <v>4.1749999999999998</v>
      </c>
      <c r="AS32" s="13">
        <v>4.0999999999999996</v>
      </c>
      <c r="AT32" s="13">
        <v>4.25</v>
      </c>
      <c r="AU32" s="13">
        <v>4.0250000000000004</v>
      </c>
      <c r="AV32" s="13">
        <v>4.25</v>
      </c>
      <c r="AW32" s="13">
        <v>3.8</v>
      </c>
      <c r="AX32" s="13">
        <v>3.9750000000000001</v>
      </c>
      <c r="AY32" s="13">
        <v>4.2</v>
      </c>
      <c r="AZ32" s="13">
        <v>3.8</v>
      </c>
      <c r="BA32" s="13">
        <v>3.5</v>
      </c>
      <c r="BB32" s="13">
        <v>4.2249999999999996</v>
      </c>
      <c r="BC32" s="13">
        <v>2.7250000000000001</v>
      </c>
      <c r="BD32" s="13">
        <v>3.5249999999999999</v>
      </c>
      <c r="BE32" s="13">
        <v>4.3250000000000002</v>
      </c>
      <c r="BF32" s="13">
        <v>3</v>
      </c>
      <c r="BH32" s="36" t="s">
        <v>547</v>
      </c>
      <c r="BI32" s="48">
        <v>500</v>
      </c>
      <c r="BJ32" s="52">
        <v>6.7683666666666656E-2</v>
      </c>
      <c r="BK32" s="13">
        <f t="shared" si="7"/>
        <v>7</v>
      </c>
      <c r="BM32" s="48">
        <v>75.66</v>
      </c>
      <c r="BN32" s="48">
        <v>86.64</v>
      </c>
      <c r="BO32" s="48">
        <v>97.47</v>
      </c>
      <c r="BP32" s="48">
        <v>95.76</v>
      </c>
      <c r="BQ32" s="48">
        <v>91.2</v>
      </c>
      <c r="BR32" s="48">
        <v>75.239999999999995</v>
      </c>
      <c r="BS32" s="48">
        <v>78.09</v>
      </c>
      <c r="BT32" s="48">
        <v>86.64</v>
      </c>
      <c r="BU32" s="48">
        <v>76.38</v>
      </c>
      <c r="BV32" s="48">
        <v>74.67</v>
      </c>
      <c r="BW32" s="48">
        <v>76.95</v>
      </c>
      <c r="BX32" s="48">
        <v>80.37</v>
      </c>
      <c r="BY32" s="48">
        <v>78.09</v>
      </c>
      <c r="BZ32" s="48">
        <v>86.07</v>
      </c>
      <c r="CA32" s="48">
        <v>91.77</v>
      </c>
      <c r="CB32" s="48">
        <v>80.94</v>
      </c>
      <c r="CC32" s="48">
        <v>83.79</v>
      </c>
      <c r="CD32" s="48">
        <v>78.66</v>
      </c>
      <c r="CE32" s="48">
        <v>86.64</v>
      </c>
      <c r="CF32" s="48">
        <v>82.65</v>
      </c>
      <c r="CG32" s="48">
        <v>79.23</v>
      </c>
      <c r="CH32" s="48">
        <v>91.2</v>
      </c>
      <c r="CI32" s="48">
        <v>102.03</v>
      </c>
      <c r="CJ32" s="48">
        <v>102.6</v>
      </c>
      <c r="CK32" s="48">
        <v>86.07</v>
      </c>
      <c r="CL32" s="48">
        <v>96.33</v>
      </c>
      <c r="CM32" s="48">
        <v>100.32</v>
      </c>
      <c r="CN32" s="48">
        <v>98.61</v>
      </c>
      <c r="CO32" s="48">
        <v>102.6</v>
      </c>
      <c r="CP32" s="48">
        <v>97.47</v>
      </c>
      <c r="CQ32" s="48">
        <v>102.6</v>
      </c>
      <c r="CR32" s="48">
        <v>92.34</v>
      </c>
      <c r="CS32" s="48">
        <v>96.33</v>
      </c>
      <c r="CT32" s="48">
        <v>101.46</v>
      </c>
      <c r="CU32" s="48">
        <v>91.77</v>
      </c>
      <c r="CV32" s="48">
        <v>85.5</v>
      </c>
      <c r="CW32" s="48">
        <v>102.03</v>
      </c>
      <c r="CX32" s="48">
        <v>62.13</v>
      </c>
      <c r="CY32" s="48">
        <v>86.07</v>
      </c>
      <c r="CZ32" s="48">
        <v>104.31</v>
      </c>
      <c r="DA32" s="48">
        <v>74.099999999999994</v>
      </c>
    </row>
    <row r="33" spans="1:71">
      <c r="A33" s="9"/>
      <c r="B33" s="11"/>
      <c r="C33" s="11"/>
      <c r="D33" s="11"/>
      <c r="E33" s="11"/>
      <c r="F33" s="76">
        <f>AVERAGE(F4:F32)</f>
        <v>40.900383141762454</v>
      </c>
      <c r="G33" s="76">
        <f>AVERAGE(G4:G32)</f>
        <v>69.243295019157088</v>
      </c>
      <c r="H33" s="9"/>
      <c r="I33" s="9"/>
      <c r="L33" s="76">
        <f>AVERAGE(L4:L32)</f>
        <v>31.635720601237843</v>
      </c>
      <c r="M33" s="76">
        <f>AVERAGE(M4:M32)</f>
        <v>63.231653404067202</v>
      </c>
      <c r="O33" s="55"/>
    </row>
    <row r="34" spans="1:71">
      <c r="O34" s="55"/>
    </row>
    <row r="35" spans="1:71">
      <c r="O35" s="55"/>
      <c r="BG35" s="90" t="s">
        <v>785</v>
      </c>
      <c r="BH35" s="90"/>
      <c r="BI35" s="90"/>
      <c r="BJ35" s="90"/>
    </row>
    <row r="36" spans="1:71">
      <c r="O36" s="55"/>
      <c r="BH36" s="10" t="s">
        <v>808</v>
      </c>
      <c r="BI36" s="10" t="s">
        <v>809</v>
      </c>
      <c r="BJ36" s="10" t="s">
        <v>810</v>
      </c>
      <c r="BK36" s="10" t="s">
        <v>167</v>
      </c>
      <c r="BL36" s="10" t="s">
        <v>811</v>
      </c>
      <c r="BM36" s="10" t="s">
        <v>812</v>
      </c>
      <c r="BN36" s="10">
        <v>12</v>
      </c>
      <c r="BO36" s="10" t="s">
        <v>813</v>
      </c>
      <c r="BP36" s="10" t="s">
        <v>807</v>
      </c>
      <c r="BQ36" s="48" t="s">
        <v>841</v>
      </c>
      <c r="BR36" s="48" t="s">
        <v>887</v>
      </c>
      <c r="BS36" s="48" t="s">
        <v>888</v>
      </c>
    </row>
    <row r="37" spans="1:71">
      <c r="O37" s="55"/>
      <c r="BH37" s="10" t="s">
        <v>814</v>
      </c>
      <c r="BI37" s="10" t="s">
        <v>169</v>
      </c>
      <c r="BJ37" s="10" t="s">
        <v>815</v>
      </c>
      <c r="BK37" s="10">
        <v>500</v>
      </c>
      <c r="BL37" s="10" t="s">
        <v>816</v>
      </c>
      <c r="BM37" s="10" t="s">
        <v>817</v>
      </c>
      <c r="BN37" s="10" t="s">
        <v>818</v>
      </c>
      <c r="BO37" s="10">
        <v>6.7355999999999999E-2</v>
      </c>
      <c r="BP37" s="10" t="s">
        <v>806</v>
      </c>
      <c r="BQ37" s="48">
        <v>20</v>
      </c>
      <c r="BR37" s="48">
        <f>AVERAGE(BO37,BO39:BO42)</f>
        <v>6.4244400000000007E-2</v>
      </c>
      <c r="BS37" s="13">
        <v>5</v>
      </c>
    </row>
    <row r="38" spans="1:71">
      <c r="O38" s="55"/>
      <c r="BH38" s="10" t="s">
        <v>808</v>
      </c>
      <c r="BI38" s="10" t="s">
        <v>171</v>
      </c>
      <c r="BJ38" s="10" t="s">
        <v>810</v>
      </c>
      <c r="BK38" s="10" t="s">
        <v>173</v>
      </c>
      <c r="BL38" s="10" t="s">
        <v>811</v>
      </c>
      <c r="BM38" s="10" t="s">
        <v>812</v>
      </c>
      <c r="BN38" s="10">
        <v>14</v>
      </c>
      <c r="BO38" s="10" t="s">
        <v>813</v>
      </c>
      <c r="BP38" s="10" t="s">
        <v>807</v>
      </c>
      <c r="BQ38" s="48">
        <v>30</v>
      </c>
      <c r="BR38" s="48">
        <f>AVERAGE(BO44,BO46:BO47,BO49:BO50)</f>
        <v>5.6097399999999999E-2</v>
      </c>
      <c r="BS38" s="13">
        <v>5</v>
      </c>
    </row>
    <row r="39" spans="1:71">
      <c r="O39" s="55"/>
      <c r="BH39" s="10" t="s">
        <v>814</v>
      </c>
      <c r="BI39" s="10" t="s">
        <v>174</v>
      </c>
      <c r="BJ39" s="10" t="s">
        <v>815</v>
      </c>
      <c r="BK39" s="10">
        <v>500</v>
      </c>
      <c r="BL39" s="10" t="s">
        <v>816</v>
      </c>
      <c r="BM39" s="10" t="s">
        <v>817</v>
      </c>
      <c r="BN39" s="10" t="s">
        <v>818</v>
      </c>
      <c r="BO39" s="10">
        <v>7.0411000000000001E-2</v>
      </c>
      <c r="BP39" s="10" t="s">
        <v>806</v>
      </c>
      <c r="BQ39" s="48">
        <v>40</v>
      </c>
      <c r="BR39" s="48">
        <f>AVERAGE(BO51:BO54,BO56:BO58)</f>
        <v>6.6563142857142849E-2</v>
      </c>
      <c r="BS39" s="13">
        <v>3</v>
      </c>
    </row>
    <row r="40" spans="1:71">
      <c r="O40" s="55"/>
      <c r="BH40" s="10" t="s">
        <v>814</v>
      </c>
      <c r="BI40" s="10" t="s">
        <v>176</v>
      </c>
      <c r="BJ40" s="10" t="s">
        <v>815</v>
      </c>
      <c r="BK40" s="10">
        <v>500</v>
      </c>
      <c r="BL40" s="10" t="s">
        <v>816</v>
      </c>
      <c r="BM40" s="10" t="s">
        <v>817</v>
      </c>
      <c r="BN40" s="10" t="s">
        <v>818</v>
      </c>
      <c r="BO40" s="10">
        <v>7.0711999999999997E-2</v>
      </c>
      <c r="BP40" s="10" t="s">
        <v>806</v>
      </c>
      <c r="BQ40" s="48">
        <v>50</v>
      </c>
      <c r="BR40" s="48">
        <f>AVERAGE(BO60,BO65:BO66,BO62:BO63)</f>
        <v>6.7638999999999991E-2</v>
      </c>
      <c r="BS40" s="13">
        <v>5</v>
      </c>
    </row>
    <row r="41" spans="1:71">
      <c r="O41" s="55"/>
      <c r="BH41" s="10" t="s">
        <v>814</v>
      </c>
      <c r="BI41" s="10" t="s">
        <v>178</v>
      </c>
      <c r="BJ41" s="10" t="s">
        <v>815</v>
      </c>
      <c r="BK41" s="10">
        <v>500</v>
      </c>
      <c r="BL41" s="10" t="s">
        <v>816</v>
      </c>
      <c r="BM41" s="10" t="s">
        <v>817</v>
      </c>
      <c r="BN41" s="10" t="s">
        <v>818</v>
      </c>
      <c r="BO41" s="10">
        <v>5.2942000000000003E-2</v>
      </c>
      <c r="BP41" s="10" t="s">
        <v>806</v>
      </c>
      <c r="BQ41" s="48">
        <v>60</v>
      </c>
      <c r="BR41" s="48">
        <f>AVERAGE(BO68,BO72,BO70)</f>
        <v>6.3421000000000005E-2</v>
      </c>
      <c r="BS41" s="13">
        <v>7</v>
      </c>
    </row>
    <row r="42" spans="1:71">
      <c r="O42" s="55"/>
      <c r="BH42" s="10" t="s">
        <v>814</v>
      </c>
      <c r="BI42" s="10" t="s">
        <v>180</v>
      </c>
      <c r="BJ42" s="10" t="s">
        <v>815</v>
      </c>
      <c r="BK42" s="10">
        <v>500</v>
      </c>
      <c r="BL42" s="10" t="s">
        <v>816</v>
      </c>
      <c r="BM42" s="10" t="s">
        <v>817</v>
      </c>
      <c r="BN42" s="10" t="s">
        <v>818</v>
      </c>
      <c r="BO42" s="10">
        <v>5.9801E-2</v>
      </c>
      <c r="BP42" s="10" t="s">
        <v>806</v>
      </c>
      <c r="BQ42" s="48">
        <v>70</v>
      </c>
      <c r="BR42" s="48">
        <f>AVERAGE(BO74,BO78:BO79,BO76)</f>
        <v>6.832474999999999E-2</v>
      </c>
      <c r="BS42" s="13">
        <v>6</v>
      </c>
    </row>
    <row r="43" spans="1:71">
      <c r="O43" s="55"/>
      <c r="BH43" s="10" t="s">
        <v>808</v>
      </c>
      <c r="BI43" s="10" t="s">
        <v>182</v>
      </c>
      <c r="BJ43" s="10" t="s">
        <v>810</v>
      </c>
      <c r="BK43" s="10" t="s">
        <v>184</v>
      </c>
      <c r="BL43" s="10" t="s">
        <v>811</v>
      </c>
      <c r="BM43" s="10" t="s">
        <v>812</v>
      </c>
      <c r="BN43" s="10">
        <v>16</v>
      </c>
      <c r="BO43" s="10" t="s">
        <v>813</v>
      </c>
      <c r="BP43" s="10" t="s">
        <v>807</v>
      </c>
      <c r="BQ43" s="48">
        <v>80</v>
      </c>
      <c r="BR43" s="48">
        <f>AVERAGE(BO81,BO87,BO86,BO85,BO83)</f>
        <v>5.9809199999999993E-2</v>
      </c>
      <c r="BS43" s="13">
        <v>5</v>
      </c>
    </row>
    <row r="44" spans="1:71">
      <c r="O44" s="55"/>
      <c r="BH44" s="10" t="s">
        <v>814</v>
      </c>
      <c r="BI44" s="10" t="s">
        <v>186</v>
      </c>
      <c r="BJ44" s="10" t="s">
        <v>815</v>
      </c>
      <c r="BK44" s="10">
        <v>500</v>
      </c>
      <c r="BL44" s="10" t="s">
        <v>816</v>
      </c>
      <c r="BM44" s="10" t="s">
        <v>817</v>
      </c>
      <c r="BN44" s="10" t="s">
        <v>818</v>
      </c>
      <c r="BO44" s="10">
        <v>6.6356999999999999E-2</v>
      </c>
      <c r="BP44" s="10" t="s">
        <v>806</v>
      </c>
      <c r="BQ44" s="48">
        <v>90</v>
      </c>
      <c r="BR44" s="48">
        <f>AVERAGE(BO88,BO91:BO94,BO89)</f>
        <v>6.1956666666666667E-2</v>
      </c>
      <c r="BS44" s="13">
        <v>4</v>
      </c>
    </row>
    <row r="45" spans="1:71">
      <c r="O45" s="55"/>
      <c r="BH45" s="10" t="s">
        <v>808</v>
      </c>
      <c r="BI45" s="10" t="s">
        <v>188</v>
      </c>
      <c r="BJ45" s="10" t="s">
        <v>810</v>
      </c>
      <c r="BK45" s="10" t="s">
        <v>189</v>
      </c>
      <c r="BL45" s="10" t="s">
        <v>811</v>
      </c>
      <c r="BM45" s="10" t="s">
        <v>812</v>
      </c>
      <c r="BN45" s="10">
        <v>18</v>
      </c>
      <c r="BO45" s="10" t="s">
        <v>813</v>
      </c>
      <c r="BP45" s="10" t="s">
        <v>807</v>
      </c>
      <c r="BQ45" s="48">
        <v>100</v>
      </c>
      <c r="BR45" s="48">
        <f>AVERAGE(BO98,BO96)</f>
        <v>6.3439999999999996E-2</v>
      </c>
      <c r="BS45" s="13">
        <v>8</v>
      </c>
    </row>
    <row r="46" spans="1:71">
      <c r="O46" s="55"/>
      <c r="BH46" s="10" t="s">
        <v>814</v>
      </c>
      <c r="BI46" s="10" t="s">
        <v>191</v>
      </c>
      <c r="BJ46" s="10" t="s">
        <v>815</v>
      </c>
      <c r="BK46" s="10">
        <v>500</v>
      </c>
      <c r="BL46" s="10" t="s">
        <v>816</v>
      </c>
      <c r="BM46" s="10" t="s">
        <v>817</v>
      </c>
      <c r="BN46" s="10" t="s">
        <v>818</v>
      </c>
      <c r="BO46" s="10">
        <v>5.0866000000000001E-2</v>
      </c>
      <c r="BP46" s="10" t="s">
        <v>806</v>
      </c>
      <c r="BQ46" s="48">
        <v>110</v>
      </c>
      <c r="BR46" s="48">
        <f>AVERAGE(BO100,BO108,BO106,BO105,BO103,BO102)</f>
        <v>6.9575499999999998E-2</v>
      </c>
      <c r="BS46" s="13">
        <v>4</v>
      </c>
    </row>
    <row r="47" spans="1:71">
      <c r="O47" s="55"/>
      <c r="BH47" s="10" t="s">
        <v>814</v>
      </c>
      <c r="BI47" s="10" t="s">
        <v>192</v>
      </c>
      <c r="BJ47" s="10" t="s">
        <v>815</v>
      </c>
      <c r="BK47" s="10">
        <v>500</v>
      </c>
      <c r="BL47" s="10" t="s">
        <v>816</v>
      </c>
      <c r="BM47" s="10" t="s">
        <v>817</v>
      </c>
      <c r="BN47" s="10" t="s">
        <v>818</v>
      </c>
      <c r="BO47" s="10">
        <v>5.3527999999999999E-2</v>
      </c>
      <c r="BP47" s="10" t="s">
        <v>806</v>
      </c>
      <c r="BQ47" s="48">
        <v>120</v>
      </c>
      <c r="BR47" s="48">
        <f>AVERAGE(BO110,BO115,BO114,BO112)</f>
        <v>5.9655999999999994E-2</v>
      </c>
      <c r="BS47" s="13">
        <v>6</v>
      </c>
    </row>
    <row r="48" spans="1:71">
      <c r="O48" s="55"/>
      <c r="BH48" s="10" t="s">
        <v>808</v>
      </c>
      <c r="BI48" s="10" t="s">
        <v>193</v>
      </c>
      <c r="BJ48" s="10" t="s">
        <v>810</v>
      </c>
      <c r="BK48" s="10" t="s">
        <v>194</v>
      </c>
      <c r="BL48" s="10" t="s">
        <v>811</v>
      </c>
      <c r="BM48" s="10" t="s">
        <v>812</v>
      </c>
      <c r="BN48" s="10">
        <v>20</v>
      </c>
      <c r="BO48" s="10" t="s">
        <v>813</v>
      </c>
      <c r="BP48" s="10" t="s">
        <v>807</v>
      </c>
      <c r="BQ48" s="48">
        <v>130</v>
      </c>
      <c r="BR48" s="48">
        <f>AVERAGE(BO117:BO121,BO124,BO123)</f>
        <v>6.3660285714285711E-2</v>
      </c>
      <c r="BS48" s="13">
        <v>3</v>
      </c>
    </row>
    <row r="49" spans="15:71">
      <c r="O49" s="55"/>
      <c r="BH49" s="10" t="s">
        <v>814</v>
      </c>
      <c r="BI49" s="10" t="s">
        <v>195</v>
      </c>
      <c r="BJ49" s="10" t="s">
        <v>815</v>
      </c>
      <c r="BK49" s="10">
        <v>500</v>
      </c>
      <c r="BL49" s="10" t="s">
        <v>816</v>
      </c>
      <c r="BM49" s="10" t="s">
        <v>817</v>
      </c>
      <c r="BN49" s="10" t="s">
        <v>818</v>
      </c>
      <c r="BO49" s="10">
        <v>5.2650000000000002E-2</v>
      </c>
      <c r="BP49" s="10" t="s">
        <v>806</v>
      </c>
      <c r="BQ49" s="48">
        <v>140</v>
      </c>
      <c r="BR49" s="48">
        <f>AVERAGE(BO131,BO129,BO128,BO126)</f>
        <v>5.928075E-2</v>
      </c>
      <c r="BS49" s="13">
        <v>6</v>
      </c>
    </row>
    <row r="50" spans="15:71">
      <c r="O50" s="55"/>
      <c r="BH50" s="10" t="s">
        <v>814</v>
      </c>
      <c r="BI50" s="10" t="s">
        <v>196</v>
      </c>
      <c r="BJ50" s="10" t="s">
        <v>815</v>
      </c>
      <c r="BK50" s="10">
        <v>500</v>
      </c>
      <c r="BL50" s="10" t="s">
        <v>816</v>
      </c>
      <c r="BM50" s="10" t="s">
        <v>817</v>
      </c>
      <c r="BN50" s="10" t="s">
        <v>818</v>
      </c>
      <c r="BO50" s="10">
        <v>5.7085999999999998E-2</v>
      </c>
      <c r="BP50" s="10" t="s">
        <v>806</v>
      </c>
      <c r="BQ50" s="48">
        <v>150</v>
      </c>
      <c r="BR50" s="48">
        <f>AVERAGE(BO132,BO134)</f>
        <v>6.5737999999999991E-2</v>
      </c>
      <c r="BS50" s="13">
        <v>8</v>
      </c>
    </row>
    <row r="51" spans="15:71">
      <c r="O51" s="55"/>
      <c r="BH51" s="10" t="s">
        <v>814</v>
      </c>
      <c r="BI51" s="10" t="s">
        <v>198</v>
      </c>
      <c r="BJ51" s="10" t="s">
        <v>815</v>
      </c>
      <c r="BK51" s="10">
        <v>500</v>
      </c>
      <c r="BL51" s="10" t="s">
        <v>816</v>
      </c>
      <c r="BM51" s="10" t="s">
        <v>817</v>
      </c>
      <c r="BN51" s="10" t="s">
        <v>818</v>
      </c>
      <c r="BO51" s="10">
        <v>7.4014999999999997E-2</v>
      </c>
      <c r="BP51" s="10" t="s">
        <v>806</v>
      </c>
      <c r="BQ51" s="48">
        <v>160</v>
      </c>
      <c r="BR51" s="48">
        <f>AVERAGE(BO136,BO140,BO138)</f>
        <v>6.655833333333333E-2</v>
      </c>
      <c r="BS51" s="13">
        <v>7</v>
      </c>
    </row>
    <row r="52" spans="15:71">
      <c r="O52" s="55"/>
      <c r="BH52" s="10" t="s">
        <v>814</v>
      </c>
      <c r="BI52" s="10" t="s">
        <v>199</v>
      </c>
      <c r="BJ52" s="10" t="s">
        <v>815</v>
      </c>
      <c r="BK52" s="10">
        <v>500</v>
      </c>
      <c r="BL52" s="10" t="s">
        <v>816</v>
      </c>
      <c r="BM52" s="10" t="s">
        <v>817</v>
      </c>
      <c r="BN52" s="10" t="s">
        <v>818</v>
      </c>
      <c r="BO52" s="10">
        <v>6.3476000000000005E-2</v>
      </c>
      <c r="BP52" s="10" t="s">
        <v>806</v>
      </c>
      <c r="BQ52" s="48">
        <v>170</v>
      </c>
      <c r="BR52" s="48">
        <f>AVERAGE(BO141,BO145:BO147,BO142:BO143)</f>
        <v>6.4426833333333336E-2</v>
      </c>
      <c r="BS52" s="13">
        <v>4</v>
      </c>
    </row>
    <row r="53" spans="15:71">
      <c r="O53" s="55"/>
      <c r="BH53" s="10" t="s">
        <v>814</v>
      </c>
      <c r="BI53" s="10" t="s">
        <v>201</v>
      </c>
      <c r="BJ53" s="10" t="s">
        <v>815</v>
      </c>
      <c r="BK53" s="10">
        <v>500</v>
      </c>
      <c r="BL53" s="10" t="s">
        <v>816</v>
      </c>
      <c r="BM53" s="10" t="s">
        <v>817</v>
      </c>
      <c r="BN53" s="10" t="s">
        <v>818</v>
      </c>
      <c r="BO53" s="10">
        <v>6.6119999999999998E-2</v>
      </c>
      <c r="BP53" s="10" t="s">
        <v>806</v>
      </c>
      <c r="BQ53" s="48">
        <v>180</v>
      </c>
      <c r="BR53" s="48">
        <f>AVERAGE(BO149,BO153,BO151)</f>
        <v>6.6333666666666666E-2</v>
      </c>
      <c r="BS53" s="13">
        <v>7</v>
      </c>
    </row>
    <row r="54" spans="15:71">
      <c r="O54" s="55"/>
      <c r="BH54" s="10" t="s">
        <v>814</v>
      </c>
      <c r="BI54" s="10" t="s">
        <v>203</v>
      </c>
      <c r="BJ54" s="10" t="s">
        <v>815</v>
      </c>
      <c r="BK54" s="10">
        <v>500</v>
      </c>
      <c r="BL54" s="10" t="s">
        <v>816</v>
      </c>
      <c r="BM54" s="10" t="s">
        <v>817</v>
      </c>
      <c r="BN54" s="10" t="s">
        <v>818</v>
      </c>
      <c r="BO54" s="10">
        <v>6.3838000000000006E-2</v>
      </c>
      <c r="BP54" s="10" t="s">
        <v>806</v>
      </c>
      <c r="BQ54" s="48">
        <v>190</v>
      </c>
      <c r="BR54" s="48">
        <f>AVERAGE(BO155,BO157)</f>
        <v>6.9182500000000008E-2</v>
      </c>
      <c r="BS54" s="13">
        <v>8</v>
      </c>
    </row>
    <row r="55" spans="15:71">
      <c r="O55" s="55"/>
      <c r="BH55" s="10" t="s">
        <v>808</v>
      </c>
      <c r="BI55" s="10" t="s">
        <v>204</v>
      </c>
      <c r="BJ55" s="10" t="s">
        <v>810</v>
      </c>
      <c r="BK55" s="10" t="s">
        <v>205</v>
      </c>
      <c r="BL55" s="10" t="s">
        <v>811</v>
      </c>
      <c r="BM55" s="10" t="s">
        <v>812</v>
      </c>
      <c r="BN55" s="10">
        <v>22</v>
      </c>
      <c r="BO55" s="10" t="s">
        <v>813</v>
      </c>
      <c r="BP55" s="10" t="s">
        <v>807</v>
      </c>
      <c r="BQ55" s="48">
        <v>200</v>
      </c>
      <c r="BR55" s="48">
        <f>AVERAGE(BO159,BO161)</f>
        <v>6.3056000000000001E-2</v>
      </c>
      <c r="BS55" s="13">
        <v>8</v>
      </c>
    </row>
    <row r="56" spans="15:71">
      <c r="O56" s="55"/>
      <c r="BH56" s="10" t="s">
        <v>814</v>
      </c>
      <c r="BI56" s="10" t="s">
        <v>207</v>
      </c>
      <c r="BJ56" s="10" t="s">
        <v>815</v>
      </c>
      <c r="BK56" s="10">
        <v>500</v>
      </c>
      <c r="BL56" s="10" t="s">
        <v>816</v>
      </c>
      <c r="BM56" s="10" t="s">
        <v>817</v>
      </c>
      <c r="BN56" s="10" t="s">
        <v>818</v>
      </c>
      <c r="BO56" s="10">
        <v>6.4374000000000001E-2</v>
      </c>
      <c r="BP56" s="10" t="s">
        <v>806</v>
      </c>
      <c r="BQ56" s="48">
        <v>210</v>
      </c>
      <c r="BR56" s="48">
        <f>AVERAGE(BO163,BO164)</f>
        <v>6.6851999999999995E-2</v>
      </c>
      <c r="BS56" s="13">
        <v>8</v>
      </c>
    </row>
    <row r="57" spans="15:71">
      <c r="O57" s="55"/>
      <c r="BH57" s="10" t="s">
        <v>814</v>
      </c>
      <c r="BI57" s="10" t="s">
        <v>208</v>
      </c>
      <c r="BJ57" s="10" t="s">
        <v>815</v>
      </c>
      <c r="BK57" s="10">
        <v>500</v>
      </c>
      <c r="BL57" s="10" t="s">
        <v>816</v>
      </c>
      <c r="BM57" s="10" t="s">
        <v>817</v>
      </c>
      <c r="BN57" s="10" t="s">
        <v>818</v>
      </c>
      <c r="BO57" s="10">
        <v>6.4566999999999999E-2</v>
      </c>
      <c r="BP57" s="10" t="s">
        <v>806</v>
      </c>
      <c r="BQ57" s="48">
        <v>220</v>
      </c>
      <c r="BR57" s="48">
        <f>AVERAGE(BO166,BO167,BO169)</f>
        <v>6.5570000000000003E-2</v>
      </c>
      <c r="BS57" s="13">
        <v>7</v>
      </c>
    </row>
    <row r="58" spans="15:71">
      <c r="O58" s="55"/>
      <c r="BH58" s="10" t="s">
        <v>814</v>
      </c>
      <c r="BI58" s="10" t="s">
        <v>210</v>
      </c>
      <c r="BJ58" s="10" t="s">
        <v>815</v>
      </c>
      <c r="BK58" s="10">
        <v>500</v>
      </c>
      <c r="BL58" s="10" t="s">
        <v>816</v>
      </c>
      <c r="BM58" s="10" t="s">
        <v>817</v>
      </c>
      <c r="BN58" s="10" t="s">
        <v>818</v>
      </c>
      <c r="BO58" s="10">
        <v>6.9552000000000003E-2</v>
      </c>
      <c r="BP58" s="10" t="s">
        <v>806</v>
      </c>
      <c r="BQ58" s="48">
        <v>230</v>
      </c>
      <c r="BR58" s="48">
        <f>AVERAGE(BO171,BO173)</f>
        <v>7.1508500000000003E-2</v>
      </c>
      <c r="BS58" s="13">
        <v>8</v>
      </c>
    </row>
    <row r="59" spans="15:71">
      <c r="O59" s="55"/>
      <c r="BH59" s="10" t="s">
        <v>808</v>
      </c>
      <c r="BI59" s="10" t="s">
        <v>211</v>
      </c>
      <c r="BJ59" s="10" t="s">
        <v>810</v>
      </c>
      <c r="BK59" s="10" t="s">
        <v>211</v>
      </c>
      <c r="BL59" s="10" t="s">
        <v>811</v>
      </c>
      <c r="BM59" s="10" t="s">
        <v>812</v>
      </c>
      <c r="BN59" s="10">
        <v>23</v>
      </c>
      <c r="BO59" s="10" t="s">
        <v>813</v>
      </c>
      <c r="BP59" s="10" t="s">
        <v>807</v>
      </c>
      <c r="BQ59" s="48">
        <v>240</v>
      </c>
      <c r="BR59" s="48">
        <f>BO175</f>
        <v>6.7030000000000006E-2</v>
      </c>
      <c r="BS59" s="13">
        <v>9</v>
      </c>
    </row>
    <row r="60" spans="15:71">
      <c r="O60" s="55"/>
      <c r="BH60" s="10" t="s">
        <v>814</v>
      </c>
      <c r="BI60" s="10" t="s">
        <v>212</v>
      </c>
      <c r="BJ60" s="10" t="s">
        <v>815</v>
      </c>
      <c r="BK60" s="10">
        <v>500</v>
      </c>
      <c r="BL60" s="10" t="s">
        <v>816</v>
      </c>
      <c r="BM60" s="10" t="s">
        <v>817</v>
      </c>
      <c r="BN60" s="10" t="s">
        <v>818</v>
      </c>
      <c r="BO60" s="10">
        <v>6.9331000000000004E-2</v>
      </c>
      <c r="BP60" s="10" t="s">
        <v>806</v>
      </c>
      <c r="BQ60" s="48">
        <v>250</v>
      </c>
      <c r="BR60" s="48">
        <f>AVERAGE(BO177,BO182:BO183,BO179:BO180)</f>
        <v>6.0741999999999997E-2</v>
      </c>
      <c r="BS60" s="13">
        <v>5</v>
      </c>
    </row>
    <row r="61" spans="15:71">
      <c r="O61" s="55"/>
      <c r="BH61" s="10" t="s">
        <v>808</v>
      </c>
      <c r="BI61" s="10" t="s">
        <v>213</v>
      </c>
      <c r="BJ61" s="10" t="s">
        <v>810</v>
      </c>
      <c r="BK61" s="10" t="s">
        <v>214</v>
      </c>
      <c r="BL61" s="10" t="s">
        <v>811</v>
      </c>
      <c r="BM61" s="10" t="s">
        <v>812</v>
      </c>
      <c r="BN61" s="10">
        <v>25</v>
      </c>
      <c r="BO61" s="10" t="s">
        <v>813</v>
      </c>
      <c r="BP61" s="10" t="s">
        <v>807</v>
      </c>
      <c r="BQ61" s="48">
        <v>260</v>
      </c>
      <c r="BR61" s="48">
        <f>AVERAGE(BO185,BO192,BO191,BO189,BO187,BO186)</f>
        <v>6.5354000000000009E-2</v>
      </c>
      <c r="BS61" s="13">
        <v>4</v>
      </c>
    </row>
    <row r="62" spans="15:71">
      <c r="O62" s="55"/>
      <c r="BH62" s="10" t="s">
        <v>814</v>
      </c>
      <c r="BI62" s="10" t="s">
        <v>216</v>
      </c>
      <c r="BJ62" s="10" t="s">
        <v>815</v>
      </c>
      <c r="BK62" s="10">
        <v>500</v>
      </c>
      <c r="BL62" s="10" t="s">
        <v>816</v>
      </c>
      <c r="BM62" s="10" t="s">
        <v>817</v>
      </c>
      <c r="BN62" s="10" t="s">
        <v>818</v>
      </c>
      <c r="BO62" s="10">
        <v>6.1630999999999998E-2</v>
      </c>
      <c r="BP62" s="10" t="s">
        <v>806</v>
      </c>
      <c r="BQ62" s="48">
        <v>270</v>
      </c>
      <c r="BR62" s="48">
        <f>AVERAGE(BO193,BO195:BO197,BO199)</f>
        <v>7.0857399999999987E-2</v>
      </c>
      <c r="BS62" s="13">
        <v>5</v>
      </c>
    </row>
    <row r="63" spans="15:71">
      <c r="O63" s="55"/>
      <c r="BH63" s="10" t="s">
        <v>814</v>
      </c>
      <c r="BI63" s="10" t="s">
        <v>217</v>
      </c>
      <c r="BJ63" s="10" t="s">
        <v>815</v>
      </c>
      <c r="BK63" s="10">
        <v>500</v>
      </c>
      <c r="BL63" s="10" t="s">
        <v>816</v>
      </c>
      <c r="BM63" s="10" t="s">
        <v>817</v>
      </c>
      <c r="BN63" s="10" t="s">
        <v>818</v>
      </c>
      <c r="BO63" s="10">
        <v>7.5953000000000007E-2</v>
      </c>
      <c r="BP63" s="10" t="s">
        <v>806</v>
      </c>
      <c r="BQ63" s="48">
        <v>280</v>
      </c>
      <c r="BR63" s="48">
        <f>AVERAGE(BO201:BO204)</f>
        <v>6.8339750000000005E-2</v>
      </c>
      <c r="BS63" s="13">
        <v>6</v>
      </c>
    </row>
    <row r="64" spans="15:71">
      <c r="O64" s="55"/>
      <c r="BH64" s="10" t="s">
        <v>808</v>
      </c>
      <c r="BI64" s="10" t="s">
        <v>218</v>
      </c>
      <c r="BJ64" s="10" t="s">
        <v>810</v>
      </c>
      <c r="BK64" s="10" t="s">
        <v>218</v>
      </c>
      <c r="BL64" s="10" t="s">
        <v>811</v>
      </c>
      <c r="BM64" s="10" t="s">
        <v>812</v>
      </c>
      <c r="BN64" s="10">
        <v>26</v>
      </c>
      <c r="BO64" s="10" t="s">
        <v>813</v>
      </c>
      <c r="BP64" s="10" t="s">
        <v>807</v>
      </c>
      <c r="BQ64" s="48">
        <v>290</v>
      </c>
      <c r="BR64" s="48">
        <f>AVERAGE(BO206,BO208,BO210)</f>
        <v>6.6153333333333328E-2</v>
      </c>
      <c r="BS64" s="13">
        <v>7</v>
      </c>
    </row>
    <row r="65" spans="15:71">
      <c r="O65" s="55"/>
      <c r="BH65" s="10" t="s">
        <v>814</v>
      </c>
      <c r="BI65" s="10" t="s">
        <v>220</v>
      </c>
      <c r="BJ65" s="10" t="s">
        <v>815</v>
      </c>
      <c r="BK65" s="10">
        <v>500</v>
      </c>
      <c r="BL65" s="10" t="s">
        <v>816</v>
      </c>
      <c r="BM65" s="10" t="s">
        <v>817</v>
      </c>
      <c r="BN65" s="10" t="s">
        <v>818</v>
      </c>
      <c r="BO65" s="10">
        <v>7.4941999999999995E-2</v>
      </c>
      <c r="BP65" s="10" t="s">
        <v>806</v>
      </c>
      <c r="BQ65" s="48">
        <v>300</v>
      </c>
      <c r="BR65" s="48">
        <f>AVERAGE(BO215,BO213,BO212)</f>
        <v>6.7683666666666656E-2</v>
      </c>
      <c r="BS65" s="13">
        <v>7</v>
      </c>
    </row>
    <row r="66" spans="15:71">
      <c r="O66" s="55"/>
      <c r="BH66" s="10" t="s">
        <v>814</v>
      </c>
      <c r="BI66" s="10" t="s">
        <v>222</v>
      </c>
      <c r="BJ66" s="10" t="s">
        <v>815</v>
      </c>
      <c r="BK66" s="10">
        <v>500</v>
      </c>
      <c r="BL66" s="10" t="s">
        <v>816</v>
      </c>
      <c r="BM66" s="10" t="s">
        <v>817</v>
      </c>
      <c r="BN66" s="10" t="s">
        <v>818</v>
      </c>
      <c r="BO66" s="10">
        <v>5.6337999999999999E-2</v>
      </c>
      <c r="BP66" s="10" t="s">
        <v>806</v>
      </c>
    </row>
    <row r="67" spans="15:71">
      <c r="O67" s="55"/>
      <c r="BH67" s="10" t="s">
        <v>808</v>
      </c>
      <c r="BI67" s="10" t="s">
        <v>223</v>
      </c>
      <c r="BJ67" s="10" t="s">
        <v>810</v>
      </c>
      <c r="BK67" s="10" t="s">
        <v>227</v>
      </c>
      <c r="BL67" s="10" t="s">
        <v>811</v>
      </c>
      <c r="BM67" s="10" t="s">
        <v>812</v>
      </c>
      <c r="BN67" s="10">
        <v>31</v>
      </c>
      <c r="BO67" s="10" t="s">
        <v>813</v>
      </c>
      <c r="BP67" s="10" t="s">
        <v>807</v>
      </c>
    </row>
    <row r="68" spans="15:71">
      <c r="O68" s="55"/>
      <c r="BH68" s="10" t="s">
        <v>814</v>
      </c>
      <c r="BI68" s="10" t="s">
        <v>229</v>
      </c>
      <c r="BJ68" s="10" t="s">
        <v>815</v>
      </c>
      <c r="BK68" s="10">
        <v>500</v>
      </c>
      <c r="BL68" s="10" t="s">
        <v>816</v>
      </c>
      <c r="BM68" s="10" t="s">
        <v>817</v>
      </c>
      <c r="BN68" s="10" t="s">
        <v>818</v>
      </c>
      <c r="BO68" s="10">
        <v>6.3461000000000004E-2</v>
      </c>
      <c r="BP68" s="10" t="s">
        <v>806</v>
      </c>
    </row>
    <row r="69" spans="15:71">
      <c r="O69" s="55"/>
      <c r="BH69" s="10" t="s">
        <v>808</v>
      </c>
      <c r="BI69" s="10" t="s">
        <v>230</v>
      </c>
      <c r="BJ69" s="10" t="s">
        <v>810</v>
      </c>
      <c r="BK69" s="10" t="s">
        <v>230</v>
      </c>
      <c r="BL69" s="10" t="s">
        <v>811</v>
      </c>
      <c r="BM69" s="10" t="s">
        <v>812</v>
      </c>
      <c r="BN69" s="10">
        <v>32</v>
      </c>
      <c r="BO69" s="10" t="s">
        <v>813</v>
      </c>
      <c r="BP69" s="10" t="s">
        <v>807</v>
      </c>
    </row>
    <row r="70" spans="15:71">
      <c r="O70" s="55"/>
      <c r="BH70" s="10" t="s">
        <v>814</v>
      </c>
      <c r="BI70" s="10" t="s">
        <v>231</v>
      </c>
      <c r="BJ70" s="10" t="s">
        <v>815</v>
      </c>
      <c r="BK70" s="10">
        <v>500</v>
      </c>
      <c r="BL70" s="10" t="s">
        <v>816</v>
      </c>
      <c r="BM70" s="10" t="s">
        <v>817</v>
      </c>
      <c r="BN70" s="10" t="s">
        <v>818</v>
      </c>
      <c r="BO70" s="10">
        <v>6.0630000000000003E-2</v>
      </c>
      <c r="BP70" s="10" t="s">
        <v>806</v>
      </c>
    </row>
    <row r="71" spans="15:71">
      <c r="O71" s="55"/>
      <c r="BH71" s="10" t="s">
        <v>808</v>
      </c>
      <c r="BI71" s="10" t="s">
        <v>232</v>
      </c>
      <c r="BJ71" s="10" t="s">
        <v>810</v>
      </c>
      <c r="BK71" s="10" t="s">
        <v>234</v>
      </c>
      <c r="BL71" s="10" t="s">
        <v>811</v>
      </c>
      <c r="BM71" s="10" t="s">
        <v>812</v>
      </c>
      <c r="BN71" s="10">
        <v>35</v>
      </c>
      <c r="BO71" s="10" t="s">
        <v>813</v>
      </c>
      <c r="BP71" s="10" t="s">
        <v>807</v>
      </c>
    </row>
    <row r="72" spans="15:71">
      <c r="O72" s="55"/>
      <c r="BH72" s="10" t="s">
        <v>814</v>
      </c>
      <c r="BI72" s="10" t="s">
        <v>235</v>
      </c>
      <c r="BJ72" s="10" t="s">
        <v>815</v>
      </c>
      <c r="BK72" s="10">
        <v>500</v>
      </c>
      <c r="BL72" s="10" t="s">
        <v>816</v>
      </c>
      <c r="BM72" s="10" t="s">
        <v>817</v>
      </c>
      <c r="BN72" s="10" t="s">
        <v>818</v>
      </c>
      <c r="BO72" s="10">
        <v>6.6171999999999995E-2</v>
      </c>
      <c r="BP72" s="10" t="s">
        <v>806</v>
      </c>
    </row>
    <row r="73" spans="15:71">
      <c r="O73" s="55"/>
      <c r="BH73" s="10" t="s">
        <v>808</v>
      </c>
      <c r="BI73" s="10" t="s">
        <v>236</v>
      </c>
      <c r="BJ73" s="10" t="s">
        <v>810</v>
      </c>
      <c r="BK73" s="10" t="s">
        <v>236</v>
      </c>
      <c r="BL73" s="10" t="s">
        <v>811</v>
      </c>
      <c r="BM73" s="10" t="s">
        <v>812</v>
      </c>
      <c r="BN73" s="10">
        <v>36</v>
      </c>
      <c r="BO73" s="10" t="s">
        <v>813</v>
      </c>
      <c r="BP73" s="10" t="s">
        <v>807</v>
      </c>
    </row>
    <row r="74" spans="15:71">
      <c r="O74" s="55"/>
      <c r="BH74" s="10" t="s">
        <v>814</v>
      </c>
      <c r="BI74" s="10" t="s">
        <v>237</v>
      </c>
      <c r="BJ74" s="10" t="s">
        <v>815</v>
      </c>
      <c r="BK74" s="10">
        <v>500</v>
      </c>
      <c r="BL74" s="10" t="s">
        <v>816</v>
      </c>
      <c r="BM74" s="10" t="s">
        <v>817</v>
      </c>
      <c r="BN74" s="10" t="s">
        <v>818</v>
      </c>
      <c r="BO74" s="10">
        <v>7.1827000000000002E-2</v>
      </c>
      <c r="BP74" s="10" t="s">
        <v>806</v>
      </c>
    </row>
    <row r="75" spans="15:71">
      <c r="O75" s="55"/>
      <c r="BH75" s="10" t="s">
        <v>808</v>
      </c>
      <c r="BI75" s="10" t="s">
        <v>238</v>
      </c>
      <c r="BJ75" s="10" t="s">
        <v>810</v>
      </c>
      <c r="BK75" s="10" t="s">
        <v>238</v>
      </c>
      <c r="BL75" s="10" t="s">
        <v>811</v>
      </c>
      <c r="BM75" s="10" t="s">
        <v>812</v>
      </c>
      <c r="BN75" s="10">
        <v>37</v>
      </c>
      <c r="BO75" s="10" t="s">
        <v>813</v>
      </c>
      <c r="BP75" s="10" t="s">
        <v>807</v>
      </c>
    </row>
    <row r="76" spans="15:71">
      <c r="O76" s="55"/>
      <c r="BH76" s="10" t="s">
        <v>814</v>
      </c>
      <c r="BI76" s="10" t="s">
        <v>239</v>
      </c>
      <c r="BJ76" s="10" t="s">
        <v>815</v>
      </c>
      <c r="BK76" s="10">
        <v>500</v>
      </c>
      <c r="BL76" s="10" t="s">
        <v>816</v>
      </c>
      <c r="BM76" s="10" t="s">
        <v>817</v>
      </c>
      <c r="BN76" s="10" t="s">
        <v>818</v>
      </c>
      <c r="BO76" s="10">
        <v>6.658E-2</v>
      </c>
      <c r="BP76" s="10" t="s">
        <v>806</v>
      </c>
    </row>
    <row r="77" spans="15:71">
      <c r="O77" s="55"/>
      <c r="BH77" s="10" t="s">
        <v>808</v>
      </c>
      <c r="BI77" s="10" t="s">
        <v>240</v>
      </c>
      <c r="BJ77" s="10" t="s">
        <v>810</v>
      </c>
      <c r="BK77" s="10" t="s">
        <v>242</v>
      </c>
      <c r="BL77" s="10" t="s">
        <v>811</v>
      </c>
      <c r="BM77" s="10" t="s">
        <v>812</v>
      </c>
      <c r="BN77" s="10">
        <v>40</v>
      </c>
      <c r="BO77" s="10" t="s">
        <v>813</v>
      </c>
      <c r="BP77" s="10" t="s">
        <v>807</v>
      </c>
    </row>
    <row r="78" spans="15:71">
      <c r="O78" s="55"/>
      <c r="BH78" s="10" t="s">
        <v>814</v>
      </c>
      <c r="BI78" s="10" t="s">
        <v>243</v>
      </c>
      <c r="BJ78" s="10" t="s">
        <v>815</v>
      </c>
      <c r="BK78" s="10">
        <v>500</v>
      </c>
      <c r="BL78" s="10" t="s">
        <v>816</v>
      </c>
      <c r="BM78" s="10" t="s">
        <v>817</v>
      </c>
      <c r="BN78" s="10" t="s">
        <v>818</v>
      </c>
      <c r="BO78" s="10">
        <v>6.7383999999999999E-2</v>
      </c>
      <c r="BP78" s="10" t="s">
        <v>806</v>
      </c>
    </row>
    <row r="79" spans="15:71">
      <c r="O79" s="55"/>
      <c r="BH79" s="10" t="s">
        <v>814</v>
      </c>
      <c r="BI79" s="10" t="s">
        <v>244</v>
      </c>
      <c r="BJ79" s="10" t="s">
        <v>815</v>
      </c>
      <c r="BK79" s="10">
        <v>500</v>
      </c>
      <c r="BL79" s="10" t="s">
        <v>816</v>
      </c>
      <c r="BM79" s="10" t="s">
        <v>817</v>
      </c>
      <c r="BN79" s="10" t="s">
        <v>818</v>
      </c>
      <c r="BO79" s="10">
        <v>6.7507999999999999E-2</v>
      </c>
      <c r="BP79" s="10" t="s">
        <v>806</v>
      </c>
    </row>
    <row r="80" spans="15:71">
      <c r="O80" s="55"/>
      <c r="BH80" s="10" t="s">
        <v>808</v>
      </c>
      <c r="BI80" s="10" t="s">
        <v>245</v>
      </c>
      <c r="BJ80" s="10" t="s">
        <v>810</v>
      </c>
      <c r="BK80" s="10" t="s">
        <v>247</v>
      </c>
      <c r="BL80" s="10" t="s">
        <v>811</v>
      </c>
      <c r="BM80" s="10" t="s">
        <v>812</v>
      </c>
      <c r="BN80" s="10">
        <v>43</v>
      </c>
      <c r="BO80" s="10" t="s">
        <v>813</v>
      </c>
      <c r="BP80" s="10" t="s">
        <v>807</v>
      </c>
    </row>
    <row r="81" spans="15:68">
      <c r="O81" s="55"/>
      <c r="BH81" s="10" t="s">
        <v>814</v>
      </c>
      <c r="BI81" s="10" t="s">
        <v>248</v>
      </c>
      <c r="BJ81" s="10" t="s">
        <v>815</v>
      </c>
      <c r="BK81" s="10">
        <v>500</v>
      </c>
      <c r="BL81" s="10" t="s">
        <v>816</v>
      </c>
      <c r="BM81" s="10" t="s">
        <v>817</v>
      </c>
      <c r="BN81" s="10" t="s">
        <v>818</v>
      </c>
      <c r="BO81" s="10">
        <v>6.7895999999999998E-2</v>
      </c>
      <c r="BP81" s="10" t="s">
        <v>806</v>
      </c>
    </row>
    <row r="82" spans="15:68">
      <c r="O82" s="55"/>
      <c r="BH82" s="10" t="s">
        <v>808</v>
      </c>
      <c r="BI82" s="10" t="s">
        <v>250</v>
      </c>
      <c r="BJ82" s="10" t="s">
        <v>810</v>
      </c>
      <c r="BK82" s="10" t="s">
        <v>250</v>
      </c>
      <c r="BL82" s="10" t="s">
        <v>811</v>
      </c>
      <c r="BM82" s="10" t="s">
        <v>812</v>
      </c>
      <c r="BN82" s="10">
        <v>44</v>
      </c>
      <c r="BO82" s="10" t="s">
        <v>813</v>
      </c>
      <c r="BP82" s="10" t="s">
        <v>807</v>
      </c>
    </row>
    <row r="83" spans="15:68">
      <c r="O83" s="55"/>
      <c r="BH83" s="10" t="s">
        <v>814</v>
      </c>
      <c r="BI83" s="10" t="s">
        <v>251</v>
      </c>
      <c r="BJ83" s="10" t="s">
        <v>815</v>
      </c>
      <c r="BK83" s="10">
        <v>500</v>
      </c>
      <c r="BL83" s="10" t="s">
        <v>816</v>
      </c>
      <c r="BM83" s="10" t="s">
        <v>817</v>
      </c>
      <c r="BN83" s="10" t="s">
        <v>818</v>
      </c>
      <c r="BO83" s="10">
        <v>6.3411999999999996E-2</v>
      </c>
      <c r="BP83" s="10" t="s">
        <v>806</v>
      </c>
    </row>
    <row r="84" spans="15:68">
      <c r="O84" s="55"/>
      <c r="BH84" s="10" t="s">
        <v>808</v>
      </c>
      <c r="BI84" s="10" t="s">
        <v>252</v>
      </c>
      <c r="BJ84" s="10" t="s">
        <v>810</v>
      </c>
      <c r="BK84" s="10" t="s">
        <v>253</v>
      </c>
      <c r="BL84" s="10" t="s">
        <v>811</v>
      </c>
      <c r="BM84" s="10" t="s">
        <v>812</v>
      </c>
      <c r="BN84" s="10">
        <v>46</v>
      </c>
      <c r="BO84" s="10" t="s">
        <v>813</v>
      </c>
      <c r="BP84" s="10" t="s">
        <v>807</v>
      </c>
    </row>
    <row r="85" spans="15:68">
      <c r="O85" s="55"/>
      <c r="BH85" s="10" t="s">
        <v>814</v>
      </c>
      <c r="BI85" s="10" t="s">
        <v>254</v>
      </c>
      <c r="BJ85" s="10" t="s">
        <v>815</v>
      </c>
      <c r="BK85" s="10">
        <v>500</v>
      </c>
      <c r="BL85" s="10" t="s">
        <v>816</v>
      </c>
      <c r="BM85" s="10" t="s">
        <v>817</v>
      </c>
      <c r="BN85" s="10" t="s">
        <v>818</v>
      </c>
      <c r="BO85" s="10">
        <v>5.0866000000000001E-2</v>
      </c>
      <c r="BP85" s="10" t="s">
        <v>806</v>
      </c>
    </row>
    <row r="86" spans="15:68">
      <c r="O86" s="55"/>
      <c r="BH86" s="10" t="s">
        <v>814</v>
      </c>
      <c r="BI86" s="10" t="s">
        <v>255</v>
      </c>
      <c r="BJ86" s="10" t="s">
        <v>815</v>
      </c>
      <c r="BK86" s="10">
        <v>500</v>
      </c>
      <c r="BL86" s="10" t="s">
        <v>816</v>
      </c>
      <c r="BM86" s="10" t="s">
        <v>817</v>
      </c>
      <c r="BN86" s="10" t="s">
        <v>818</v>
      </c>
      <c r="BO86" s="10">
        <v>6.4235E-2</v>
      </c>
      <c r="BP86" s="10" t="s">
        <v>806</v>
      </c>
    </row>
    <row r="87" spans="15:68">
      <c r="O87" s="55"/>
      <c r="BH87" s="10" t="s">
        <v>814</v>
      </c>
      <c r="BI87" s="10" t="s">
        <v>257</v>
      </c>
      <c r="BJ87" s="10" t="s">
        <v>815</v>
      </c>
      <c r="BK87" s="10">
        <v>500</v>
      </c>
      <c r="BL87" s="10" t="s">
        <v>816</v>
      </c>
      <c r="BM87" s="10" t="s">
        <v>817</v>
      </c>
      <c r="BN87" s="10" t="s">
        <v>818</v>
      </c>
      <c r="BO87" s="10">
        <v>5.2637000000000003E-2</v>
      </c>
      <c r="BP87" s="10" t="s">
        <v>806</v>
      </c>
    </row>
    <row r="88" spans="15:68">
      <c r="O88" s="55"/>
      <c r="BH88" s="10" t="s">
        <v>814</v>
      </c>
      <c r="BI88" s="10" t="s">
        <v>258</v>
      </c>
      <c r="BJ88" s="10" t="s">
        <v>815</v>
      </c>
      <c r="BK88" s="10">
        <v>500</v>
      </c>
      <c r="BL88" s="10" t="s">
        <v>816</v>
      </c>
      <c r="BM88" s="10" t="s">
        <v>817</v>
      </c>
      <c r="BN88" s="10" t="s">
        <v>818</v>
      </c>
      <c r="BO88" s="10">
        <v>7.0232000000000003E-2</v>
      </c>
      <c r="BP88" s="10" t="s">
        <v>806</v>
      </c>
    </row>
    <row r="89" spans="15:68">
      <c r="O89" s="55"/>
      <c r="BH89" s="10" t="s">
        <v>814</v>
      </c>
      <c r="BI89" s="10" t="s">
        <v>259</v>
      </c>
      <c r="BJ89" s="10" t="s">
        <v>815</v>
      </c>
      <c r="BK89" s="10">
        <v>500</v>
      </c>
      <c r="BL89" s="10" t="s">
        <v>816</v>
      </c>
      <c r="BM89" s="10" t="s">
        <v>817</v>
      </c>
      <c r="BN89" s="10" t="s">
        <v>818</v>
      </c>
      <c r="BO89" s="10">
        <v>5.8018E-2</v>
      </c>
      <c r="BP89" s="10" t="s">
        <v>806</v>
      </c>
    </row>
    <row r="90" spans="15:68">
      <c r="O90" s="55"/>
      <c r="BH90" s="10" t="s">
        <v>808</v>
      </c>
      <c r="BI90" s="10" t="s">
        <v>260</v>
      </c>
      <c r="BJ90" s="10" t="s">
        <v>810</v>
      </c>
      <c r="BK90" s="10" t="s">
        <v>263</v>
      </c>
      <c r="BL90" s="10" t="s">
        <v>811</v>
      </c>
      <c r="BM90" s="10" t="s">
        <v>812</v>
      </c>
      <c r="BN90" s="10">
        <v>50</v>
      </c>
      <c r="BO90" s="10" t="s">
        <v>813</v>
      </c>
      <c r="BP90" s="10" t="s">
        <v>807</v>
      </c>
    </row>
    <row r="91" spans="15:68">
      <c r="O91" s="55"/>
      <c r="BH91" s="10" t="s">
        <v>814</v>
      </c>
      <c r="BI91" s="10" t="s">
        <v>264</v>
      </c>
      <c r="BJ91" s="10" t="s">
        <v>815</v>
      </c>
      <c r="BK91" s="10">
        <v>500</v>
      </c>
      <c r="BL91" s="10" t="s">
        <v>816</v>
      </c>
      <c r="BM91" s="10" t="s">
        <v>817</v>
      </c>
      <c r="BN91" s="10" t="s">
        <v>818</v>
      </c>
      <c r="BO91" s="10">
        <v>7.2539999999999993E-2</v>
      </c>
      <c r="BP91" s="10" t="s">
        <v>806</v>
      </c>
    </row>
    <row r="92" spans="15:68">
      <c r="O92" s="55"/>
      <c r="BH92" s="10" t="s">
        <v>814</v>
      </c>
      <c r="BI92" s="10" t="s">
        <v>265</v>
      </c>
      <c r="BJ92" s="10" t="s">
        <v>815</v>
      </c>
      <c r="BK92" s="10">
        <v>500</v>
      </c>
      <c r="BL92" s="10" t="s">
        <v>816</v>
      </c>
      <c r="BM92" s="10" t="s">
        <v>817</v>
      </c>
      <c r="BN92" s="10" t="s">
        <v>818</v>
      </c>
      <c r="BO92" s="10">
        <v>5.9787E-2</v>
      </c>
      <c r="BP92" s="10" t="s">
        <v>806</v>
      </c>
    </row>
    <row r="93" spans="15:68">
      <c r="O93" s="55"/>
      <c r="BH93" s="10" t="s">
        <v>814</v>
      </c>
      <c r="BI93" s="10" t="s">
        <v>266</v>
      </c>
      <c r="BJ93" s="10" t="s">
        <v>815</v>
      </c>
      <c r="BK93" s="10">
        <v>500</v>
      </c>
      <c r="BL93" s="10" t="s">
        <v>816</v>
      </c>
      <c r="BM93" s="10" t="s">
        <v>817</v>
      </c>
      <c r="BN93" s="10" t="s">
        <v>818</v>
      </c>
      <c r="BO93" s="10">
        <v>5.3530000000000001E-2</v>
      </c>
      <c r="BP93" s="10" t="s">
        <v>806</v>
      </c>
    </row>
    <row r="94" spans="15:68">
      <c r="O94" s="55"/>
      <c r="BH94" s="10" t="s">
        <v>814</v>
      </c>
      <c r="BI94" s="10" t="s">
        <v>267</v>
      </c>
      <c r="BJ94" s="10" t="s">
        <v>815</v>
      </c>
      <c r="BK94" s="10">
        <v>500</v>
      </c>
      <c r="BL94" s="10" t="s">
        <v>816</v>
      </c>
      <c r="BM94" s="10" t="s">
        <v>817</v>
      </c>
      <c r="BN94" s="10" t="s">
        <v>818</v>
      </c>
      <c r="BO94" s="10">
        <v>5.7632999999999997E-2</v>
      </c>
      <c r="BP94" s="10" t="s">
        <v>806</v>
      </c>
    </row>
    <row r="95" spans="15:68">
      <c r="O95" s="55"/>
      <c r="BH95" s="10" t="s">
        <v>808</v>
      </c>
      <c r="BI95" s="10" t="s">
        <v>268</v>
      </c>
      <c r="BJ95" s="10" t="s">
        <v>810</v>
      </c>
      <c r="BK95" s="10" t="s">
        <v>270</v>
      </c>
      <c r="BL95" s="10" t="s">
        <v>811</v>
      </c>
      <c r="BM95" s="10" t="s">
        <v>812</v>
      </c>
      <c r="BN95" s="10">
        <v>53</v>
      </c>
      <c r="BO95" s="10" t="s">
        <v>813</v>
      </c>
      <c r="BP95" s="10" t="s">
        <v>807</v>
      </c>
    </row>
    <row r="96" spans="15:68">
      <c r="O96" s="55"/>
      <c r="BH96" s="10" t="s">
        <v>814</v>
      </c>
      <c r="BI96" s="10" t="s">
        <v>272</v>
      </c>
      <c r="BJ96" s="10" t="s">
        <v>815</v>
      </c>
      <c r="BK96" s="10">
        <v>500</v>
      </c>
      <c r="BL96" s="10" t="s">
        <v>816</v>
      </c>
      <c r="BM96" s="10" t="s">
        <v>817</v>
      </c>
      <c r="BN96" s="10" t="s">
        <v>818</v>
      </c>
      <c r="BO96" s="10">
        <v>6.5653000000000003E-2</v>
      </c>
      <c r="BP96" s="10" t="s">
        <v>806</v>
      </c>
    </row>
    <row r="97" spans="15:68">
      <c r="O97" s="55"/>
      <c r="BH97" s="10" t="s">
        <v>808</v>
      </c>
      <c r="BI97" s="10" t="s">
        <v>273</v>
      </c>
      <c r="BJ97" s="10" t="s">
        <v>810</v>
      </c>
      <c r="BK97" s="10" t="s">
        <v>884</v>
      </c>
      <c r="BL97" s="10" t="s">
        <v>811</v>
      </c>
      <c r="BM97" s="10" t="s">
        <v>812</v>
      </c>
      <c r="BN97" s="10">
        <v>55</v>
      </c>
      <c r="BO97" s="10" t="s">
        <v>813</v>
      </c>
      <c r="BP97" s="10" t="s">
        <v>807</v>
      </c>
    </row>
    <row r="98" spans="15:68">
      <c r="O98" s="55"/>
      <c r="BH98" s="10" t="s">
        <v>814</v>
      </c>
      <c r="BI98" s="10" t="s">
        <v>274</v>
      </c>
      <c r="BJ98" s="10" t="s">
        <v>815</v>
      </c>
      <c r="BK98" s="10">
        <v>500</v>
      </c>
      <c r="BL98" s="10" t="s">
        <v>816</v>
      </c>
      <c r="BM98" s="10" t="s">
        <v>817</v>
      </c>
      <c r="BN98" s="10" t="s">
        <v>818</v>
      </c>
      <c r="BO98" s="10">
        <v>6.1226999999999997E-2</v>
      </c>
      <c r="BP98" s="10" t="s">
        <v>806</v>
      </c>
    </row>
    <row r="99" spans="15:68">
      <c r="O99" s="55"/>
      <c r="BH99" s="10" t="s">
        <v>808</v>
      </c>
      <c r="BI99" s="10" t="s">
        <v>819</v>
      </c>
      <c r="BJ99" s="10" t="s">
        <v>810</v>
      </c>
      <c r="BK99" s="10" t="s">
        <v>276</v>
      </c>
      <c r="BL99" s="10" t="s">
        <v>811</v>
      </c>
      <c r="BM99" s="10" t="s">
        <v>812</v>
      </c>
      <c r="BN99" s="10">
        <v>58</v>
      </c>
      <c r="BO99" s="10" t="s">
        <v>813</v>
      </c>
      <c r="BP99" s="10" t="s">
        <v>807</v>
      </c>
    </row>
    <row r="100" spans="15:68">
      <c r="O100" s="55"/>
      <c r="BH100" s="10" t="s">
        <v>814</v>
      </c>
      <c r="BI100" s="10" t="s">
        <v>277</v>
      </c>
      <c r="BJ100" s="10" t="s">
        <v>815</v>
      </c>
      <c r="BK100" s="10">
        <v>500</v>
      </c>
      <c r="BL100" s="10" t="s">
        <v>816</v>
      </c>
      <c r="BM100" s="10" t="s">
        <v>817</v>
      </c>
      <c r="BN100" s="10" t="s">
        <v>818</v>
      </c>
      <c r="BO100" s="10">
        <v>6.9541000000000006E-2</v>
      </c>
      <c r="BP100" s="10" t="s">
        <v>806</v>
      </c>
    </row>
    <row r="101" spans="15:68">
      <c r="O101" s="55"/>
      <c r="BH101" s="10" t="s">
        <v>808</v>
      </c>
      <c r="BI101" s="10" t="s">
        <v>278</v>
      </c>
      <c r="BJ101" s="10" t="s">
        <v>810</v>
      </c>
      <c r="BK101" s="10" t="s">
        <v>278</v>
      </c>
      <c r="BL101" s="10" t="s">
        <v>811</v>
      </c>
      <c r="BM101" s="10" t="s">
        <v>812</v>
      </c>
      <c r="BN101" s="10">
        <v>59</v>
      </c>
      <c r="BO101" s="10" t="s">
        <v>813</v>
      </c>
      <c r="BP101" s="10" t="s">
        <v>807</v>
      </c>
    </row>
    <row r="102" spans="15:68">
      <c r="O102" s="55"/>
      <c r="BH102" s="10" t="s">
        <v>814</v>
      </c>
      <c r="BI102" s="10" t="s">
        <v>279</v>
      </c>
      <c r="BJ102" s="10" t="s">
        <v>815</v>
      </c>
      <c r="BK102" s="10">
        <v>500</v>
      </c>
      <c r="BL102" s="10" t="s">
        <v>816</v>
      </c>
      <c r="BM102" s="10" t="s">
        <v>817</v>
      </c>
      <c r="BN102" s="10" t="s">
        <v>818</v>
      </c>
      <c r="BO102" s="10">
        <v>6.7613999999999994E-2</v>
      </c>
      <c r="BP102" s="10" t="s">
        <v>806</v>
      </c>
    </row>
    <row r="103" spans="15:68">
      <c r="O103" s="55"/>
      <c r="BH103" s="10" t="s">
        <v>814</v>
      </c>
      <c r="BI103" s="10" t="s">
        <v>280</v>
      </c>
      <c r="BJ103" s="10" t="s">
        <v>815</v>
      </c>
      <c r="BK103" s="10">
        <v>500</v>
      </c>
      <c r="BL103" s="10" t="s">
        <v>816</v>
      </c>
      <c r="BM103" s="10" t="s">
        <v>817</v>
      </c>
      <c r="BN103" s="10" t="s">
        <v>818</v>
      </c>
      <c r="BO103" s="10">
        <v>7.1993000000000001E-2</v>
      </c>
      <c r="BP103" s="10" t="s">
        <v>806</v>
      </c>
    </row>
    <row r="104" spans="15:68">
      <c r="O104" s="55"/>
      <c r="BH104" s="10" t="s">
        <v>808</v>
      </c>
      <c r="BI104" s="10" t="s">
        <v>281</v>
      </c>
      <c r="BJ104" s="10" t="s">
        <v>810</v>
      </c>
      <c r="BK104" s="10" t="s">
        <v>281</v>
      </c>
      <c r="BL104" s="10" t="s">
        <v>811</v>
      </c>
      <c r="BM104" s="10" t="s">
        <v>812</v>
      </c>
      <c r="BN104" s="10">
        <v>60</v>
      </c>
      <c r="BO104" s="10" t="s">
        <v>813</v>
      </c>
      <c r="BP104" s="10" t="s">
        <v>807</v>
      </c>
    </row>
    <row r="105" spans="15:68">
      <c r="O105" s="55"/>
      <c r="BH105" s="10" t="s">
        <v>814</v>
      </c>
      <c r="BI105" s="10" t="s">
        <v>282</v>
      </c>
      <c r="BJ105" s="10" t="s">
        <v>815</v>
      </c>
      <c r="BK105" s="10">
        <v>500</v>
      </c>
      <c r="BL105" s="10" t="s">
        <v>816</v>
      </c>
      <c r="BM105" s="10" t="s">
        <v>817</v>
      </c>
      <c r="BN105" s="10" t="s">
        <v>818</v>
      </c>
      <c r="BO105" s="10">
        <v>7.3848999999999998E-2</v>
      </c>
      <c r="BP105" s="10" t="s">
        <v>806</v>
      </c>
    </row>
    <row r="106" spans="15:68">
      <c r="O106" s="55"/>
      <c r="BH106" s="10" t="s">
        <v>814</v>
      </c>
      <c r="BI106" s="10" t="s">
        <v>283</v>
      </c>
      <c r="BJ106" s="10" t="s">
        <v>815</v>
      </c>
      <c r="BK106" s="10">
        <v>500</v>
      </c>
      <c r="BL106" s="10" t="s">
        <v>816</v>
      </c>
      <c r="BM106" s="10" t="s">
        <v>817</v>
      </c>
      <c r="BN106" s="10" t="s">
        <v>818</v>
      </c>
      <c r="BO106" s="10">
        <v>6.4523999999999998E-2</v>
      </c>
      <c r="BP106" s="10" t="s">
        <v>806</v>
      </c>
    </row>
    <row r="107" spans="15:68">
      <c r="O107" s="55"/>
      <c r="BH107" s="10" t="s">
        <v>808</v>
      </c>
      <c r="BI107" s="10" t="s">
        <v>284</v>
      </c>
      <c r="BJ107" s="10" t="s">
        <v>810</v>
      </c>
      <c r="BK107" s="10" t="s">
        <v>284</v>
      </c>
      <c r="BL107" s="10" t="s">
        <v>811</v>
      </c>
      <c r="BM107" s="10" t="s">
        <v>812</v>
      </c>
      <c r="BN107" s="10">
        <v>61</v>
      </c>
      <c r="BO107" s="10" t="s">
        <v>813</v>
      </c>
      <c r="BP107" s="10" t="s">
        <v>807</v>
      </c>
    </row>
    <row r="108" spans="15:68">
      <c r="O108" s="55"/>
      <c r="BH108" s="10" t="s">
        <v>814</v>
      </c>
      <c r="BI108" s="10" t="s">
        <v>285</v>
      </c>
      <c r="BJ108" s="10" t="s">
        <v>815</v>
      </c>
      <c r="BK108" s="10">
        <v>500</v>
      </c>
      <c r="BL108" s="10" t="s">
        <v>816</v>
      </c>
      <c r="BM108" s="10" t="s">
        <v>817</v>
      </c>
      <c r="BN108" s="10" t="s">
        <v>818</v>
      </c>
      <c r="BO108" s="10">
        <v>6.9931999999999994E-2</v>
      </c>
      <c r="BP108" s="10" t="s">
        <v>806</v>
      </c>
    </row>
    <row r="109" spans="15:68">
      <c r="O109" s="55"/>
      <c r="BH109" s="10" t="s">
        <v>808</v>
      </c>
      <c r="BI109" s="10" t="s">
        <v>286</v>
      </c>
      <c r="BJ109" s="10" t="s">
        <v>810</v>
      </c>
      <c r="BK109" s="10" t="s">
        <v>287</v>
      </c>
      <c r="BL109" s="10" t="s">
        <v>811</v>
      </c>
      <c r="BM109" s="10" t="s">
        <v>812</v>
      </c>
      <c r="BN109" s="10">
        <v>63</v>
      </c>
      <c r="BO109" s="10" t="s">
        <v>813</v>
      </c>
      <c r="BP109" s="10" t="s">
        <v>807</v>
      </c>
    </row>
    <row r="110" spans="15:68">
      <c r="O110" s="55"/>
      <c r="BH110" s="10" t="s">
        <v>814</v>
      </c>
      <c r="BI110" s="10" t="s">
        <v>820</v>
      </c>
      <c r="BJ110" s="10" t="s">
        <v>815</v>
      </c>
      <c r="BK110" s="10">
        <v>500</v>
      </c>
      <c r="BL110" s="10" t="s">
        <v>816</v>
      </c>
      <c r="BM110" s="10" t="s">
        <v>817</v>
      </c>
      <c r="BN110" s="10" t="s">
        <v>818</v>
      </c>
      <c r="BO110" s="10">
        <v>5.9881999999999998E-2</v>
      </c>
      <c r="BP110" s="10" t="s">
        <v>806</v>
      </c>
    </row>
    <row r="111" spans="15:68">
      <c r="O111" s="55"/>
      <c r="BH111" s="10" t="s">
        <v>808</v>
      </c>
      <c r="BI111" s="10" t="s">
        <v>288</v>
      </c>
      <c r="BJ111" s="10" t="s">
        <v>810</v>
      </c>
      <c r="BK111" s="10" t="s">
        <v>289</v>
      </c>
      <c r="BL111" s="10" t="s">
        <v>811</v>
      </c>
      <c r="BM111" s="10" t="s">
        <v>812</v>
      </c>
      <c r="BN111" s="10">
        <v>65</v>
      </c>
      <c r="BO111" s="10" t="s">
        <v>813</v>
      </c>
      <c r="BP111" s="10" t="s">
        <v>807</v>
      </c>
    </row>
    <row r="112" spans="15:68">
      <c r="O112" s="55"/>
      <c r="BH112" s="10" t="s">
        <v>814</v>
      </c>
      <c r="BI112" s="10" t="s">
        <v>290</v>
      </c>
      <c r="BJ112" s="10" t="s">
        <v>815</v>
      </c>
      <c r="BK112" s="10">
        <v>500</v>
      </c>
      <c r="BL112" s="10" t="s">
        <v>816</v>
      </c>
      <c r="BM112" s="10" t="s">
        <v>817</v>
      </c>
      <c r="BN112" s="10" t="s">
        <v>818</v>
      </c>
      <c r="BO112" s="10">
        <v>5.1757999999999998E-2</v>
      </c>
      <c r="BP112" s="10" t="s">
        <v>806</v>
      </c>
    </row>
    <row r="113" spans="15:68">
      <c r="O113" s="55"/>
      <c r="BH113" s="10" t="s">
        <v>808</v>
      </c>
      <c r="BI113" s="10" t="s">
        <v>291</v>
      </c>
      <c r="BJ113" s="10" t="s">
        <v>810</v>
      </c>
      <c r="BK113" s="10" t="s">
        <v>292</v>
      </c>
      <c r="BL113" s="10" t="s">
        <v>811</v>
      </c>
      <c r="BM113" s="10" t="s">
        <v>812</v>
      </c>
      <c r="BN113" s="10">
        <v>67</v>
      </c>
      <c r="BO113" s="10" t="s">
        <v>813</v>
      </c>
      <c r="BP113" s="10" t="s">
        <v>807</v>
      </c>
    </row>
    <row r="114" spans="15:68">
      <c r="O114" s="55"/>
      <c r="BH114" s="10" t="s">
        <v>814</v>
      </c>
      <c r="BI114" s="10" t="s">
        <v>293</v>
      </c>
      <c r="BJ114" s="10" t="s">
        <v>815</v>
      </c>
      <c r="BK114" s="10">
        <v>500</v>
      </c>
      <c r="BL114" s="10" t="s">
        <v>816</v>
      </c>
      <c r="BM114" s="10" t="s">
        <v>817</v>
      </c>
      <c r="BN114" s="10" t="s">
        <v>818</v>
      </c>
      <c r="BO114" s="10">
        <v>5.9992999999999998E-2</v>
      </c>
      <c r="BP114" s="10" t="s">
        <v>806</v>
      </c>
    </row>
    <row r="115" spans="15:68">
      <c r="O115" s="55"/>
      <c r="BH115" s="10" t="s">
        <v>814</v>
      </c>
      <c r="BI115" s="10" t="s">
        <v>294</v>
      </c>
      <c r="BJ115" s="10" t="s">
        <v>815</v>
      </c>
      <c r="BK115" s="10">
        <v>500</v>
      </c>
      <c r="BL115" s="10" t="s">
        <v>816</v>
      </c>
      <c r="BM115" s="10" t="s">
        <v>817</v>
      </c>
      <c r="BN115" s="10" t="s">
        <v>818</v>
      </c>
      <c r="BO115" s="10">
        <v>6.6990999999999995E-2</v>
      </c>
      <c r="BP115" s="10" t="s">
        <v>806</v>
      </c>
    </row>
    <row r="116" spans="15:68">
      <c r="O116" s="55"/>
      <c r="BH116" s="10" t="s">
        <v>808</v>
      </c>
      <c r="BI116" s="10" t="s">
        <v>295</v>
      </c>
      <c r="BJ116" s="10" t="s">
        <v>810</v>
      </c>
      <c r="BK116" s="10" t="s">
        <v>295</v>
      </c>
      <c r="BL116" s="10" t="s">
        <v>811</v>
      </c>
      <c r="BM116" s="10" t="s">
        <v>812</v>
      </c>
      <c r="BN116" s="10">
        <v>68</v>
      </c>
      <c r="BO116" s="10" t="s">
        <v>813</v>
      </c>
      <c r="BP116" s="10" t="s">
        <v>807</v>
      </c>
    </row>
    <row r="117" spans="15:68">
      <c r="O117" s="55"/>
      <c r="BH117" s="10" t="s">
        <v>814</v>
      </c>
      <c r="BI117" s="10" t="s">
        <v>296</v>
      </c>
      <c r="BJ117" s="10" t="s">
        <v>815</v>
      </c>
      <c r="BK117" s="10">
        <v>500</v>
      </c>
      <c r="BL117" s="10" t="s">
        <v>816</v>
      </c>
      <c r="BM117" s="10" t="s">
        <v>817</v>
      </c>
      <c r="BN117" s="10" t="s">
        <v>818</v>
      </c>
      <c r="BO117" s="10">
        <v>6.0555999999999999E-2</v>
      </c>
      <c r="BP117" s="10" t="s">
        <v>806</v>
      </c>
    </row>
    <row r="118" spans="15:68">
      <c r="O118" s="55"/>
      <c r="BH118" s="10" t="s">
        <v>814</v>
      </c>
      <c r="BI118" s="10" t="s">
        <v>297</v>
      </c>
      <c r="BJ118" s="10" t="s">
        <v>815</v>
      </c>
      <c r="BK118" s="10">
        <v>500</v>
      </c>
      <c r="BL118" s="10" t="s">
        <v>816</v>
      </c>
      <c r="BM118" s="10" t="s">
        <v>817</v>
      </c>
      <c r="BN118" s="10" t="s">
        <v>818</v>
      </c>
      <c r="BO118" s="10">
        <v>7.3521000000000003E-2</v>
      </c>
      <c r="BP118" s="10" t="s">
        <v>806</v>
      </c>
    </row>
    <row r="119" spans="15:68">
      <c r="O119" s="55"/>
      <c r="BH119" s="10" t="s">
        <v>814</v>
      </c>
      <c r="BI119" s="10" t="s">
        <v>298</v>
      </c>
      <c r="BJ119" s="10" t="s">
        <v>815</v>
      </c>
      <c r="BK119" s="10">
        <v>500</v>
      </c>
      <c r="BL119" s="10" t="s">
        <v>816</v>
      </c>
      <c r="BM119" s="10" t="s">
        <v>817</v>
      </c>
      <c r="BN119" s="10" t="s">
        <v>818</v>
      </c>
      <c r="BO119" s="10">
        <v>5.2650000000000002E-2</v>
      </c>
      <c r="BP119" s="10" t="s">
        <v>806</v>
      </c>
    </row>
    <row r="120" spans="15:68">
      <c r="O120" s="55"/>
      <c r="BH120" s="10" t="s">
        <v>814</v>
      </c>
      <c r="BI120" s="10" t="s">
        <v>299</v>
      </c>
      <c r="BJ120" s="10" t="s">
        <v>815</v>
      </c>
      <c r="BK120" s="10">
        <v>500</v>
      </c>
      <c r="BL120" s="10" t="s">
        <v>816</v>
      </c>
      <c r="BM120" s="10" t="s">
        <v>817</v>
      </c>
      <c r="BN120" s="10" t="s">
        <v>818</v>
      </c>
      <c r="BO120" s="10">
        <v>5.4670999999999997E-2</v>
      </c>
      <c r="BP120" s="10" t="s">
        <v>806</v>
      </c>
    </row>
    <row r="121" spans="15:68">
      <c r="O121" s="55"/>
      <c r="BH121" s="10" t="s">
        <v>814</v>
      </c>
      <c r="BI121" s="10" t="s">
        <v>300</v>
      </c>
      <c r="BJ121" s="10" t="s">
        <v>815</v>
      </c>
      <c r="BK121" s="10">
        <v>500</v>
      </c>
      <c r="BL121" s="10" t="s">
        <v>816</v>
      </c>
      <c r="BM121" s="10" t="s">
        <v>817</v>
      </c>
      <c r="BN121" s="10" t="s">
        <v>818</v>
      </c>
      <c r="BO121" s="10">
        <v>6.3599000000000003E-2</v>
      </c>
      <c r="BP121" s="10" t="s">
        <v>806</v>
      </c>
    </row>
    <row r="122" spans="15:68">
      <c r="O122" s="55"/>
      <c r="BH122" s="10" t="s">
        <v>808</v>
      </c>
      <c r="BI122" s="10" t="s">
        <v>301</v>
      </c>
      <c r="BJ122" s="10" t="s">
        <v>810</v>
      </c>
      <c r="BK122" s="10" t="s">
        <v>303</v>
      </c>
      <c r="BL122" s="10" t="s">
        <v>811</v>
      </c>
      <c r="BM122" s="10" t="s">
        <v>812</v>
      </c>
      <c r="BN122" s="10">
        <v>71</v>
      </c>
      <c r="BO122" s="10" t="s">
        <v>813</v>
      </c>
      <c r="BP122" s="10" t="s">
        <v>807</v>
      </c>
    </row>
    <row r="123" spans="15:68">
      <c r="O123" s="55"/>
      <c r="BH123" s="10" t="s">
        <v>814</v>
      </c>
      <c r="BI123" s="10" t="s">
        <v>304</v>
      </c>
      <c r="BJ123" s="10" t="s">
        <v>815</v>
      </c>
      <c r="BK123" s="10">
        <v>500</v>
      </c>
      <c r="BL123" s="10" t="s">
        <v>816</v>
      </c>
      <c r="BM123" s="10" t="s">
        <v>817</v>
      </c>
      <c r="BN123" s="10" t="s">
        <v>818</v>
      </c>
      <c r="BO123" s="10">
        <v>6.5351000000000006E-2</v>
      </c>
      <c r="BP123" s="10" t="s">
        <v>806</v>
      </c>
    </row>
    <row r="124" spans="15:68">
      <c r="O124" s="55"/>
      <c r="BH124" s="10" t="s">
        <v>814</v>
      </c>
      <c r="BI124" s="10" t="s">
        <v>305</v>
      </c>
      <c r="BJ124" s="10" t="s">
        <v>815</v>
      </c>
      <c r="BK124" s="10">
        <v>500</v>
      </c>
      <c r="BL124" s="10" t="s">
        <v>816</v>
      </c>
      <c r="BM124" s="10" t="s">
        <v>817</v>
      </c>
      <c r="BN124" s="10" t="s">
        <v>818</v>
      </c>
      <c r="BO124" s="10">
        <v>7.5273999999999994E-2</v>
      </c>
      <c r="BP124" s="10" t="s">
        <v>806</v>
      </c>
    </row>
    <row r="125" spans="15:68">
      <c r="O125" s="55"/>
      <c r="BH125" s="10" t="s">
        <v>808</v>
      </c>
      <c r="BI125" s="10" t="s">
        <v>306</v>
      </c>
      <c r="BJ125" s="10" t="s">
        <v>810</v>
      </c>
      <c r="BK125" s="10" t="s">
        <v>309</v>
      </c>
      <c r="BL125" s="10" t="s">
        <v>811</v>
      </c>
      <c r="BM125" s="10" t="s">
        <v>812</v>
      </c>
      <c r="BN125" s="10">
        <v>75</v>
      </c>
      <c r="BO125" s="10" t="s">
        <v>813</v>
      </c>
      <c r="BP125" s="10" t="s">
        <v>807</v>
      </c>
    </row>
    <row r="126" spans="15:68">
      <c r="O126" s="55"/>
      <c r="BH126" s="10" t="s">
        <v>814</v>
      </c>
      <c r="BI126" s="10" t="s">
        <v>310</v>
      </c>
      <c r="BJ126" s="10" t="s">
        <v>815</v>
      </c>
      <c r="BK126" s="10">
        <v>500</v>
      </c>
      <c r="BL126" s="10" t="s">
        <v>816</v>
      </c>
      <c r="BM126" s="10" t="s">
        <v>817</v>
      </c>
      <c r="BN126" s="10" t="s">
        <v>818</v>
      </c>
      <c r="BO126" s="10">
        <v>5.6181000000000002E-2</v>
      </c>
      <c r="BP126" s="10" t="s">
        <v>806</v>
      </c>
    </row>
    <row r="127" spans="15:68">
      <c r="O127" s="55"/>
      <c r="BH127" s="10" t="s">
        <v>808</v>
      </c>
      <c r="BI127" s="10" t="s">
        <v>311</v>
      </c>
      <c r="BJ127" s="10" t="s">
        <v>810</v>
      </c>
      <c r="BK127" s="10" t="s">
        <v>311</v>
      </c>
      <c r="BL127" s="10" t="s">
        <v>811</v>
      </c>
      <c r="BM127" s="10" t="s">
        <v>812</v>
      </c>
      <c r="BN127" s="10">
        <v>76</v>
      </c>
      <c r="BO127" s="10" t="s">
        <v>813</v>
      </c>
      <c r="BP127" s="10" t="s">
        <v>807</v>
      </c>
    </row>
    <row r="128" spans="15:68">
      <c r="O128" s="55"/>
      <c r="BH128" s="10" t="s">
        <v>814</v>
      </c>
      <c r="BI128" s="10" t="s">
        <v>312</v>
      </c>
      <c r="BJ128" s="10" t="s">
        <v>815</v>
      </c>
      <c r="BK128" s="10">
        <v>500</v>
      </c>
      <c r="BL128" s="10" t="s">
        <v>816</v>
      </c>
      <c r="BM128" s="10" t="s">
        <v>817</v>
      </c>
      <c r="BN128" s="10" t="s">
        <v>818</v>
      </c>
      <c r="BO128" s="10">
        <v>6.5158999999999995E-2</v>
      </c>
      <c r="BP128" s="10" t="s">
        <v>806</v>
      </c>
    </row>
    <row r="129" spans="15:68">
      <c r="O129" s="55"/>
      <c r="BH129" s="10" t="s">
        <v>814</v>
      </c>
      <c r="BI129" s="10" t="s">
        <v>313</v>
      </c>
      <c r="BJ129" s="10" t="s">
        <v>815</v>
      </c>
      <c r="BK129" s="10">
        <v>500</v>
      </c>
      <c r="BL129" s="10" t="s">
        <v>816</v>
      </c>
      <c r="BM129" s="10" t="s">
        <v>817</v>
      </c>
      <c r="BN129" s="10" t="s">
        <v>818</v>
      </c>
      <c r="BO129" s="10">
        <v>5.6859E-2</v>
      </c>
      <c r="BP129" s="10" t="s">
        <v>806</v>
      </c>
    </row>
    <row r="130" spans="15:68">
      <c r="O130" s="55"/>
      <c r="BH130" s="10" t="s">
        <v>808</v>
      </c>
      <c r="BI130" s="10" t="s">
        <v>314</v>
      </c>
      <c r="BJ130" s="10" t="s">
        <v>810</v>
      </c>
      <c r="BK130" s="10" t="s">
        <v>314</v>
      </c>
      <c r="BL130" s="10" t="s">
        <v>811</v>
      </c>
      <c r="BM130" s="10" t="s">
        <v>812</v>
      </c>
      <c r="BN130" s="10">
        <v>77</v>
      </c>
      <c r="BO130" s="10" t="s">
        <v>813</v>
      </c>
      <c r="BP130" s="10" t="s">
        <v>807</v>
      </c>
    </row>
    <row r="131" spans="15:68">
      <c r="O131" s="55"/>
      <c r="BH131" s="10" t="s">
        <v>814</v>
      </c>
      <c r="BI131" s="10" t="s">
        <v>315</v>
      </c>
      <c r="BJ131" s="10" t="s">
        <v>815</v>
      </c>
      <c r="BK131" s="10">
        <v>500</v>
      </c>
      <c r="BL131" s="10" t="s">
        <v>816</v>
      </c>
      <c r="BM131" s="10" t="s">
        <v>817</v>
      </c>
      <c r="BN131" s="10" t="s">
        <v>818</v>
      </c>
      <c r="BO131" s="10">
        <v>5.8923999999999997E-2</v>
      </c>
      <c r="BP131" s="10" t="s">
        <v>806</v>
      </c>
    </row>
    <row r="132" spans="15:68">
      <c r="O132" s="55"/>
      <c r="BH132" s="10" t="s">
        <v>814</v>
      </c>
      <c r="BI132" s="10" t="s">
        <v>316</v>
      </c>
      <c r="BJ132" s="10" t="s">
        <v>815</v>
      </c>
      <c r="BK132" s="10">
        <v>500</v>
      </c>
      <c r="BL132" s="10" t="s">
        <v>816</v>
      </c>
      <c r="BM132" s="10" t="s">
        <v>817</v>
      </c>
      <c r="BN132" s="10" t="s">
        <v>818</v>
      </c>
      <c r="BO132" s="10">
        <v>6.6328999999999999E-2</v>
      </c>
      <c r="BP132" s="10" t="s">
        <v>806</v>
      </c>
    </row>
    <row r="133" spans="15:68">
      <c r="O133" s="55"/>
      <c r="BH133" s="10" t="s">
        <v>808</v>
      </c>
      <c r="BI133" s="10" t="s">
        <v>317</v>
      </c>
      <c r="BJ133" s="10" t="s">
        <v>810</v>
      </c>
      <c r="BK133" s="10" t="s">
        <v>322</v>
      </c>
      <c r="BL133" s="10" t="s">
        <v>811</v>
      </c>
      <c r="BM133" s="10" t="s">
        <v>812</v>
      </c>
      <c r="BN133" s="10">
        <v>83</v>
      </c>
      <c r="BO133" s="10" t="s">
        <v>813</v>
      </c>
      <c r="BP133" s="10" t="s">
        <v>807</v>
      </c>
    </row>
    <row r="134" spans="15:68">
      <c r="O134" s="55"/>
      <c r="BH134" s="10" t="s">
        <v>814</v>
      </c>
      <c r="BI134" s="10" t="s">
        <v>323</v>
      </c>
      <c r="BJ134" s="10" t="s">
        <v>815</v>
      </c>
      <c r="BK134" s="10">
        <v>500</v>
      </c>
      <c r="BL134" s="10" t="s">
        <v>816</v>
      </c>
      <c r="BM134" s="10" t="s">
        <v>817</v>
      </c>
      <c r="BN134" s="10" t="s">
        <v>818</v>
      </c>
      <c r="BO134" s="10">
        <v>6.5146999999999997E-2</v>
      </c>
      <c r="BP134" s="10" t="s">
        <v>806</v>
      </c>
    </row>
    <row r="135" spans="15:68">
      <c r="O135" s="55"/>
      <c r="BH135" s="10" t="s">
        <v>808</v>
      </c>
      <c r="BI135" s="10" t="s">
        <v>324</v>
      </c>
      <c r="BJ135" s="10" t="s">
        <v>810</v>
      </c>
      <c r="BK135" s="10" t="s">
        <v>329</v>
      </c>
      <c r="BL135" s="10" t="s">
        <v>811</v>
      </c>
      <c r="BM135" s="10" t="s">
        <v>812</v>
      </c>
      <c r="BN135" s="10">
        <v>89</v>
      </c>
      <c r="BO135" s="10" t="s">
        <v>813</v>
      </c>
      <c r="BP135" s="10" t="s">
        <v>807</v>
      </c>
    </row>
    <row r="136" spans="15:68">
      <c r="O136" s="55"/>
      <c r="BH136" s="10" t="s">
        <v>814</v>
      </c>
      <c r="BI136" s="10" t="s">
        <v>330</v>
      </c>
      <c r="BJ136" s="10" t="s">
        <v>815</v>
      </c>
      <c r="BK136" s="10">
        <v>500</v>
      </c>
      <c r="BL136" s="10" t="s">
        <v>816</v>
      </c>
      <c r="BM136" s="10" t="s">
        <v>817</v>
      </c>
      <c r="BN136" s="10" t="s">
        <v>818</v>
      </c>
      <c r="BO136" s="10">
        <v>6.8154000000000006E-2</v>
      </c>
      <c r="BP136" s="10" t="s">
        <v>806</v>
      </c>
    </row>
    <row r="137" spans="15:68">
      <c r="O137" s="55"/>
      <c r="BH137" s="10" t="s">
        <v>808</v>
      </c>
      <c r="BI137" s="10" t="s">
        <v>821</v>
      </c>
      <c r="BJ137" s="10" t="s">
        <v>810</v>
      </c>
      <c r="BK137" s="10" t="s">
        <v>821</v>
      </c>
      <c r="BL137" s="10" t="s">
        <v>811</v>
      </c>
      <c r="BM137" s="10" t="s">
        <v>812</v>
      </c>
      <c r="BN137" s="10">
        <v>90</v>
      </c>
      <c r="BO137" s="10" t="s">
        <v>813</v>
      </c>
      <c r="BP137" s="10" t="s">
        <v>807</v>
      </c>
    </row>
    <row r="138" spans="15:68">
      <c r="O138" s="55"/>
      <c r="BH138" s="10" t="s">
        <v>814</v>
      </c>
      <c r="BI138" s="10" t="s">
        <v>331</v>
      </c>
      <c r="BJ138" s="10" t="s">
        <v>815</v>
      </c>
      <c r="BK138" s="10">
        <v>500</v>
      </c>
      <c r="BL138" s="10" t="s">
        <v>816</v>
      </c>
      <c r="BM138" s="10" t="s">
        <v>817</v>
      </c>
      <c r="BN138" s="10" t="s">
        <v>818</v>
      </c>
      <c r="BO138" s="10">
        <v>6.1608000000000003E-2</v>
      </c>
      <c r="BP138" s="10" t="s">
        <v>806</v>
      </c>
    </row>
    <row r="139" spans="15:68">
      <c r="O139" s="55"/>
      <c r="BH139" s="10" t="s">
        <v>808</v>
      </c>
      <c r="BI139" s="10" t="s">
        <v>822</v>
      </c>
      <c r="BJ139" s="10" t="s">
        <v>810</v>
      </c>
      <c r="BK139" s="10" t="s">
        <v>332</v>
      </c>
      <c r="BL139" s="10" t="s">
        <v>811</v>
      </c>
      <c r="BM139" s="10" t="s">
        <v>812</v>
      </c>
      <c r="BN139" s="10">
        <v>92</v>
      </c>
      <c r="BO139" s="10" t="s">
        <v>813</v>
      </c>
      <c r="BP139" s="10" t="s">
        <v>807</v>
      </c>
    </row>
    <row r="140" spans="15:68">
      <c r="O140" s="55"/>
      <c r="BH140" s="10" t="s">
        <v>814</v>
      </c>
      <c r="BI140" s="10" t="s">
        <v>333</v>
      </c>
      <c r="BJ140" s="10" t="s">
        <v>815</v>
      </c>
      <c r="BK140" s="10">
        <v>500</v>
      </c>
      <c r="BL140" s="10" t="s">
        <v>816</v>
      </c>
      <c r="BM140" s="10" t="s">
        <v>817</v>
      </c>
      <c r="BN140" s="10" t="s">
        <v>818</v>
      </c>
      <c r="BO140" s="10">
        <v>6.9913000000000003E-2</v>
      </c>
      <c r="BP140" s="10" t="s">
        <v>806</v>
      </c>
    </row>
    <row r="141" spans="15:68">
      <c r="O141" s="55"/>
      <c r="BH141" s="10" t="s">
        <v>814</v>
      </c>
      <c r="BI141" s="10" t="s">
        <v>334</v>
      </c>
      <c r="BJ141" s="10" t="s">
        <v>815</v>
      </c>
      <c r="BK141" s="10">
        <v>500</v>
      </c>
      <c r="BL141" s="10" t="s">
        <v>816</v>
      </c>
      <c r="BM141" s="10" t="s">
        <v>817</v>
      </c>
      <c r="BN141" s="10" t="s">
        <v>818</v>
      </c>
      <c r="BO141" s="10">
        <v>5.2651000000000003E-2</v>
      </c>
      <c r="BP141" s="10" t="s">
        <v>806</v>
      </c>
    </row>
    <row r="142" spans="15:68">
      <c r="O142" s="55"/>
      <c r="BH142" s="10" t="s">
        <v>814</v>
      </c>
      <c r="BI142" s="10" t="s">
        <v>335</v>
      </c>
      <c r="BJ142" s="10" t="s">
        <v>815</v>
      </c>
      <c r="BK142" s="10">
        <v>500</v>
      </c>
      <c r="BL142" s="10" t="s">
        <v>816</v>
      </c>
      <c r="BM142" s="10" t="s">
        <v>817</v>
      </c>
      <c r="BN142" s="10" t="s">
        <v>818</v>
      </c>
      <c r="BO142" s="10">
        <v>6.6785999999999998E-2</v>
      </c>
      <c r="BP142" s="10" t="s">
        <v>806</v>
      </c>
    </row>
    <row r="143" spans="15:68">
      <c r="O143" s="55"/>
      <c r="BH143" s="10" t="s">
        <v>814</v>
      </c>
      <c r="BI143" s="10" t="s">
        <v>336</v>
      </c>
      <c r="BJ143" s="10" t="s">
        <v>815</v>
      </c>
      <c r="BK143" s="10">
        <v>500</v>
      </c>
      <c r="BL143" s="10" t="s">
        <v>816</v>
      </c>
      <c r="BM143" s="10" t="s">
        <v>817</v>
      </c>
      <c r="BN143" s="10" t="s">
        <v>818</v>
      </c>
      <c r="BO143" s="10">
        <v>6.6368999999999997E-2</v>
      </c>
      <c r="BP143" s="10" t="s">
        <v>806</v>
      </c>
    </row>
    <row r="144" spans="15:68">
      <c r="O144" s="55"/>
      <c r="BH144" s="10" t="s">
        <v>808</v>
      </c>
      <c r="BI144" s="10" t="s">
        <v>338</v>
      </c>
      <c r="BJ144" s="10" t="s">
        <v>810</v>
      </c>
      <c r="BK144" s="10" t="s">
        <v>338</v>
      </c>
      <c r="BL144" s="10" t="s">
        <v>811</v>
      </c>
      <c r="BM144" s="10" t="s">
        <v>812</v>
      </c>
      <c r="BN144" s="10">
        <v>93</v>
      </c>
      <c r="BO144" s="10" t="s">
        <v>813</v>
      </c>
      <c r="BP144" s="10" t="s">
        <v>807</v>
      </c>
    </row>
    <row r="145" spans="15:68">
      <c r="O145" s="55"/>
      <c r="BH145" s="10" t="s">
        <v>814</v>
      </c>
      <c r="BI145" s="10" t="s">
        <v>340</v>
      </c>
      <c r="BJ145" s="10" t="s">
        <v>815</v>
      </c>
      <c r="BK145" s="10">
        <v>500</v>
      </c>
      <c r="BL145" s="10" t="s">
        <v>816</v>
      </c>
      <c r="BM145" s="10" t="s">
        <v>817</v>
      </c>
      <c r="BN145" s="10" t="s">
        <v>818</v>
      </c>
      <c r="BO145" s="10">
        <v>6.8897E-2</v>
      </c>
      <c r="BP145" s="10" t="s">
        <v>806</v>
      </c>
    </row>
    <row r="146" spans="15:68">
      <c r="O146" s="55"/>
      <c r="BH146" s="10" t="s">
        <v>814</v>
      </c>
      <c r="BI146" s="10" t="s">
        <v>342</v>
      </c>
      <c r="BJ146" s="10" t="s">
        <v>815</v>
      </c>
      <c r="BK146" s="10">
        <v>500</v>
      </c>
      <c r="BL146" s="10" t="s">
        <v>816</v>
      </c>
      <c r="BM146" s="10" t="s">
        <v>817</v>
      </c>
      <c r="BN146" s="10" t="s">
        <v>818</v>
      </c>
      <c r="BO146" s="10">
        <v>6.6980999999999999E-2</v>
      </c>
      <c r="BP146" s="10" t="s">
        <v>806</v>
      </c>
    </row>
    <row r="147" spans="15:68">
      <c r="O147" s="55"/>
      <c r="BH147" s="10" t="s">
        <v>814</v>
      </c>
      <c r="BI147" s="10" t="s">
        <v>823</v>
      </c>
      <c r="BJ147" s="10" t="s">
        <v>815</v>
      </c>
      <c r="BK147" s="10">
        <v>500</v>
      </c>
      <c r="BL147" s="10" t="s">
        <v>816</v>
      </c>
      <c r="BM147" s="10" t="s">
        <v>817</v>
      </c>
      <c r="BN147" s="10" t="s">
        <v>818</v>
      </c>
      <c r="BO147" s="10">
        <v>6.4877000000000004E-2</v>
      </c>
      <c r="BP147" s="10" t="s">
        <v>806</v>
      </c>
    </row>
    <row r="148" spans="15:68">
      <c r="O148" s="55"/>
      <c r="BH148" s="10" t="s">
        <v>808</v>
      </c>
      <c r="BI148" s="10" t="s">
        <v>344</v>
      </c>
      <c r="BJ148" s="10" t="s">
        <v>810</v>
      </c>
      <c r="BK148" s="10" t="s">
        <v>825</v>
      </c>
      <c r="BL148" s="10" t="s">
        <v>811</v>
      </c>
      <c r="BM148" s="10" t="s">
        <v>812</v>
      </c>
      <c r="BN148" s="10">
        <v>97</v>
      </c>
      <c r="BO148" s="10" t="s">
        <v>813</v>
      </c>
      <c r="BP148" s="10" t="s">
        <v>807</v>
      </c>
    </row>
    <row r="149" spans="15:68">
      <c r="O149" s="55"/>
      <c r="BH149" s="10" t="s">
        <v>814</v>
      </c>
      <c r="BI149" s="10" t="s">
        <v>348</v>
      </c>
      <c r="BJ149" s="10" t="s">
        <v>815</v>
      </c>
      <c r="BK149" s="10">
        <v>500</v>
      </c>
      <c r="BL149" s="10" t="s">
        <v>816</v>
      </c>
      <c r="BM149" s="10" t="s">
        <v>817</v>
      </c>
      <c r="BN149" s="10" t="s">
        <v>818</v>
      </c>
      <c r="BO149" s="10">
        <v>7.1854000000000001E-2</v>
      </c>
      <c r="BP149" s="10" t="s">
        <v>806</v>
      </c>
    </row>
    <row r="150" spans="15:68">
      <c r="O150" s="55"/>
      <c r="BH150" s="10" t="s">
        <v>808</v>
      </c>
      <c r="BI150" s="10" t="s">
        <v>350</v>
      </c>
      <c r="BJ150" s="10" t="s">
        <v>810</v>
      </c>
      <c r="BK150" s="10" t="s">
        <v>351</v>
      </c>
      <c r="BL150" s="10" t="s">
        <v>811</v>
      </c>
      <c r="BM150" s="10" t="s">
        <v>812</v>
      </c>
      <c r="BN150" s="10">
        <v>99</v>
      </c>
      <c r="BO150" s="10" t="s">
        <v>813</v>
      </c>
      <c r="BP150" s="10" t="s">
        <v>807</v>
      </c>
    </row>
    <row r="151" spans="15:68">
      <c r="O151" s="55"/>
      <c r="BH151" s="10" t="s">
        <v>814</v>
      </c>
      <c r="BI151" s="10" t="s">
        <v>353</v>
      </c>
      <c r="BJ151" s="10" t="s">
        <v>815</v>
      </c>
      <c r="BK151" s="10">
        <v>500</v>
      </c>
      <c r="BL151" s="10" t="s">
        <v>816</v>
      </c>
      <c r="BM151" s="10" t="s">
        <v>817</v>
      </c>
      <c r="BN151" s="10" t="s">
        <v>818</v>
      </c>
      <c r="BO151" s="10">
        <v>7.5388999999999998E-2</v>
      </c>
      <c r="BP151" s="10" t="s">
        <v>806</v>
      </c>
    </row>
    <row r="152" spans="15:68">
      <c r="O152" s="55"/>
      <c r="BH152" s="10" t="s">
        <v>808</v>
      </c>
      <c r="BI152" s="10" t="s">
        <v>354</v>
      </c>
      <c r="BJ152" s="10" t="s">
        <v>810</v>
      </c>
      <c r="BK152" s="10" t="s">
        <v>355</v>
      </c>
      <c r="BL152" s="10" t="s">
        <v>811</v>
      </c>
      <c r="BM152" s="10" t="s">
        <v>812</v>
      </c>
      <c r="BN152" s="10">
        <v>101</v>
      </c>
      <c r="BO152" s="10" t="s">
        <v>813</v>
      </c>
      <c r="BP152" s="10" t="s">
        <v>807</v>
      </c>
    </row>
    <row r="153" spans="15:68">
      <c r="O153" s="55"/>
      <c r="BH153" s="10" t="s">
        <v>814</v>
      </c>
      <c r="BI153" s="10" t="s">
        <v>357</v>
      </c>
      <c r="BJ153" s="10" t="s">
        <v>815</v>
      </c>
      <c r="BK153" s="10">
        <v>500</v>
      </c>
      <c r="BL153" s="10" t="s">
        <v>816</v>
      </c>
      <c r="BM153" s="10" t="s">
        <v>817</v>
      </c>
      <c r="BN153" s="10" t="s">
        <v>818</v>
      </c>
      <c r="BO153" s="10">
        <v>5.1757999999999998E-2</v>
      </c>
      <c r="BP153" s="10" t="s">
        <v>806</v>
      </c>
    </row>
    <row r="154" spans="15:68">
      <c r="O154" s="55"/>
      <c r="BH154" s="10" t="s">
        <v>808</v>
      </c>
      <c r="BI154" s="10" t="s">
        <v>359</v>
      </c>
      <c r="BJ154" s="10" t="s">
        <v>810</v>
      </c>
      <c r="BK154" s="10" t="s">
        <v>361</v>
      </c>
      <c r="BL154" s="10" t="s">
        <v>811</v>
      </c>
      <c r="BM154" s="10" t="s">
        <v>812</v>
      </c>
      <c r="BN154" s="10">
        <v>104</v>
      </c>
      <c r="BO154" s="10" t="s">
        <v>813</v>
      </c>
      <c r="BP154" s="10" t="s">
        <v>807</v>
      </c>
    </row>
    <row r="155" spans="15:68">
      <c r="O155" s="55"/>
      <c r="BH155" s="10" t="s">
        <v>814</v>
      </c>
      <c r="BI155" s="10" t="s">
        <v>362</v>
      </c>
      <c r="BJ155" s="10" t="s">
        <v>815</v>
      </c>
      <c r="BK155" s="10">
        <v>500</v>
      </c>
      <c r="BL155" s="10" t="s">
        <v>816</v>
      </c>
      <c r="BM155" s="10" t="s">
        <v>817</v>
      </c>
      <c r="BN155" s="10" t="s">
        <v>818</v>
      </c>
      <c r="BO155" s="10">
        <v>6.6457000000000002E-2</v>
      </c>
      <c r="BP155" s="10" t="s">
        <v>806</v>
      </c>
    </row>
    <row r="156" spans="15:68">
      <c r="O156" s="55"/>
      <c r="BH156" s="10" t="s">
        <v>808</v>
      </c>
      <c r="BI156" s="10" t="s">
        <v>363</v>
      </c>
      <c r="BJ156" s="10" t="s">
        <v>810</v>
      </c>
      <c r="BK156" s="10" t="s">
        <v>363</v>
      </c>
      <c r="BL156" s="10" t="s">
        <v>811</v>
      </c>
      <c r="BM156" s="10" t="s">
        <v>812</v>
      </c>
      <c r="BN156" s="10">
        <v>105</v>
      </c>
      <c r="BO156" s="10" t="s">
        <v>813</v>
      </c>
      <c r="BP156" s="10" t="s">
        <v>807</v>
      </c>
    </row>
    <row r="157" spans="15:68">
      <c r="O157" s="55"/>
      <c r="BH157" s="10" t="s">
        <v>814</v>
      </c>
      <c r="BI157" s="10" t="s">
        <v>365</v>
      </c>
      <c r="BJ157" s="10" t="s">
        <v>815</v>
      </c>
      <c r="BK157" s="10">
        <v>500</v>
      </c>
      <c r="BL157" s="10" t="s">
        <v>816</v>
      </c>
      <c r="BM157" s="10" t="s">
        <v>817</v>
      </c>
      <c r="BN157" s="10" t="s">
        <v>818</v>
      </c>
      <c r="BO157" s="10">
        <v>7.1908E-2</v>
      </c>
      <c r="BP157" s="10" t="s">
        <v>806</v>
      </c>
    </row>
    <row r="158" spans="15:68">
      <c r="O158" s="55"/>
      <c r="BH158" s="10" t="s">
        <v>808</v>
      </c>
      <c r="BI158" s="10" t="s">
        <v>366</v>
      </c>
      <c r="BJ158" s="10" t="s">
        <v>810</v>
      </c>
      <c r="BK158" s="10" t="s">
        <v>377</v>
      </c>
      <c r="BL158" s="10" t="s">
        <v>811</v>
      </c>
      <c r="BM158" s="10" t="s">
        <v>812</v>
      </c>
      <c r="BN158" s="10">
        <v>114</v>
      </c>
      <c r="BO158" s="10" t="s">
        <v>813</v>
      </c>
      <c r="BP158" s="10" t="s">
        <v>807</v>
      </c>
    </row>
    <row r="159" spans="15:68">
      <c r="O159" s="55"/>
      <c r="BH159" s="10" t="s">
        <v>814</v>
      </c>
      <c r="BI159" s="10" t="s">
        <v>379</v>
      </c>
      <c r="BJ159" s="10" t="s">
        <v>815</v>
      </c>
      <c r="BK159" s="10">
        <v>500</v>
      </c>
      <c r="BL159" s="10" t="s">
        <v>816</v>
      </c>
      <c r="BM159" s="10" t="s">
        <v>817</v>
      </c>
      <c r="BN159" s="10" t="s">
        <v>818</v>
      </c>
      <c r="BO159" s="10">
        <v>6.4527000000000001E-2</v>
      </c>
      <c r="BP159" s="10" t="s">
        <v>806</v>
      </c>
    </row>
    <row r="160" spans="15:68">
      <c r="O160" s="55"/>
      <c r="BH160" s="10" t="s">
        <v>808</v>
      </c>
      <c r="BI160" s="10" t="s">
        <v>380</v>
      </c>
      <c r="BJ160" s="10" t="s">
        <v>810</v>
      </c>
      <c r="BK160" s="10" t="s">
        <v>385</v>
      </c>
      <c r="BL160" s="10" t="s">
        <v>811</v>
      </c>
      <c r="BM160" s="10" t="s">
        <v>812</v>
      </c>
      <c r="BN160" s="10">
        <v>118</v>
      </c>
      <c r="BO160" s="10" t="s">
        <v>813</v>
      </c>
      <c r="BP160" s="10" t="s">
        <v>807</v>
      </c>
    </row>
    <row r="161" spans="15:68">
      <c r="O161" s="55"/>
      <c r="BH161" s="10" t="s">
        <v>814</v>
      </c>
      <c r="BI161" s="10" t="s">
        <v>386</v>
      </c>
      <c r="BJ161" s="10" t="s">
        <v>815</v>
      </c>
      <c r="BK161" s="10">
        <v>500</v>
      </c>
      <c r="BL161" s="10" t="s">
        <v>816</v>
      </c>
      <c r="BM161" s="10" t="s">
        <v>817</v>
      </c>
      <c r="BN161" s="10" t="s">
        <v>818</v>
      </c>
      <c r="BO161" s="10">
        <v>6.1585000000000001E-2</v>
      </c>
      <c r="BP161" s="10" t="s">
        <v>806</v>
      </c>
    </row>
    <row r="162" spans="15:68">
      <c r="O162" s="55"/>
      <c r="BH162" s="10" t="s">
        <v>808</v>
      </c>
      <c r="BI162" s="10" t="s">
        <v>387</v>
      </c>
      <c r="BJ162" s="10" t="s">
        <v>810</v>
      </c>
      <c r="BK162" s="10" t="s">
        <v>393</v>
      </c>
      <c r="BL162" s="10" t="s">
        <v>811</v>
      </c>
      <c r="BM162" s="10" t="s">
        <v>812</v>
      </c>
      <c r="BN162" s="10">
        <v>123</v>
      </c>
      <c r="BO162" s="10" t="s">
        <v>813</v>
      </c>
      <c r="BP162" s="10" t="s">
        <v>807</v>
      </c>
    </row>
    <row r="163" spans="15:68">
      <c r="O163" s="55"/>
      <c r="BH163" s="10" t="s">
        <v>814</v>
      </c>
      <c r="BI163" s="10" t="s">
        <v>394</v>
      </c>
      <c r="BJ163" s="10" t="s">
        <v>815</v>
      </c>
      <c r="BK163" s="10">
        <v>500</v>
      </c>
      <c r="BL163" s="10" t="s">
        <v>816</v>
      </c>
      <c r="BM163" s="10" t="s">
        <v>817</v>
      </c>
      <c r="BN163" s="10" t="s">
        <v>818</v>
      </c>
      <c r="BO163" s="10">
        <v>6.8765000000000007E-2</v>
      </c>
      <c r="BP163" s="10" t="s">
        <v>806</v>
      </c>
    </row>
    <row r="164" spans="15:68">
      <c r="O164" s="55"/>
      <c r="BH164" s="10" t="s">
        <v>814</v>
      </c>
      <c r="BI164" s="10" t="s">
        <v>826</v>
      </c>
      <c r="BJ164" s="10" t="s">
        <v>815</v>
      </c>
      <c r="BK164" s="10">
        <v>500</v>
      </c>
      <c r="BL164" s="10" t="s">
        <v>816</v>
      </c>
      <c r="BM164" s="10" t="s">
        <v>817</v>
      </c>
      <c r="BN164" s="10" t="s">
        <v>818</v>
      </c>
      <c r="BO164" s="10">
        <v>6.4938999999999997E-2</v>
      </c>
      <c r="BP164" s="10" t="s">
        <v>806</v>
      </c>
    </row>
    <row r="165" spans="15:68">
      <c r="O165" s="55"/>
      <c r="BH165" s="10" t="s">
        <v>808</v>
      </c>
      <c r="BI165" s="10" t="s">
        <v>395</v>
      </c>
      <c r="BJ165" s="10" t="s">
        <v>810</v>
      </c>
      <c r="BK165" s="10" t="s">
        <v>401</v>
      </c>
      <c r="BL165" s="10" t="s">
        <v>811</v>
      </c>
      <c r="BM165" s="10" t="s">
        <v>812</v>
      </c>
      <c r="BN165" s="10">
        <v>129</v>
      </c>
      <c r="BO165" s="10" t="s">
        <v>813</v>
      </c>
      <c r="BP165" s="10" t="s">
        <v>807</v>
      </c>
    </row>
    <row r="166" spans="15:68">
      <c r="O166" s="55"/>
      <c r="BH166" s="10" t="s">
        <v>814</v>
      </c>
      <c r="BI166" s="10" t="s">
        <v>402</v>
      </c>
      <c r="BJ166" s="10" t="s">
        <v>815</v>
      </c>
      <c r="BK166" s="10">
        <v>500</v>
      </c>
      <c r="BL166" s="10" t="s">
        <v>816</v>
      </c>
      <c r="BM166" s="10" t="s">
        <v>817</v>
      </c>
      <c r="BN166" s="10" t="s">
        <v>818</v>
      </c>
      <c r="BO166" s="10">
        <v>6.8851999999999997E-2</v>
      </c>
      <c r="BP166" s="10" t="s">
        <v>806</v>
      </c>
    </row>
    <row r="167" spans="15:68">
      <c r="O167" s="55"/>
      <c r="BH167" s="10" t="s">
        <v>814</v>
      </c>
      <c r="BI167" s="10" t="s">
        <v>827</v>
      </c>
      <c r="BJ167" s="10" t="s">
        <v>815</v>
      </c>
      <c r="BK167" s="10">
        <v>500</v>
      </c>
      <c r="BL167" s="10" t="s">
        <v>816</v>
      </c>
      <c r="BM167" s="10" t="s">
        <v>817</v>
      </c>
      <c r="BN167" s="10" t="s">
        <v>818</v>
      </c>
      <c r="BO167" s="10">
        <v>6.7917000000000005E-2</v>
      </c>
      <c r="BP167" s="10" t="s">
        <v>806</v>
      </c>
    </row>
    <row r="168" spans="15:68">
      <c r="O168" s="55"/>
      <c r="BH168" s="10" t="s">
        <v>808</v>
      </c>
      <c r="BI168" s="10" t="s">
        <v>403</v>
      </c>
      <c r="BJ168" s="10" t="s">
        <v>810</v>
      </c>
      <c r="BK168" s="10" t="s">
        <v>405</v>
      </c>
      <c r="BL168" s="10" t="s">
        <v>811</v>
      </c>
      <c r="BM168" s="10" t="s">
        <v>812</v>
      </c>
      <c r="BN168" s="10">
        <v>132</v>
      </c>
      <c r="BO168" s="10" t="s">
        <v>813</v>
      </c>
      <c r="BP168" s="10" t="s">
        <v>807</v>
      </c>
    </row>
    <row r="169" spans="15:68">
      <c r="O169" s="55"/>
      <c r="BH169" s="10" t="s">
        <v>814</v>
      </c>
      <c r="BI169" s="10" t="s">
        <v>406</v>
      </c>
      <c r="BJ169" s="10" t="s">
        <v>815</v>
      </c>
      <c r="BK169" s="10">
        <v>500</v>
      </c>
      <c r="BL169" s="10" t="s">
        <v>816</v>
      </c>
      <c r="BM169" s="10" t="s">
        <v>817</v>
      </c>
      <c r="BN169" s="10" t="s">
        <v>818</v>
      </c>
      <c r="BO169" s="10">
        <v>5.9941000000000001E-2</v>
      </c>
      <c r="BP169" s="10" t="s">
        <v>806</v>
      </c>
    </row>
    <row r="170" spans="15:68">
      <c r="O170" s="55"/>
      <c r="BH170" s="10" t="s">
        <v>808</v>
      </c>
      <c r="BI170" s="10" t="s">
        <v>407</v>
      </c>
      <c r="BJ170" s="10" t="s">
        <v>810</v>
      </c>
      <c r="BK170" s="10" t="s">
        <v>408</v>
      </c>
      <c r="BL170" s="10" t="s">
        <v>811</v>
      </c>
      <c r="BM170" s="10" t="s">
        <v>812</v>
      </c>
      <c r="BN170" s="10">
        <v>134</v>
      </c>
      <c r="BO170" s="10" t="s">
        <v>813</v>
      </c>
      <c r="BP170" s="10" t="s">
        <v>807</v>
      </c>
    </row>
    <row r="171" spans="15:68">
      <c r="O171" s="55"/>
      <c r="BH171" s="10" t="s">
        <v>814</v>
      </c>
      <c r="BI171" s="10" t="s">
        <v>409</v>
      </c>
      <c r="BJ171" s="10" t="s">
        <v>815</v>
      </c>
      <c r="BK171" s="10">
        <v>500</v>
      </c>
      <c r="BL171" s="10" t="s">
        <v>816</v>
      </c>
      <c r="BM171" s="10" t="s">
        <v>817</v>
      </c>
      <c r="BN171" s="10" t="s">
        <v>818</v>
      </c>
      <c r="BO171" s="10">
        <v>6.9633E-2</v>
      </c>
      <c r="BP171" s="10" t="s">
        <v>806</v>
      </c>
    </row>
    <row r="172" spans="15:68">
      <c r="O172" s="55"/>
      <c r="BH172" s="10" t="s">
        <v>808</v>
      </c>
      <c r="BI172" s="10" t="s">
        <v>410</v>
      </c>
      <c r="BJ172" s="10" t="s">
        <v>810</v>
      </c>
      <c r="BK172" s="10" t="s">
        <v>828</v>
      </c>
      <c r="BL172" s="10" t="s">
        <v>811</v>
      </c>
      <c r="BM172" s="10" t="s">
        <v>812</v>
      </c>
      <c r="BN172" s="10">
        <v>136</v>
      </c>
      <c r="BO172" s="10" t="s">
        <v>813</v>
      </c>
      <c r="BP172" s="10" t="s">
        <v>807</v>
      </c>
    </row>
    <row r="173" spans="15:68">
      <c r="O173" s="55"/>
      <c r="BH173" s="10" t="s">
        <v>814</v>
      </c>
      <c r="BI173" s="10" t="s">
        <v>411</v>
      </c>
      <c r="BJ173" s="10" t="s">
        <v>815</v>
      </c>
      <c r="BK173" s="10">
        <v>500</v>
      </c>
      <c r="BL173" s="10" t="s">
        <v>816</v>
      </c>
      <c r="BM173" s="10" t="s">
        <v>817</v>
      </c>
      <c r="BN173" s="10" t="s">
        <v>818</v>
      </c>
      <c r="BO173" s="10">
        <v>7.3384000000000005E-2</v>
      </c>
      <c r="BP173" s="10" t="s">
        <v>806</v>
      </c>
    </row>
    <row r="174" spans="15:68">
      <c r="O174" s="55"/>
      <c r="BH174" s="10" t="s">
        <v>808</v>
      </c>
      <c r="BI174" s="10" t="s">
        <v>829</v>
      </c>
      <c r="BJ174" s="10" t="s">
        <v>810</v>
      </c>
      <c r="BK174" s="10" t="s">
        <v>418</v>
      </c>
      <c r="BL174" s="10" t="s">
        <v>811</v>
      </c>
      <c r="BM174" s="10" t="s">
        <v>812</v>
      </c>
      <c r="BN174" s="10">
        <v>144</v>
      </c>
      <c r="BO174" s="10" t="s">
        <v>813</v>
      </c>
      <c r="BP174" s="10" t="s">
        <v>807</v>
      </c>
    </row>
    <row r="175" spans="15:68">
      <c r="O175" s="55"/>
      <c r="BH175" s="10" t="s">
        <v>814</v>
      </c>
      <c r="BI175" s="10" t="s">
        <v>419</v>
      </c>
      <c r="BJ175" s="10" t="s">
        <v>815</v>
      </c>
      <c r="BK175" s="10">
        <v>500</v>
      </c>
      <c r="BL175" s="10" t="s">
        <v>816</v>
      </c>
      <c r="BM175" s="10" t="s">
        <v>817</v>
      </c>
      <c r="BN175" s="10" t="s">
        <v>818</v>
      </c>
      <c r="BO175" s="10">
        <v>6.7030000000000006E-2</v>
      </c>
      <c r="BP175" s="10" t="s">
        <v>806</v>
      </c>
    </row>
    <row r="176" spans="15:68">
      <c r="O176" s="55"/>
      <c r="BH176" s="10" t="s">
        <v>808</v>
      </c>
      <c r="BI176" s="10" t="s">
        <v>420</v>
      </c>
      <c r="BJ176" s="10" t="s">
        <v>810</v>
      </c>
      <c r="BK176" s="10" t="s">
        <v>427</v>
      </c>
      <c r="BL176" s="10" t="s">
        <v>811</v>
      </c>
      <c r="BM176" s="10" t="s">
        <v>812</v>
      </c>
      <c r="BN176" s="10">
        <v>151</v>
      </c>
      <c r="BO176" s="10" t="s">
        <v>813</v>
      </c>
      <c r="BP176" s="10" t="s">
        <v>807</v>
      </c>
    </row>
    <row r="177" spans="15:68">
      <c r="O177" s="55"/>
      <c r="BH177" s="10" t="s">
        <v>814</v>
      </c>
      <c r="BI177" s="10" t="s">
        <v>831</v>
      </c>
      <c r="BJ177" s="10" t="s">
        <v>815</v>
      </c>
      <c r="BK177" s="10">
        <v>500</v>
      </c>
      <c r="BL177" s="10" t="s">
        <v>816</v>
      </c>
      <c r="BM177" s="10" t="s">
        <v>817</v>
      </c>
      <c r="BN177" s="10" t="s">
        <v>818</v>
      </c>
      <c r="BO177" s="10">
        <v>6.4368999999999996E-2</v>
      </c>
      <c r="BP177" s="10" t="s">
        <v>806</v>
      </c>
    </row>
    <row r="178" spans="15:68">
      <c r="O178" s="55"/>
      <c r="BH178" s="10" t="s">
        <v>808</v>
      </c>
      <c r="BI178" s="10" t="s">
        <v>428</v>
      </c>
      <c r="BJ178" s="10" t="s">
        <v>810</v>
      </c>
      <c r="BK178" s="10" t="s">
        <v>428</v>
      </c>
      <c r="BL178" s="10" t="s">
        <v>811</v>
      </c>
      <c r="BM178" s="10" t="s">
        <v>812</v>
      </c>
      <c r="BN178" s="10">
        <v>152</v>
      </c>
      <c r="BO178" s="10" t="s">
        <v>813</v>
      </c>
      <c r="BP178" s="10" t="s">
        <v>807</v>
      </c>
    </row>
    <row r="179" spans="15:68">
      <c r="O179" s="55"/>
      <c r="BH179" s="10" t="s">
        <v>814</v>
      </c>
      <c r="BI179" s="10" t="s">
        <v>429</v>
      </c>
      <c r="BJ179" s="10" t="s">
        <v>815</v>
      </c>
      <c r="BK179" s="10">
        <v>500</v>
      </c>
      <c r="BL179" s="10" t="s">
        <v>816</v>
      </c>
      <c r="BM179" s="10" t="s">
        <v>817</v>
      </c>
      <c r="BN179" s="10" t="s">
        <v>818</v>
      </c>
      <c r="BO179" s="10">
        <v>5.9798999999999998E-2</v>
      </c>
      <c r="BP179" s="10" t="s">
        <v>806</v>
      </c>
    </row>
    <row r="180" spans="15:68">
      <c r="O180" s="55"/>
      <c r="BH180" s="10" t="s">
        <v>814</v>
      </c>
      <c r="BI180" s="10" t="s">
        <v>430</v>
      </c>
      <c r="BJ180" s="10" t="s">
        <v>815</v>
      </c>
      <c r="BK180" s="10">
        <v>500</v>
      </c>
      <c r="BL180" s="10" t="s">
        <v>816</v>
      </c>
      <c r="BM180" s="10" t="s">
        <v>817</v>
      </c>
      <c r="BN180" s="10" t="s">
        <v>818</v>
      </c>
      <c r="BO180" s="10">
        <v>6.1778E-2</v>
      </c>
      <c r="BP180" s="10" t="s">
        <v>806</v>
      </c>
    </row>
    <row r="181" spans="15:68">
      <c r="O181" s="55"/>
      <c r="BH181" s="10" t="s">
        <v>808</v>
      </c>
      <c r="BI181" s="10" t="s">
        <v>431</v>
      </c>
      <c r="BJ181" s="10" t="s">
        <v>810</v>
      </c>
      <c r="BK181" s="10" t="s">
        <v>832</v>
      </c>
      <c r="BL181" s="10" t="s">
        <v>811</v>
      </c>
      <c r="BM181" s="10" t="s">
        <v>812</v>
      </c>
      <c r="BN181" s="10">
        <v>155</v>
      </c>
      <c r="BO181" s="10" t="s">
        <v>813</v>
      </c>
      <c r="BP181" s="10" t="s">
        <v>807</v>
      </c>
    </row>
    <row r="182" spans="15:68">
      <c r="O182" s="55"/>
      <c r="BH182" s="10" t="s">
        <v>814</v>
      </c>
      <c r="BI182" s="10" t="s">
        <v>433</v>
      </c>
      <c r="BJ182" s="10" t="s">
        <v>815</v>
      </c>
      <c r="BK182" s="10">
        <v>500</v>
      </c>
      <c r="BL182" s="10" t="s">
        <v>816</v>
      </c>
      <c r="BM182" s="10" t="s">
        <v>817</v>
      </c>
      <c r="BN182" s="10" t="s">
        <v>818</v>
      </c>
      <c r="BO182" s="10">
        <v>5.8867999999999997E-2</v>
      </c>
      <c r="BP182" s="10" t="s">
        <v>806</v>
      </c>
    </row>
    <row r="183" spans="15:68">
      <c r="O183" s="55"/>
      <c r="BH183" s="10" t="s">
        <v>814</v>
      </c>
      <c r="BI183" s="10" t="s">
        <v>434</v>
      </c>
      <c r="BJ183" s="10" t="s">
        <v>815</v>
      </c>
      <c r="BK183" s="10">
        <v>500</v>
      </c>
      <c r="BL183" s="10" t="s">
        <v>816</v>
      </c>
      <c r="BM183" s="10" t="s">
        <v>817</v>
      </c>
      <c r="BN183" s="10" t="s">
        <v>818</v>
      </c>
      <c r="BO183" s="10">
        <v>5.8895999999999997E-2</v>
      </c>
      <c r="BP183" s="10" t="s">
        <v>806</v>
      </c>
    </row>
    <row r="184" spans="15:68">
      <c r="O184" s="55"/>
      <c r="BH184" s="10" t="s">
        <v>808</v>
      </c>
      <c r="BI184" s="10" t="s">
        <v>435</v>
      </c>
      <c r="BJ184" s="10" t="s">
        <v>810</v>
      </c>
      <c r="BK184" s="10" t="s">
        <v>436</v>
      </c>
      <c r="BL184" s="10" t="s">
        <v>811</v>
      </c>
      <c r="BM184" s="10" t="s">
        <v>812</v>
      </c>
      <c r="BN184" s="10">
        <v>157</v>
      </c>
      <c r="BO184" s="10" t="s">
        <v>813</v>
      </c>
      <c r="BP184" s="10" t="s">
        <v>807</v>
      </c>
    </row>
    <row r="185" spans="15:68">
      <c r="O185" s="55"/>
      <c r="BH185" s="10" t="s">
        <v>814</v>
      </c>
      <c r="BI185" s="10" t="s">
        <v>833</v>
      </c>
      <c r="BJ185" s="10" t="s">
        <v>815</v>
      </c>
      <c r="BK185" s="10">
        <v>500</v>
      </c>
      <c r="BL185" s="10" t="s">
        <v>816</v>
      </c>
      <c r="BM185" s="10" t="s">
        <v>817</v>
      </c>
      <c r="BN185" s="10" t="s">
        <v>818</v>
      </c>
      <c r="BO185" s="10">
        <v>6.0696E-2</v>
      </c>
      <c r="BP185" s="10" t="s">
        <v>806</v>
      </c>
    </row>
    <row r="186" spans="15:68">
      <c r="O186" s="55"/>
      <c r="BH186" s="10" t="s">
        <v>814</v>
      </c>
      <c r="BI186" s="10" t="s">
        <v>438</v>
      </c>
      <c r="BJ186" s="10" t="s">
        <v>815</v>
      </c>
      <c r="BK186" s="10">
        <v>500</v>
      </c>
      <c r="BL186" s="10" t="s">
        <v>816</v>
      </c>
      <c r="BM186" s="10" t="s">
        <v>817</v>
      </c>
      <c r="BN186" s="10" t="s">
        <v>818</v>
      </c>
      <c r="BO186" s="10">
        <v>6.2627000000000002E-2</v>
      </c>
      <c r="BP186" s="10" t="s">
        <v>806</v>
      </c>
    </row>
    <row r="187" spans="15:68">
      <c r="O187" s="55"/>
      <c r="BH187" s="10" t="s">
        <v>814</v>
      </c>
      <c r="BI187" s="10" t="s">
        <v>834</v>
      </c>
      <c r="BJ187" s="10" t="s">
        <v>815</v>
      </c>
      <c r="BK187" s="10">
        <v>500</v>
      </c>
      <c r="BL187" s="10" t="s">
        <v>816</v>
      </c>
      <c r="BM187" s="10" t="s">
        <v>817</v>
      </c>
      <c r="BN187" s="10" t="s">
        <v>818</v>
      </c>
      <c r="BO187" s="10">
        <v>7.0572999999999997E-2</v>
      </c>
      <c r="BP187" s="10" t="s">
        <v>806</v>
      </c>
    </row>
    <row r="188" spans="15:68">
      <c r="O188" s="55"/>
      <c r="BH188" s="10" t="s">
        <v>808</v>
      </c>
      <c r="BI188" s="10" t="s">
        <v>439</v>
      </c>
      <c r="BJ188" s="10" t="s">
        <v>810</v>
      </c>
      <c r="BK188" s="10" t="s">
        <v>440</v>
      </c>
      <c r="BL188" s="10" t="s">
        <v>811</v>
      </c>
      <c r="BM188" s="10" t="s">
        <v>812</v>
      </c>
      <c r="BN188" s="10">
        <v>159</v>
      </c>
      <c r="BO188" s="10" t="s">
        <v>813</v>
      </c>
      <c r="BP188" s="10" t="s">
        <v>807</v>
      </c>
    </row>
    <row r="189" spans="15:68">
      <c r="O189" s="55"/>
      <c r="BH189" s="10" t="s">
        <v>814</v>
      </c>
      <c r="BI189" s="10" t="s">
        <v>835</v>
      </c>
      <c r="BJ189" s="10" t="s">
        <v>815</v>
      </c>
      <c r="BK189" s="10">
        <v>500</v>
      </c>
      <c r="BL189" s="10" t="s">
        <v>816</v>
      </c>
      <c r="BM189" s="10" t="s">
        <v>817</v>
      </c>
      <c r="BN189" s="10" t="s">
        <v>818</v>
      </c>
      <c r="BO189" s="10">
        <v>6.7802000000000001E-2</v>
      </c>
      <c r="BP189" s="10" t="s">
        <v>806</v>
      </c>
    </row>
    <row r="190" spans="15:68">
      <c r="O190" s="55"/>
      <c r="BH190" s="10" t="s">
        <v>808</v>
      </c>
      <c r="BI190" s="10" t="s">
        <v>836</v>
      </c>
      <c r="BJ190" s="10" t="s">
        <v>810</v>
      </c>
      <c r="BK190" s="10" t="s">
        <v>836</v>
      </c>
      <c r="BL190" s="10" t="s">
        <v>811</v>
      </c>
      <c r="BM190" s="10" t="s">
        <v>812</v>
      </c>
      <c r="BN190" s="10">
        <v>160</v>
      </c>
      <c r="BO190" s="10" t="s">
        <v>813</v>
      </c>
      <c r="BP190" s="10" t="s">
        <v>807</v>
      </c>
    </row>
    <row r="191" spans="15:68">
      <c r="O191" s="55"/>
      <c r="BH191" s="10" t="s">
        <v>814</v>
      </c>
      <c r="BI191" s="10" t="s">
        <v>441</v>
      </c>
      <c r="BJ191" s="10" t="s">
        <v>815</v>
      </c>
      <c r="BK191" s="10">
        <v>500</v>
      </c>
      <c r="BL191" s="10" t="s">
        <v>816</v>
      </c>
      <c r="BM191" s="10" t="s">
        <v>817</v>
      </c>
      <c r="BN191" s="10" t="s">
        <v>818</v>
      </c>
      <c r="BO191" s="10">
        <v>7.0505999999999999E-2</v>
      </c>
      <c r="BP191" s="10" t="s">
        <v>806</v>
      </c>
    </row>
    <row r="192" spans="15:68">
      <c r="O192" s="55"/>
      <c r="BH192" s="10" t="s">
        <v>814</v>
      </c>
      <c r="BI192" s="10" t="s">
        <v>442</v>
      </c>
      <c r="BJ192" s="10" t="s">
        <v>815</v>
      </c>
      <c r="BK192" s="10">
        <v>500</v>
      </c>
      <c r="BL192" s="10" t="s">
        <v>816</v>
      </c>
      <c r="BM192" s="10" t="s">
        <v>817</v>
      </c>
      <c r="BN192" s="10" t="s">
        <v>818</v>
      </c>
      <c r="BO192" s="10">
        <v>5.9920000000000001E-2</v>
      </c>
      <c r="BP192" s="10" t="s">
        <v>806</v>
      </c>
    </row>
    <row r="193" spans="15:68">
      <c r="O193" s="55"/>
      <c r="BH193" s="10" t="s">
        <v>814</v>
      </c>
      <c r="BI193" s="10" t="s">
        <v>444</v>
      </c>
      <c r="BJ193" s="10" t="s">
        <v>815</v>
      </c>
      <c r="BK193" s="10">
        <v>500</v>
      </c>
      <c r="BL193" s="10" t="s">
        <v>816</v>
      </c>
      <c r="BM193" s="10" t="s">
        <v>817</v>
      </c>
      <c r="BN193" s="10" t="s">
        <v>818</v>
      </c>
      <c r="BO193" s="10">
        <v>6.6650000000000001E-2</v>
      </c>
      <c r="BP193" s="10" t="s">
        <v>806</v>
      </c>
    </row>
    <row r="194" spans="15:68">
      <c r="O194" s="55"/>
      <c r="BH194" s="10" t="s">
        <v>808</v>
      </c>
      <c r="BI194" s="10" t="s">
        <v>445</v>
      </c>
      <c r="BJ194" s="10" t="s">
        <v>810</v>
      </c>
      <c r="BK194" s="10" t="s">
        <v>445</v>
      </c>
      <c r="BL194" s="10" t="s">
        <v>811</v>
      </c>
      <c r="BM194" s="10" t="s">
        <v>812</v>
      </c>
      <c r="BN194" s="10">
        <v>161</v>
      </c>
      <c r="BO194" s="10" t="s">
        <v>813</v>
      </c>
      <c r="BP194" s="10" t="s">
        <v>807</v>
      </c>
    </row>
    <row r="195" spans="15:68">
      <c r="O195" s="55"/>
      <c r="BH195" s="10" t="s">
        <v>814</v>
      </c>
      <c r="BI195" s="10" t="s">
        <v>446</v>
      </c>
      <c r="BJ195" s="10" t="s">
        <v>815</v>
      </c>
      <c r="BK195" s="10">
        <v>500</v>
      </c>
      <c r="BL195" s="10" t="s">
        <v>816</v>
      </c>
      <c r="BM195" s="10" t="s">
        <v>817</v>
      </c>
      <c r="BN195" s="10" t="s">
        <v>818</v>
      </c>
      <c r="BO195" s="10">
        <v>7.2326000000000001E-2</v>
      </c>
      <c r="BP195" s="10" t="s">
        <v>806</v>
      </c>
    </row>
    <row r="196" spans="15:68">
      <c r="O196" s="55"/>
      <c r="BH196" s="10" t="s">
        <v>814</v>
      </c>
      <c r="BI196" s="10" t="s">
        <v>447</v>
      </c>
      <c r="BJ196" s="10" t="s">
        <v>815</v>
      </c>
      <c r="BK196" s="10">
        <v>500</v>
      </c>
      <c r="BL196" s="10" t="s">
        <v>816</v>
      </c>
      <c r="BM196" s="10" t="s">
        <v>817</v>
      </c>
      <c r="BN196" s="10" t="s">
        <v>818</v>
      </c>
      <c r="BO196" s="10">
        <v>6.6197000000000006E-2</v>
      </c>
      <c r="BP196" s="10" t="s">
        <v>806</v>
      </c>
    </row>
    <row r="197" spans="15:68">
      <c r="O197" s="55"/>
      <c r="BH197" s="10" t="s">
        <v>814</v>
      </c>
      <c r="BI197" s="10" t="s">
        <v>448</v>
      </c>
      <c r="BJ197" s="10" t="s">
        <v>815</v>
      </c>
      <c r="BK197" s="10">
        <v>500</v>
      </c>
      <c r="BL197" s="10" t="s">
        <v>816</v>
      </c>
      <c r="BM197" s="10" t="s">
        <v>817</v>
      </c>
      <c r="BN197" s="10" t="s">
        <v>818</v>
      </c>
      <c r="BO197" s="10">
        <v>7.5413999999999995E-2</v>
      </c>
      <c r="BP197" s="10" t="s">
        <v>806</v>
      </c>
    </row>
    <row r="198" spans="15:68">
      <c r="O198" s="55"/>
      <c r="BH198" s="10" t="s">
        <v>808</v>
      </c>
      <c r="BI198" s="10" t="s">
        <v>449</v>
      </c>
      <c r="BJ198" s="10" t="s">
        <v>810</v>
      </c>
      <c r="BK198" s="10" t="s">
        <v>449</v>
      </c>
      <c r="BL198" s="10" t="s">
        <v>811</v>
      </c>
      <c r="BM198" s="10" t="s">
        <v>812</v>
      </c>
      <c r="BN198" s="10">
        <v>162</v>
      </c>
      <c r="BO198" s="10" t="s">
        <v>813</v>
      </c>
      <c r="BP198" s="10" t="s">
        <v>807</v>
      </c>
    </row>
    <row r="199" spans="15:68">
      <c r="O199" s="55"/>
      <c r="BH199" s="10" t="s">
        <v>814</v>
      </c>
      <c r="BI199" s="10" t="s">
        <v>450</v>
      </c>
      <c r="BJ199" s="10" t="s">
        <v>815</v>
      </c>
      <c r="BK199" s="10">
        <v>500</v>
      </c>
      <c r="BL199" s="10" t="s">
        <v>816</v>
      </c>
      <c r="BM199" s="10" t="s">
        <v>817</v>
      </c>
      <c r="BN199" s="10" t="s">
        <v>818</v>
      </c>
      <c r="BO199" s="10">
        <v>7.3700000000000002E-2</v>
      </c>
      <c r="BP199" s="10" t="s">
        <v>806</v>
      </c>
    </row>
    <row r="200" spans="15:68">
      <c r="O200" s="55"/>
      <c r="BH200" s="10" t="s">
        <v>808</v>
      </c>
      <c r="BI200" s="10" t="s">
        <v>451</v>
      </c>
      <c r="BJ200" s="10" t="s">
        <v>810</v>
      </c>
      <c r="BK200" s="10" t="s">
        <v>455</v>
      </c>
      <c r="BL200" s="10" t="s">
        <v>811</v>
      </c>
      <c r="BM200" s="10" t="s">
        <v>812</v>
      </c>
      <c r="BN200" s="10">
        <v>168</v>
      </c>
      <c r="BO200" s="10" t="s">
        <v>813</v>
      </c>
      <c r="BP200" s="10" t="s">
        <v>807</v>
      </c>
    </row>
    <row r="201" spans="15:68">
      <c r="O201" s="55"/>
      <c r="BH201" s="10" t="s">
        <v>814</v>
      </c>
      <c r="BI201" s="10" t="s">
        <v>456</v>
      </c>
      <c r="BJ201" s="10" t="s">
        <v>815</v>
      </c>
      <c r="BK201" s="10">
        <v>500</v>
      </c>
      <c r="BL201" s="10" t="s">
        <v>816</v>
      </c>
      <c r="BM201" s="10" t="s">
        <v>817</v>
      </c>
      <c r="BN201" s="10" t="s">
        <v>818</v>
      </c>
      <c r="BO201" s="10">
        <v>7.1445999999999996E-2</v>
      </c>
      <c r="BP201" s="10" t="s">
        <v>806</v>
      </c>
    </row>
    <row r="202" spans="15:68">
      <c r="O202" s="55"/>
      <c r="BH202" s="10" t="s">
        <v>814</v>
      </c>
      <c r="BI202" s="10" t="s">
        <v>458</v>
      </c>
      <c r="BJ202" s="10" t="s">
        <v>815</v>
      </c>
      <c r="BK202" s="10">
        <v>500</v>
      </c>
      <c r="BL202" s="10" t="s">
        <v>816</v>
      </c>
      <c r="BM202" s="10" t="s">
        <v>817</v>
      </c>
      <c r="BN202" s="10" t="s">
        <v>818</v>
      </c>
      <c r="BO202" s="10">
        <v>6.7846000000000004E-2</v>
      </c>
      <c r="BP202" s="10" t="s">
        <v>806</v>
      </c>
    </row>
    <row r="203" spans="15:68">
      <c r="O203" s="55"/>
      <c r="BH203" s="10" t="s">
        <v>814</v>
      </c>
      <c r="BI203" s="10" t="s">
        <v>459</v>
      </c>
      <c r="BJ203" s="10" t="s">
        <v>815</v>
      </c>
      <c r="BK203" s="10">
        <v>500</v>
      </c>
      <c r="BL203" s="10" t="s">
        <v>816</v>
      </c>
      <c r="BM203" s="10" t="s">
        <v>817</v>
      </c>
      <c r="BN203" s="10" t="s">
        <v>818</v>
      </c>
      <c r="BO203" s="10">
        <v>6.4439999999999997E-2</v>
      </c>
      <c r="BP203" s="10" t="s">
        <v>806</v>
      </c>
    </row>
    <row r="204" spans="15:68">
      <c r="O204" s="55"/>
      <c r="BH204" s="10" t="s">
        <v>814</v>
      </c>
      <c r="BI204" s="10" t="s">
        <v>460</v>
      </c>
      <c r="BJ204" s="10" t="s">
        <v>815</v>
      </c>
      <c r="BK204" s="10">
        <v>500</v>
      </c>
      <c r="BL204" s="10" t="s">
        <v>816</v>
      </c>
      <c r="BM204" s="10" t="s">
        <v>817</v>
      </c>
      <c r="BN204" s="10" t="s">
        <v>818</v>
      </c>
      <c r="BO204" s="10">
        <v>6.9626999999999994E-2</v>
      </c>
      <c r="BP204" s="10" t="s">
        <v>806</v>
      </c>
    </row>
    <row r="205" spans="15:68">
      <c r="O205" s="55"/>
      <c r="BH205" s="10" t="s">
        <v>808</v>
      </c>
      <c r="BI205" s="10" t="s">
        <v>461</v>
      </c>
      <c r="BJ205" s="10" t="s">
        <v>810</v>
      </c>
      <c r="BK205" s="10" t="s">
        <v>463</v>
      </c>
      <c r="BL205" s="10" t="s">
        <v>811</v>
      </c>
      <c r="BM205" s="10" t="s">
        <v>812</v>
      </c>
      <c r="BN205" s="10">
        <v>171</v>
      </c>
      <c r="BO205" s="10" t="s">
        <v>813</v>
      </c>
      <c r="BP205" s="10" t="s">
        <v>807</v>
      </c>
    </row>
    <row r="206" spans="15:68">
      <c r="O206" s="55"/>
      <c r="BH206" s="10" t="s">
        <v>814</v>
      </c>
      <c r="BI206" s="10" t="s">
        <v>464</v>
      </c>
      <c r="BJ206" s="10" t="s">
        <v>815</v>
      </c>
      <c r="BK206" s="10">
        <v>500</v>
      </c>
      <c r="BL206" s="10" t="s">
        <v>816</v>
      </c>
      <c r="BM206" s="10" t="s">
        <v>817</v>
      </c>
      <c r="BN206" s="10" t="s">
        <v>818</v>
      </c>
      <c r="BO206" s="10">
        <v>6.7962999999999996E-2</v>
      </c>
      <c r="BP206" s="10" t="s">
        <v>806</v>
      </c>
    </row>
    <row r="207" spans="15:68">
      <c r="O207" s="55"/>
      <c r="BH207" s="10" t="s">
        <v>808</v>
      </c>
      <c r="BI207" s="10" t="s">
        <v>465</v>
      </c>
      <c r="BJ207" s="10" t="s">
        <v>810</v>
      </c>
      <c r="BK207" s="10" t="s">
        <v>466</v>
      </c>
      <c r="BL207" s="10" t="s">
        <v>811</v>
      </c>
      <c r="BM207" s="10" t="s">
        <v>812</v>
      </c>
      <c r="BN207" s="10">
        <v>173</v>
      </c>
      <c r="BO207" s="10" t="s">
        <v>813</v>
      </c>
      <c r="BP207" s="10" t="s">
        <v>807</v>
      </c>
    </row>
    <row r="208" spans="15:68">
      <c r="O208" s="55"/>
      <c r="BH208" s="10" t="s">
        <v>814</v>
      </c>
      <c r="BI208" s="10" t="s">
        <v>467</v>
      </c>
      <c r="BJ208" s="10" t="s">
        <v>815</v>
      </c>
      <c r="BK208" s="10">
        <v>500</v>
      </c>
      <c r="BL208" s="10" t="s">
        <v>816</v>
      </c>
      <c r="BM208" s="10" t="s">
        <v>817</v>
      </c>
      <c r="BN208" s="10" t="s">
        <v>818</v>
      </c>
      <c r="BO208" s="10">
        <v>6.9657999999999998E-2</v>
      </c>
      <c r="BP208" s="10" t="s">
        <v>806</v>
      </c>
    </row>
    <row r="209" spans="15:68">
      <c r="O209" s="55"/>
      <c r="BH209" s="10" t="s">
        <v>808</v>
      </c>
      <c r="BI209" s="10" t="s">
        <v>468</v>
      </c>
      <c r="BJ209" s="10" t="s">
        <v>810</v>
      </c>
      <c r="BK209" s="10" t="s">
        <v>468</v>
      </c>
      <c r="BL209" s="10" t="s">
        <v>811</v>
      </c>
      <c r="BM209" s="10" t="s">
        <v>812</v>
      </c>
      <c r="BN209" s="10">
        <v>174</v>
      </c>
      <c r="BO209" s="10" t="s">
        <v>813</v>
      </c>
      <c r="BP209" s="10" t="s">
        <v>807</v>
      </c>
    </row>
    <row r="210" spans="15:68">
      <c r="O210" s="55"/>
      <c r="BH210" s="10" t="s">
        <v>814</v>
      </c>
      <c r="BI210" s="10" t="s">
        <v>469</v>
      </c>
      <c r="BJ210" s="10" t="s">
        <v>815</v>
      </c>
      <c r="BK210" s="10">
        <v>500</v>
      </c>
      <c r="BL210" s="10" t="s">
        <v>816</v>
      </c>
      <c r="BM210" s="10" t="s">
        <v>817</v>
      </c>
      <c r="BN210" s="10" t="s">
        <v>818</v>
      </c>
      <c r="BO210" s="10">
        <v>6.0838999999999997E-2</v>
      </c>
      <c r="BP210" s="10" t="s">
        <v>806</v>
      </c>
    </row>
    <row r="211" spans="15:68">
      <c r="O211" s="55"/>
      <c r="BH211" s="10" t="s">
        <v>808</v>
      </c>
      <c r="BI211" s="10" t="s">
        <v>470</v>
      </c>
      <c r="BJ211" s="10" t="s">
        <v>810</v>
      </c>
      <c r="BK211" s="10" t="s">
        <v>476</v>
      </c>
      <c r="BL211" s="10" t="s">
        <v>811</v>
      </c>
      <c r="BM211" s="10" t="s">
        <v>812</v>
      </c>
      <c r="BN211" s="10">
        <v>181</v>
      </c>
      <c r="BO211" s="10" t="s">
        <v>813</v>
      </c>
      <c r="BP211" s="10" t="s">
        <v>807</v>
      </c>
    </row>
    <row r="212" spans="15:68">
      <c r="O212" s="55"/>
      <c r="BH212" s="10" t="s">
        <v>814</v>
      </c>
      <c r="BI212" s="10" t="s">
        <v>477</v>
      </c>
      <c r="BJ212" s="10" t="s">
        <v>815</v>
      </c>
      <c r="BK212" s="10">
        <v>500</v>
      </c>
      <c r="BL212" s="10" t="s">
        <v>816</v>
      </c>
      <c r="BM212" s="10" t="s">
        <v>817</v>
      </c>
      <c r="BN212" s="10" t="s">
        <v>818</v>
      </c>
      <c r="BO212" s="10">
        <v>6.6977999999999996E-2</v>
      </c>
      <c r="BP212" s="10" t="s">
        <v>806</v>
      </c>
    </row>
    <row r="213" spans="15:68">
      <c r="O213" s="55"/>
      <c r="BH213" s="10" t="s">
        <v>814</v>
      </c>
      <c r="BI213" s="10" t="s">
        <v>478</v>
      </c>
      <c r="BJ213" s="10" t="s">
        <v>815</v>
      </c>
      <c r="BK213" s="10">
        <v>500</v>
      </c>
      <c r="BL213" s="10" t="s">
        <v>816</v>
      </c>
      <c r="BM213" s="10" t="s">
        <v>817</v>
      </c>
      <c r="BN213" s="10" t="s">
        <v>818</v>
      </c>
      <c r="BO213" s="10">
        <v>6.8082000000000004E-2</v>
      </c>
      <c r="BP213" s="10" t="s">
        <v>806</v>
      </c>
    </row>
    <row r="214" spans="15:68">
      <c r="O214" s="55"/>
      <c r="BH214" s="10" t="s">
        <v>808</v>
      </c>
      <c r="BI214" s="10" t="s">
        <v>479</v>
      </c>
      <c r="BJ214" s="10" t="s">
        <v>810</v>
      </c>
      <c r="BK214" s="10" t="s">
        <v>480</v>
      </c>
      <c r="BL214" s="10" t="s">
        <v>811</v>
      </c>
      <c r="BM214" s="10" t="s">
        <v>812</v>
      </c>
      <c r="BN214" s="10">
        <v>183</v>
      </c>
      <c r="BO214" s="10" t="s">
        <v>813</v>
      </c>
      <c r="BP214" s="10" t="s">
        <v>807</v>
      </c>
    </row>
    <row r="215" spans="15:68">
      <c r="O215" s="55"/>
      <c r="BH215" s="10" t="s">
        <v>814</v>
      </c>
      <c r="BI215" s="10" t="s">
        <v>481</v>
      </c>
      <c r="BJ215" s="10" t="s">
        <v>815</v>
      </c>
      <c r="BK215" s="10">
        <v>500</v>
      </c>
      <c r="BL215" s="10" t="s">
        <v>816</v>
      </c>
      <c r="BM215" s="10" t="s">
        <v>817</v>
      </c>
      <c r="BN215" s="10" t="s">
        <v>818</v>
      </c>
      <c r="BO215" s="10">
        <v>6.7990999999999996E-2</v>
      </c>
      <c r="BP215" s="10" t="s">
        <v>806</v>
      </c>
    </row>
    <row r="216" spans="15:68">
      <c r="O216" s="55"/>
    </row>
    <row r="217" spans="15:68">
      <c r="O217" s="55"/>
    </row>
    <row r="218" spans="15:68">
      <c r="O218" s="55"/>
    </row>
    <row r="219" spans="15:68">
      <c r="O219" s="55"/>
    </row>
    <row r="220" spans="15:68">
      <c r="O220" s="55"/>
    </row>
    <row r="221" spans="15:68">
      <c r="O221" s="55"/>
    </row>
    <row r="222" spans="15:68">
      <c r="O222" s="55"/>
    </row>
    <row r="223" spans="15:68">
      <c r="O223" s="55"/>
    </row>
    <row r="224" spans="15:68">
      <c r="O224" s="55"/>
    </row>
    <row r="225" spans="15:15">
      <c r="O225" s="55"/>
    </row>
    <row r="226" spans="15:15">
      <c r="O226" s="55"/>
    </row>
    <row r="227" spans="15:15">
      <c r="O227" s="55"/>
    </row>
    <row r="228" spans="15:15">
      <c r="O228" s="55"/>
    </row>
    <row r="229" spans="15:15">
      <c r="O229" s="55"/>
    </row>
    <row r="230" spans="15:15">
      <c r="O230" s="55"/>
    </row>
    <row r="231" spans="15:15">
      <c r="O231" s="55"/>
    </row>
    <row r="232" spans="15:15">
      <c r="O232" s="55"/>
    </row>
    <row r="233" spans="15:15">
      <c r="O233" s="55"/>
    </row>
    <row r="234" spans="15:15">
      <c r="O234" s="55"/>
    </row>
    <row r="235" spans="15:15">
      <c r="O235" s="55"/>
    </row>
    <row r="236" spans="15:15">
      <c r="O236" s="55"/>
    </row>
    <row r="237" spans="15:15">
      <c r="O237" s="55"/>
    </row>
    <row r="238" spans="15:15">
      <c r="O238" s="55"/>
    </row>
    <row r="239" spans="15:15">
      <c r="O239" s="55"/>
    </row>
    <row r="240" spans="15:15">
      <c r="O240" s="55"/>
    </row>
    <row r="241" spans="15:15">
      <c r="O241" s="55"/>
    </row>
    <row r="242" spans="15:15">
      <c r="O242" s="55"/>
    </row>
    <row r="243" spans="15:15">
      <c r="O243" s="55"/>
    </row>
    <row r="244" spans="15:15">
      <c r="O244" s="55"/>
    </row>
    <row r="245" spans="15:15">
      <c r="O245" s="55"/>
    </row>
    <row r="246" spans="15:15">
      <c r="O246" s="55"/>
    </row>
    <row r="247" spans="15:15">
      <c r="O247" s="55"/>
    </row>
    <row r="248" spans="15:15">
      <c r="O248" s="55"/>
    </row>
    <row r="249" spans="15:15">
      <c r="O249" s="55"/>
    </row>
    <row r="250" spans="15:15">
      <c r="O250" s="55"/>
    </row>
    <row r="251" spans="15:15">
      <c r="O251" s="55"/>
    </row>
    <row r="252" spans="15:15">
      <c r="O252" s="55"/>
    </row>
    <row r="253" spans="15:15">
      <c r="O253" s="55"/>
    </row>
    <row r="254" spans="15:15">
      <c r="O254" s="55"/>
    </row>
    <row r="255" spans="15:15">
      <c r="O255" s="55"/>
    </row>
    <row r="256" spans="15:15">
      <c r="O256" s="55"/>
    </row>
    <row r="257" spans="15:15">
      <c r="O257" s="55"/>
    </row>
    <row r="258" spans="15:15">
      <c r="O258" s="55"/>
    </row>
    <row r="259" spans="15:15">
      <c r="O259" s="55"/>
    </row>
    <row r="260" spans="15:15">
      <c r="O260" s="55"/>
    </row>
    <row r="261" spans="15:15">
      <c r="O261" s="55"/>
    </row>
    <row r="262" spans="15:15">
      <c r="O262" s="55"/>
    </row>
    <row r="263" spans="15:15">
      <c r="O263" s="55"/>
    </row>
    <row r="264" spans="15:15">
      <c r="O264" s="55"/>
    </row>
    <row r="265" spans="15:15">
      <c r="O265" s="55"/>
    </row>
    <row r="266" spans="15:15">
      <c r="O266" s="55"/>
    </row>
    <row r="267" spans="15:15">
      <c r="O267" s="55"/>
    </row>
    <row r="268" spans="15:15">
      <c r="O268" s="55"/>
    </row>
    <row r="269" spans="15:15">
      <c r="O269" s="55"/>
    </row>
    <row r="270" spans="15:15">
      <c r="O270" s="55"/>
    </row>
    <row r="271" spans="15:15">
      <c r="O271" s="55"/>
    </row>
    <row r="272" spans="15:15">
      <c r="O272" s="55"/>
    </row>
    <row r="273" spans="15:15">
      <c r="O273" s="55"/>
    </row>
    <row r="274" spans="15:15">
      <c r="O274" s="55"/>
    </row>
    <row r="275" spans="15:15">
      <c r="O275" s="55"/>
    </row>
    <row r="276" spans="15:15">
      <c r="O276" s="55"/>
    </row>
    <row r="277" spans="15:15">
      <c r="O277" s="55"/>
    </row>
    <row r="278" spans="15:15">
      <c r="O278" s="55"/>
    </row>
    <row r="279" spans="15:15">
      <c r="O279" s="55"/>
    </row>
    <row r="280" spans="15:15">
      <c r="O280" s="55"/>
    </row>
    <row r="281" spans="15:15">
      <c r="O281" s="55"/>
    </row>
    <row r="282" spans="15:15">
      <c r="O282" s="55"/>
    </row>
    <row r="283" spans="15:15">
      <c r="O283" s="55"/>
    </row>
    <row r="284" spans="15:15">
      <c r="O284" s="55"/>
    </row>
    <row r="285" spans="15:15">
      <c r="O285" s="55"/>
    </row>
    <row r="286" spans="15:15">
      <c r="O286" s="55"/>
    </row>
    <row r="287" spans="15:15">
      <c r="O287" s="55"/>
    </row>
    <row r="288" spans="15:15">
      <c r="O288" s="55"/>
    </row>
    <row r="289" spans="15:15">
      <c r="O289" s="55"/>
    </row>
    <row r="290" spans="15:15">
      <c r="O290" s="55"/>
    </row>
    <row r="291" spans="15:15">
      <c r="O291" s="55"/>
    </row>
    <row r="292" spans="15:15">
      <c r="O292" s="55"/>
    </row>
    <row r="293" spans="15:15">
      <c r="O293" s="55"/>
    </row>
  </sheetData>
  <mergeCells count="6">
    <mergeCell ref="CH1:DA1"/>
    <mergeCell ref="BG35:BJ35"/>
    <mergeCell ref="BH1:BK1"/>
    <mergeCell ref="A1:M1"/>
    <mergeCell ref="T1:AJ1"/>
    <mergeCell ref="BM1:CG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EO209"/>
  <sheetViews>
    <sheetView zoomScaleNormal="100" workbookViewId="0">
      <selection activeCell="G33" sqref="G33"/>
    </sheetView>
  </sheetViews>
  <sheetFormatPr defaultColWidth="15.7109375" defaultRowHeight="15"/>
  <cols>
    <col min="1" max="1" width="5.140625" style="5" customWidth="1"/>
    <col min="2" max="81" width="15.7109375" style="5"/>
    <col min="82" max="82" width="17.28515625" style="5" customWidth="1"/>
    <col min="83" max="16384" width="15.7109375" style="5"/>
  </cols>
  <sheetData>
    <row r="1" spans="1:145" s="59" customFormat="1" ht="30.75" customHeight="1">
      <c r="A1" s="80" t="s">
        <v>1507</v>
      </c>
      <c r="B1" s="80"/>
      <c r="C1" s="80"/>
      <c r="D1" s="80"/>
      <c r="E1" s="80"/>
      <c r="F1" s="80"/>
      <c r="G1" s="80"/>
      <c r="H1" s="80"/>
      <c r="I1" s="80"/>
      <c r="J1" s="80"/>
      <c r="K1" s="80"/>
      <c r="L1" s="80"/>
      <c r="M1" s="80"/>
      <c r="N1" s="5"/>
      <c r="O1" s="5"/>
      <c r="P1" s="5"/>
      <c r="Q1" s="5"/>
      <c r="R1" s="5"/>
      <c r="S1" s="5"/>
      <c r="T1" s="81" t="s">
        <v>144</v>
      </c>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B1" s="83" t="s">
        <v>505</v>
      </c>
      <c r="CC1" s="83"/>
      <c r="CD1" s="83"/>
      <c r="CE1" s="83"/>
      <c r="CG1" s="81" t="s">
        <v>517</v>
      </c>
      <c r="CH1" s="82"/>
      <c r="CI1" s="82"/>
      <c r="CJ1" s="82"/>
      <c r="CK1" s="82"/>
      <c r="CL1" s="82"/>
      <c r="CM1" s="82"/>
      <c r="CN1" s="82"/>
      <c r="CO1" s="82"/>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row>
    <row r="2" spans="1:145" s="59" customFormat="1" ht="30">
      <c r="A2" s="6" t="s">
        <v>135</v>
      </c>
      <c r="B2" s="7" t="s">
        <v>137</v>
      </c>
      <c r="C2" s="7" t="s">
        <v>151</v>
      </c>
      <c r="D2" s="6" t="s">
        <v>136</v>
      </c>
      <c r="E2" s="7" t="s">
        <v>138</v>
      </c>
      <c r="F2" s="6" t="s">
        <v>139</v>
      </c>
      <c r="G2" s="6" t="s">
        <v>158</v>
      </c>
      <c r="H2" s="7" t="s">
        <v>154</v>
      </c>
      <c r="I2" s="6" t="s">
        <v>153</v>
      </c>
      <c r="J2" s="6" t="s">
        <v>155</v>
      </c>
      <c r="K2" s="7" t="s">
        <v>156</v>
      </c>
      <c r="L2" s="6" t="s">
        <v>157</v>
      </c>
      <c r="M2" s="6" t="s">
        <v>159</v>
      </c>
      <c r="N2" s="7" t="s">
        <v>882</v>
      </c>
      <c r="O2" s="7" t="s">
        <v>152</v>
      </c>
      <c r="P2" s="7" t="s">
        <v>160</v>
      </c>
      <c r="Q2" s="7" t="s">
        <v>161</v>
      </c>
      <c r="R2" s="7" t="s">
        <v>162</v>
      </c>
      <c r="S2" s="21"/>
      <c r="T2" s="57" t="s">
        <v>140</v>
      </c>
      <c r="U2" s="57" t="s">
        <v>141</v>
      </c>
      <c r="V2" s="57" t="s">
        <v>142</v>
      </c>
      <c r="W2" s="57" t="s">
        <v>143</v>
      </c>
      <c r="X2" s="57" t="s">
        <v>145</v>
      </c>
      <c r="Y2" s="57" t="s">
        <v>146</v>
      </c>
      <c r="Z2" s="57" t="s">
        <v>147</v>
      </c>
      <c r="AA2" s="57" t="s">
        <v>148</v>
      </c>
      <c r="AB2" s="57" t="s">
        <v>149</v>
      </c>
      <c r="AC2" s="57" t="s">
        <v>786</v>
      </c>
      <c r="AD2" s="57" t="s">
        <v>787</v>
      </c>
      <c r="AE2" s="57" t="s">
        <v>788</v>
      </c>
      <c r="AF2" s="57" t="s">
        <v>789</v>
      </c>
      <c r="AG2" s="57" t="s">
        <v>790</v>
      </c>
      <c r="AH2" s="57" t="s">
        <v>791</v>
      </c>
      <c r="AI2" s="57" t="s">
        <v>792</v>
      </c>
      <c r="AJ2" s="57" t="s">
        <v>793</v>
      </c>
      <c r="AK2" s="57" t="s">
        <v>794</v>
      </c>
      <c r="AL2" s="57" t="s">
        <v>795</v>
      </c>
      <c r="AM2" s="57" t="s">
        <v>842</v>
      </c>
      <c r="AN2" s="57" t="s">
        <v>843</v>
      </c>
      <c r="AO2" s="57" t="s">
        <v>844</v>
      </c>
      <c r="AP2" s="57" t="s">
        <v>845</v>
      </c>
      <c r="AQ2" s="57" t="s">
        <v>846</v>
      </c>
      <c r="AR2" s="57" t="s">
        <v>847</v>
      </c>
      <c r="AS2" s="57" t="s">
        <v>848</v>
      </c>
      <c r="AT2" s="57" t="s">
        <v>849</v>
      </c>
      <c r="AU2" s="57" t="s">
        <v>850</v>
      </c>
      <c r="AV2" s="57" t="s">
        <v>851</v>
      </c>
      <c r="AW2" s="57" t="s">
        <v>852</v>
      </c>
      <c r="AX2" s="57" t="s">
        <v>853</v>
      </c>
      <c r="AY2" s="57" t="s">
        <v>854</v>
      </c>
      <c r="AZ2" s="57" t="s">
        <v>855</v>
      </c>
      <c r="BA2" s="57" t="s">
        <v>856</v>
      </c>
      <c r="BB2" s="57" t="s">
        <v>857</v>
      </c>
      <c r="BC2" s="57" t="s">
        <v>858</v>
      </c>
      <c r="BD2" s="57" t="s">
        <v>859</v>
      </c>
      <c r="BE2" s="57" t="s">
        <v>860</v>
      </c>
      <c r="BF2" s="57" t="s">
        <v>861</v>
      </c>
      <c r="BG2" s="57" t="s">
        <v>889</v>
      </c>
      <c r="BH2" s="57" t="s">
        <v>890</v>
      </c>
      <c r="BI2" s="57" t="s">
        <v>891</v>
      </c>
      <c r="BJ2" s="57" t="s">
        <v>892</v>
      </c>
      <c r="BK2" s="57" t="s">
        <v>893</v>
      </c>
      <c r="BL2" s="57" t="s">
        <v>894</v>
      </c>
      <c r="BM2" s="57" t="s">
        <v>895</v>
      </c>
      <c r="BN2" s="57" t="s">
        <v>896</v>
      </c>
      <c r="BO2" s="57" t="s">
        <v>897</v>
      </c>
      <c r="BP2" s="57" t="s">
        <v>898</v>
      </c>
      <c r="BQ2" s="57" t="s">
        <v>899</v>
      </c>
      <c r="BR2" s="57" t="s">
        <v>900</v>
      </c>
      <c r="BS2" s="57" t="s">
        <v>901</v>
      </c>
      <c r="BT2" s="57" t="s">
        <v>902</v>
      </c>
      <c r="BU2" s="57" t="s">
        <v>903</v>
      </c>
      <c r="BV2" s="57" t="s">
        <v>904</v>
      </c>
      <c r="BW2" s="57" t="s">
        <v>905</v>
      </c>
      <c r="BX2" s="57" t="s">
        <v>906</v>
      </c>
      <c r="BY2" s="57" t="s">
        <v>907</v>
      </c>
      <c r="BZ2" s="57" t="s">
        <v>908</v>
      </c>
      <c r="CB2" s="58" t="s">
        <v>838</v>
      </c>
      <c r="CC2" s="65" t="s">
        <v>1071</v>
      </c>
      <c r="CD2" s="58" t="s">
        <v>486</v>
      </c>
      <c r="CE2" s="58" t="s">
        <v>886</v>
      </c>
      <c r="CG2" s="58" t="s">
        <v>515</v>
      </c>
      <c r="CH2" s="58" t="s">
        <v>516</v>
      </c>
      <c r="CI2" s="57" t="s">
        <v>549</v>
      </c>
      <c r="CJ2" s="57" t="s">
        <v>550</v>
      </c>
      <c r="CK2" s="57" t="s">
        <v>551</v>
      </c>
      <c r="CL2" s="57" t="s">
        <v>552</v>
      </c>
      <c r="CM2" s="57" t="s">
        <v>553</v>
      </c>
      <c r="CN2" s="57" t="s">
        <v>554</v>
      </c>
      <c r="CO2" s="57" t="s">
        <v>555</v>
      </c>
      <c r="CP2" s="57" t="s">
        <v>556</v>
      </c>
      <c r="CQ2" s="57" t="s">
        <v>557</v>
      </c>
      <c r="CR2" s="57" t="s">
        <v>796</v>
      </c>
      <c r="CS2" s="57" t="s">
        <v>797</v>
      </c>
      <c r="CT2" s="57" t="s">
        <v>798</v>
      </c>
      <c r="CU2" s="57" t="s">
        <v>799</v>
      </c>
      <c r="CV2" s="57" t="s">
        <v>800</v>
      </c>
      <c r="CW2" s="57" t="s">
        <v>801</v>
      </c>
      <c r="CX2" s="57" t="s">
        <v>802</v>
      </c>
      <c r="CY2" s="57" t="s">
        <v>803</v>
      </c>
      <c r="CZ2" s="57" t="s">
        <v>804</v>
      </c>
      <c r="DA2" s="57" t="s">
        <v>805</v>
      </c>
      <c r="DB2" s="57" t="s">
        <v>862</v>
      </c>
      <c r="DC2" s="57" t="s">
        <v>863</v>
      </c>
      <c r="DD2" s="57" t="s">
        <v>864</v>
      </c>
      <c r="DE2" s="57" t="s">
        <v>865</v>
      </c>
      <c r="DF2" s="57" t="s">
        <v>866</v>
      </c>
      <c r="DG2" s="57" t="s">
        <v>867</v>
      </c>
      <c r="DH2" s="57" t="s">
        <v>868</v>
      </c>
      <c r="DI2" s="57" t="s">
        <v>869</v>
      </c>
      <c r="DJ2" s="57" t="s">
        <v>870</v>
      </c>
      <c r="DK2" s="57" t="s">
        <v>871</v>
      </c>
      <c r="DL2" s="57" t="s">
        <v>872</v>
      </c>
      <c r="DM2" s="57" t="s">
        <v>873</v>
      </c>
      <c r="DN2" s="57" t="s">
        <v>874</v>
      </c>
      <c r="DO2" s="57" t="s">
        <v>875</v>
      </c>
      <c r="DP2" s="57" t="s">
        <v>876</v>
      </c>
      <c r="DQ2" s="57" t="s">
        <v>877</v>
      </c>
      <c r="DR2" s="57" t="s">
        <v>878</v>
      </c>
      <c r="DS2" s="57" t="s">
        <v>879</v>
      </c>
      <c r="DT2" s="57" t="s">
        <v>880</v>
      </c>
      <c r="DU2" s="57" t="s">
        <v>881</v>
      </c>
      <c r="DV2" s="57" t="s">
        <v>909</v>
      </c>
      <c r="DW2" s="57" t="s">
        <v>910</v>
      </c>
      <c r="DX2" s="57" t="s">
        <v>911</v>
      </c>
      <c r="DY2" s="57" t="s">
        <v>912</v>
      </c>
      <c r="DZ2" s="57" t="s">
        <v>913</v>
      </c>
      <c r="EA2" s="57" t="s">
        <v>914</v>
      </c>
      <c r="EB2" s="57" t="s">
        <v>915</v>
      </c>
      <c r="EC2" s="57" t="s">
        <v>916</v>
      </c>
      <c r="ED2" s="57" t="s">
        <v>917</v>
      </c>
      <c r="EE2" s="57" t="s">
        <v>918</v>
      </c>
      <c r="EF2" s="57" t="s">
        <v>919</v>
      </c>
      <c r="EG2" s="57" t="s">
        <v>920</v>
      </c>
      <c r="EH2" s="57" t="s">
        <v>921</v>
      </c>
      <c r="EI2" s="57" t="s">
        <v>922</v>
      </c>
      <c r="EJ2" s="57" t="s">
        <v>923</v>
      </c>
      <c r="EK2" s="57" t="s">
        <v>924</v>
      </c>
      <c r="EL2" s="57" t="s">
        <v>925</v>
      </c>
      <c r="EM2" s="57" t="s">
        <v>926</v>
      </c>
      <c r="EN2" s="57" t="s">
        <v>927</v>
      </c>
      <c r="EO2" s="57" t="s">
        <v>928</v>
      </c>
    </row>
    <row r="3" spans="1:145">
      <c r="A3" s="59">
        <v>1</v>
      </c>
      <c r="B3" s="13">
        <v>10</v>
      </c>
      <c r="C3" s="13">
        <v>0</v>
      </c>
      <c r="D3" s="11">
        <v>0</v>
      </c>
      <c r="E3" s="5">
        <v>0</v>
      </c>
      <c r="F3" s="60">
        <v>0</v>
      </c>
      <c r="G3" s="60">
        <v>0</v>
      </c>
      <c r="H3" s="13">
        <v>10</v>
      </c>
      <c r="I3" s="5">
        <v>0</v>
      </c>
      <c r="J3" s="11">
        <v>0</v>
      </c>
      <c r="K3" s="60">
        <v>0</v>
      </c>
      <c r="L3" s="60">
        <v>0</v>
      </c>
      <c r="M3" s="60">
        <v>0</v>
      </c>
      <c r="N3" s="5">
        <f>CG3+CH3+CI3+CJ3+CK3+CL3+CM3+CN3+CO3+CP3+CQ3+CR3+CS3+CT3+CU3+CV3+CW3+CX3+CY3+CZ3+DA3+DB3+DC3+DD3+DE3+DF3+DG3+DH3+DI3+DJ3+DK3+DL3+DM3+DN3+DO3+DP3+DQ3+DR3+DS3+DT3+DU3+DV3+DW3+DX3+DY3+DZ3+EA3+EB3+EC3+ED3+EE3+EF3+EG3+EH3+EI3+EJ3+EK3+EL3+EM3+EN3+EO3</f>
        <v>0</v>
      </c>
      <c r="O3" s="5">
        <v>0</v>
      </c>
      <c r="P3" s="5">
        <v>0</v>
      </c>
      <c r="Q3" s="5">
        <v>0</v>
      </c>
      <c r="R3" s="5">
        <v>0</v>
      </c>
      <c r="T3" s="60">
        <v>0</v>
      </c>
      <c r="U3" s="60">
        <v>0</v>
      </c>
      <c r="V3" s="60">
        <v>0</v>
      </c>
      <c r="W3" s="60">
        <v>0</v>
      </c>
      <c r="X3" s="60">
        <v>0</v>
      </c>
      <c r="Y3" s="60">
        <v>0</v>
      </c>
      <c r="Z3" s="60">
        <v>0</v>
      </c>
      <c r="AA3" s="60">
        <v>0</v>
      </c>
      <c r="AB3" s="60">
        <v>0</v>
      </c>
      <c r="AC3" s="60">
        <v>0</v>
      </c>
      <c r="AD3" s="60">
        <v>0</v>
      </c>
      <c r="AE3" s="60">
        <v>0</v>
      </c>
      <c r="AF3" s="60">
        <v>0</v>
      </c>
      <c r="AG3" s="60">
        <v>0</v>
      </c>
      <c r="AH3" s="60">
        <v>0</v>
      </c>
      <c r="AI3" s="60">
        <v>0</v>
      </c>
      <c r="AJ3" s="60">
        <v>0</v>
      </c>
      <c r="AK3" s="60">
        <v>0</v>
      </c>
      <c r="AL3" s="60">
        <v>0</v>
      </c>
      <c r="AM3" s="60">
        <v>0</v>
      </c>
      <c r="AN3" s="60">
        <v>0</v>
      </c>
      <c r="AO3" s="60">
        <v>0</v>
      </c>
      <c r="AP3" s="60">
        <v>0</v>
      </c>
      <c r="AQ3" s="60">
        <v>0</v>
      </c>
      <c r="AR3" s="60">
        <v>0</v>
      </c>
      <c r="AS3" s="60">
        <v>0</v>
      </c>
      <c r="AT3" s="60">
        <v>0</v>
      </c>
      <c r="AU3" s="60">
        <v>0</v>
      </c>
      <c r="AV3" s="60">
        <v>0</v>
      </c>
      <c r="AW3" s="60">
        <v>0</v>
      </c>
      <c r="AX3" s="60">
        <v>0</v>
      </c>
      <c r="AY3" s="60">
        <v>0</v>
      </c>
      <c r="AZ3" s="60">
        <v>0</v>
      </c>
      <c r="BA3" s="60">
        <v>0</v>
      </c>
      <c r="BB3" s="60">
        <v>0</v>
      </c>
      <c r="BC3" s="60">
        <v>0</v>
      </c>
      <c r="BD3" s="60">
        <v>0</v>
      </c>
      <c r="BE3" s="60">
        <v>0</v>
      </c>
      <c r="BF3" s="60">
        <v>0</v>
      </c>
      <c r="BG3" s="60">
        <v>0</v>
      </c>
      <c r="BH3" s="60">
        <v>0</v>
      </c>
      <c r="BI3" s="60">
        <v>0</v>
      </c>
      <c r="BJ3" s="60">
        <v>0</v>
      </c>
      <c r="BK3" s="60">
        <v>0</v>
      </c>
      <c r="BL3" s="60">
        <v>0</v>
      </c>
      <c r="BM3" s="60">
        <v>0</v>
      </c>
      <c r="BN3" s="60">
        <v>0</v>
      </c>
      <c r="BO3" s="60">
        <v>0</v>
      </c>
      <c r="BP3" s="60">
        <v>0</v>
      </c>
      <c r="BQ3" s="60">
        <v>0</v>
      </c>
      <c r="BR3" s="60">
        <v>0</v>
      </c>
      <c r="BS3" s="60">
        <v>0</v>
      </c>
      <c r="BT3" s="60">
        <v>0</v>
      </c>
      <c r="BU3" s="60">
        <v>0</v>
      </c>
      <c r="BV3" s="60">
        <v>0</v>
      </c>
      <c r="BW3" s="60">
        <v>0</v>
      </c>
      <c r="BX3" s="60">
        <v>0</v>
      </c>
      <c r="BY3" s="60">
        <v>0</v>
      </c>
      <c r="BZ3" s="60">
        <v>0</v>
      </c>
      <c r="CB3" s="5" t="s">
        <v>1070</v>
      </c>
      <c r="CC3" s="5">
        <v>500</v>
      </c>
      <c r="CD3" s="63">
        <v>0</v>
      </c>
      <c r="CE3" s="5">
        <v>10</v>
      </c>
      <c r="CG3" s="5">
        <v>0</v>
      </c>
      <c r="CH3" s="5">
        <v>0</v>
      </c>
      <c r="CI3" s="5">
        <v>0</v>
      </c>
      <c r="CJ3" s="5">
        <v>0</v>
      </c>
      <c r="CK3" s="5">
        <v>0</v>
      </c>
      <c r="CL3" s="5">
        <v>0</v>
      </c>
      <c r="CM3" s="5">
        <v>0</v>
      </c>
      <c r="CN3" s="5">
        <v>0</v>
      </c>
      <c r="CO3" s="5">
        <v>0</v>
      </c>
      <c r="CP3" s="5">
        <v>0</v>
      </c>
      <c r="CQ3" s="5">
        <v>0</v>
      </c>
      <c r="CR3" s="5">
        <v>0</v>
      </c>
      <c r="CS3" s="5">
        <v>0</v>
      </c>
      <c r="CT3" s="5">
        <v>0</v>
      </c>
      <c r="CU3" s="5">
        <v>0</v>
      </c>
      <c r="CV3" s="5">
        <v>0</v>
      </c>
      <c r="CW3" s="5">
        <v>0</v>
      </c>
      <c r="CX3" s="5">
        <v>0</v>
      </c>
      <c r="CY3" s="5">
        <v>0</v>
      </c>
      <c r="CZ3" s="5">
        <v>0</v>
      </c>
      <c r="DA3" s="5">
        <v>0</v>
      </c>
      <c r="DB3" s="5">
        <v>0</v>
      </c>
      <c r="DC3" s="5">
        <v>0</v>
      </c>
      <c r="DD3" s="5">
        <v>0</v>
      </c>
      <c r="DE3" s="5">
        <v>0</v>
      </c>
      <c r="DF3" s="5">
        <v>0</v>
      </c>
      <c r="DG3" s="5">
        <v>0</v>
      </c>
      <c r="DH3" s="5">
        <v>0</v>
      </c>
      <c r="DI3" s="5">
        <v>0</v>
      </c>
      <c r="DJ3" s="5">
        <v>0</v>
      </c>
      <c r="DK3" s="5">
        <v>0</v>
      </c>
      <c r="DL3" s="5">
        <v>0</v>
      </c>
      <c r="DM3" s="5">
        <v>0</v>
      </c>
      <c r="DN3" s="5">
        <v>0</v>
      </c>
      <c r="DO3" s="5">
        <v>0</v>
      </c>
      <c r="DP3" s="5">
        <v>0</v>
      </c>
      <c r="DQ3" s="5">
        <v>0</v>
      </c>
      <c r="DR3" s="5">
        <v>0</v>
      </c>
      <c r="DS3" s="5">
        <v>0</v>
      </c>
      <c r="DT3" s="5">
        <v>0</v>
      </c>
      <c r="DU3" s="5">
        <v>0</v>
      </c>
      <c r="DV3" s="5">
        <v>0</v>
      </c>
      <c r="DW3" s="5">
        <v>0</v>
      </c>
      <c r="DX3" s="5">
        <v>0</v>
      </c>
      <c r="DY3" s="5">
        <v>0</v>
      </c>
      <c r="DZ3" s="5">
        <v>0</v>
      </c>
      <c r="EA3" s="5">
        <v>0</v>
      </c>
      <c r="EB3" s="5">
        <v>0</v>
      </c>
      <c r="EC3" s="5">
        <v>0</v>
      </c>
      <c r="ED3" s="5">
        <v>0</v>
      </c>
      <c r="EE3" s="5">
        <v>0</v>
      </c>
      <c r="EF3" s="5">
        <v>0</v>
      </c>
      <c r="EG3" s="5">
        <v>0</v>
      </c>
      <c r="EH3" s="5">
        <v>0</v>
      </c>
      <c r="EI3" s="5">
        <v>0</v>
      </c>
      <c r="EJ3" s="5">
        <v>0</v>
      </c>
      <c r="EK3" s="5">
        <v>0</v>
      </c>
      <c r="EL3" s="5">
        <v>0</v>
      </c>
      <c r="EM3" s="5">
        <v>0</v>
      </c>
      <c r="EN3" s="5">
        <v>0</v>
      </c>
      <c r="EO3" s="5">
        <v>0</v>
      </c>
    </row>
    <row r="4" spans="1:145">
      <c r="A4" s="59">
        <v>2</v>
      </c>
      <c r="B4" s="13">
        <v>10</v>
      </c>
      <c r="C4" s="13">
        <v>9</v>
      </c>
      <c r="D4" s="13">
        <f>C4/B4*100</f>
        <v>90</v>
      </c>
      <c r="E4" s="5">
        <v>4</v>
      </c>
      <c r="F4" s="60">
        <v>44.4444444444444</v>
      </c>
      <c r="G4" s="60">
        <v>67.2222222222222</v>
      </c>
      <c r="H4" s="13">
        <v>10</v>
      </c>
      <c r="I4" s="5">
        <v>9</v>
      </c>
      <c r="J4" s="13">
        <f>I4/H4*100</f>
        <v>90</v>
      </c>
      <c r="K4" s="60">
        <v>2.0166666666666666</v>
      </c>
      <c r="L4" s="60">
        <v>22.407407407407405</v>
      </c>
      <c r="M4" s="60">
        <v>56.203703703703702</v>
      </c>
      <c r="N4" s="5">
        <f t="shared" ref="N4:N32" si="0">CG4+CH4+CI4+CJ4+CK4+CL4+CM4+CN4+CO4+CP4+CQ4+CR4+CS4+CT4+CU4+CV4+CW4+CX4+CY4+CZ4+DA4+DB4+DC4+DD4+DE4+DF4+DG4+DH4+DI4+DJ4+DK4+DL4+DM4+DN4+DO4+DP4+DQ4+DR4+DS4+DT4+DU4+DV4+DW4+DX4+DY4+DZ4+EA4+EB4+EC4+ED4+EE4+EF4+EG4+EH4+EI4+EJ4+EK4+EL4+EM4+EN4+EO4</f>
        <v>4922.9399999999987</v>
      </c>
      <c r="O4" s="5">
        <v>-63.475570499999989</v>
      </c>
      <c r="P4" s="5">
        <v>40.524429499999997</v>
      </c>
      <c r="Q4" s="64">
        <v>-68.084603000000001</v>
      </c>
      <c r="R4" s="64">
        <v>35.915396999999999</v>
      </c>
      <c r="T4" s="60">
        <v>2.1</v>
      </c>
      <c r="U4" s="60">
        <v>2.1</v>
      </c>
      <c r="V4" s="60">
        <v>2.1</v>
      </c>
      <c r="W4" s="60">
        <v>2.1666666666666665</v>
      </c>
      <c r="X4" s="60">
        <v>2.0666666666666669</v>
      </c>
      <c r="Y4" s="60">
        <v>1.8</v>
      </c>
      <c r="Z4" s="60">
        <v>1.95</v>
      </c>
      <c r="AA4" s="60">
        <v>2.2666666666666666</v>
      </c>
      <c r="AB4" s="60">
        <v>2.0833333333333335</v>
      </c>
      <c r="AC4" s="60">
        <v>1.8166666666666667</v>
      </c>
      <c r="AD4" s="60">
        <v>2.2999999999999998</v>
      </c>
      <c r="AE4" s="60">
        <v>1.95</v>
      </c>
      <c r="AF4" s="60">
        <v>2.2666666666666666</v>
      </c>
      <c r="AG4" s="60">
        <v>2.3166666666666669</v>
      </c>
      <c r="AH4" s="60">
        <v>2.3166666666666669</v>
      </c>
      <c r="AI4" s="60">
        <v>2.1833333333333331</v>
      </c>
      <c r="AJ4" s="60">
        <v>2.1833333333333331</v>
      </c>
      <c r="AK4" s="60">
        <v>2.1833333333333331</v>
      </c>
      <c r="AL4" s="60">
        <v>2.2999999999999998</v>
      </c>
      <c r="AM4" s="60">
        <v>2.0833333333333335</v>
      </c>
      <c r="AN4" s="60">
        <v>2.2000000000000002</v>
      </c>
      <c r="AO4" s="60">
        <v>2.0666666666666669</v>
      </c>
      <c r="AP4" s="60">
        <v>2.0666666666666669</v>
      </c>
      <c r="AQ4" s="60">
        <v>2.1833333333333331</v>
      </c>
      <c r="AR4" s="60">
        <v>2.1833333333333331</v>
      </c>
      <c r="AS4" s="60">
        <v>2.3666666666666667</v>
      </c>
      <c r="AT4" s="60">
        <v>2.2333333333333334</v>
      </c>
      <c r="AU4" s="60">
        <v>2.1666666666666665</v>
      </c>
      <c r="AV4" s="60">
        <v>2.0499999999999998</v>
      </c>
      <c r="AW4" s="60">
        <v>2.2000000000000002</v>
      </c>
      <c r="AX4" s="60">
        <v>2.2666666666666666</v>
      </c>
      <c r="AY4" s="60">
        <v>2.1666666666666665</v>
      </c>
      <c r="AZ4" s="60">
        <v>2.1333333333333333</v>
      </c>
      <c r="BA4" s="60">
        <v>2.2000000000000002</v>
      </c>
      <c r="BB4" s="60">
        <v>2.25</v>
      </c>
      <c r="BC4" s="60">
        <v>2.2666666666666666</v>
      </c>
      <c r="BD4" s="60">
        <v>2.2999999999999998</v>
      </c>
      <c r="BE4" s="60">
        <v>2.3333333333333335</v>
      </c>
      <c r="BF4" s="60">
        <v>2.2666666666666666</v>
      </c>
      <c r="BG4" s="60">
        <v>2.1833333333333331</v>
      </c>
      <c r="BH4" s="60">
        <v>2.4833333333333334</v>
      </c>
      <c r="BI4" s="60">
        <v>2.3333333333333335</v>
      </c>
      <c r="BJ4" s="60">
        <v>2.3333333333333335</v>
      </c>
      <c r="BK4" s="60">
        <v>2.3333333333333335</v>
      </c>
      <c r="BL4" s="60">
        <v>2.5333333333333332</v>
      </c>
      <c r="BM4" s="60">
        <v>2.2666666666666666</v>
      </c>
      <c r="BN4" s="60">
        <v>2.1166666666666667</v>
      </c>
      <c r="BO4" s="60">
        <v>2.4500000000000002</v>
      </c>
      <c r="BP4" s="60">
        <v>2.1666666666666665</v>
      </c>
      <c r="BQ4" s="60">
        <v>2.4</v>
      </c>
      <c r="BR4" s="60">
        <v>2.4166666666666665</v>
      </c>
      <c r="BS4" s="60">
        <v>2.2333333333333334</v>
      </c>
      <c r="BT4" s="60">
        <v>2.0333333333333332</v>
      </c>
      <c r="BU4" s="60">
        <v>2.5</v>
      </c>
      <c r="BV4" s="60">
        <v>2.5</v>
      </c>
      <c r="BW4" s="60">
        <v>2.2999999999999998</v>
      </c>
      <c r="BX4" s="60">
        <v>2.2166666666666668</v>
      </c>
      <c r="BY4" s="60">
        <v>2.3333333333333335</v>
      </c>
      <c r="BZ4" s="60">
        <v>2.15</v>
      </c>
      <c r="CB4" s="62" t="s">
        <v>519</v>
      </c>
      <c r="CC4" s="5">
        <v>500</v>
      </c>
      <c r="CD4" s="63">
        <v>7.3228749999999995E-2</v>
      </c>
      <c r="CE4" s="5">
        <v>6</v>
      </c>
      <c r="CG4" s="5">
        <v>75.66</v>
      </c>
      <c r="CH4" s="5">
        <v>78.09</v>
      </c>
      <c r="CI4" s="5">
        <v>76.95</v>
      </c>
      <c r="CJ4" s="5">
        <v>76.95</v>
      </c>
      <c r="CK4" s="5">
        <v>76.95</v>
      </c>
      <c r="CL4" s="5">
        <v>79.23</v>
      </c>
      <c r="CM4" s="5">
        <v>75.81</v>
      </c>
      <c r="CN4" s="5">
        <v>66.12</v>
      </c>
      <c r="CO4" s="5">
        <v>71.819999999999993</v>
      </c>
      <c r="CP4" s="5">
        <v>82.65</v>
      </c>
      <c r="CQ4" s="5">
        <v>76.38</v>
      </c>
      <c r="CR4" s="5">
        <v>66.69</v>
      </c>
      <c r="CS4" s="5">
        <v>83.79</v>
      </c>
      <c r="CT4" s="5">
        <v>71.25</v>
      </c>
      <c r="CU4" s="5">
        <v>82.65</v>
      </c>
      <c r="CV4" s="5">
        <v>84.36</v>
      </c>
      <c r="CW4" s="5">
        <v>84.36</v>
      </c>
      <c r="CX4" s="5">
        <v>79.8</v>
      </c>
      <c r="CY4" s="5">
        <v>79.23</v>
      </c>
      <c r="CZ4" s="5">
        <v>79.8</v>
      </c>
      <c r="DA4" s="5">
        <v>83.79</v>
      </c>
      <c r="DB4" s="5">
        <v>76.38</v>
      </c>
      <c r="DC4" s="5">
        <v>80.37</v>
      </c>
      <c r="DD4" s="5">
        <v>75.81</v>
      </c>
      <c r="DE4" s="5">
        <v>75.81</v>
      </c>
      <c r="DF4" s="5">
        <v>79.8</v>
      </c>
      <c r="DG4" s="5">
        <v>79.8</v>
      </c>
      <c r="DH4" s="5">
        <v>86.07</v>
      </c>
      <c r="DI4" s="5">
        <v>81.510000000000005</v>
      </c>
      <c r="DJ4" s="5">
        <v>79.23</v>
      </c>
      <c r="DK4" s="5">
        <v>75.239999999999995</v>
      </c>
      <c r="DL4" s="5">
        <v>80.37</v>
      </c>
      <c r="DM4" s="5">
        <v>82.65</v>
      </c>
      <c r="DN4" s="5">
        <v>79.23</v>
      </c>
      <c r="DO4" s="5">
        <v>78.09</v>
      </c>
      <c r="DP4" s="5">
        <v>80.37</v>
      </c>
      <c r="DQ4" s="5">
        <v>82.08</v>
      </c>
      <c r="DR4" s="5">
        <v>82.65</v>
      </c>
      <c r="DS4" s="5">
        <v>83.79</v>
      </c>
      <c r="DT4" s="5">
        <v>84.93</v>
      </c>
      <c r="DU4" s="5">
        <v>82.65</v>
      </c>
      <c r="DV4" s="5">
        <v>79.8</v>
      </c>
      <c r="DW4" s="5">
        <v>90.06</v>
      </c>
      <c r="DX4" s="5">
        <v>84.93</v>
      </c>
      <c r="DY4" s="5">
        <v>84.93</v>
      </c>
      <c r="DZ4" s="5">
        <v>84.93</v>
      </c>
      <c r="EA4" s="5">
        <v>91.77</v>
      </c>
      <c r="EB4" s="5">
        <v>82.65</v>
      </c>
      <c r="EC4" s="5">
        <v>76.95</v>
      </c>
      <c r="ED4" s="5">
        <v>88.92</v>
      </c>
      <c r="EE4" s="5">
        <v>78.66</v>
      </c>
      <c r="EF4" s="5">
        <v>87.21</v>
      </c>
      <c r="EG4" s="5">
        <v>87.78</v>
      </c>
      <c r="EH4" s="5">
        <v>81.510000000000005</v>
      </c>
      <c r="EI4" s="5">
        <v>74.099999999999994</v>
      </c>
      <c r="EJ4" s="5">
        <v>90.63</v>
      </c>
      <c r="EK4" s="5">
        <v>90.63</v>
      </c>
      <c r="EL4" s="5">
        <v>83.79</v>
      </c>
      <c r="EM4" s="5">
        <v>80.94</v>
      </c>
      <c r="EN4" s="5">
        <v>84.93</v>
      </c>
      <c r="EO4" s="5">
        <v>78.66</v>
      </c>
    </row>
    <row r="5" spans="1:145">
      <c r="A5" s="59">
        <v>3</v>
      </c>
      <c r="B5" s="13">
        <v>10</v>
      </c>
      <c r="C5" s="13">
        <v>10</v>
      </c>
      <c r="D5" s="13">
        <f t="shared" ref="D5:D32" si="1">C5/B5*100</f>
        <v>100</v>
      </c>
      <c r="E5" s="5">
        <v>4</v>
      </c>
      <c r="F5" s="60">
        <v>40</v>
      </c>
      <c r="G5" s="60">
        <v>70</v>
      </c>
      <c r="H5" s="13">
        <v>10</v>
      </c>
      <c r="I5" s="5">
        <v>10</v>
      </c>
      <c r="J5" s="13">
        <f t="shared" ref="J5:J32" si="2">I5/H5*100</f>
        <v>100</v>
      </c>
      <c r="K5" s="60">
        <v>2.1666666666666665</v>
      </c>
      <c r="L5" s="60">
        <v>21.666666666666664</v>
      </c>
      <c r="M5" s="60">
        <v>60.833333333333329</v>
      </c>
      <c r="N5" s="5">
        <f t="shared" si="0"/>
        <v>5755.71</v>
      </c>
      <c r="O5" s="5">
        <v>-62.996167999999997</v>
      </c>
      <c r="P5" s="5">
        <v>41.003832000000003</v>
      </c>
      <c r="Q5" s="5">
        <v>-65.258086700000007</v>
      </c>
      <c r="R5" s="5">
        <v>38.7419133</v>
      </c>
      <c r="T5" s="60">
        <v>2.4833333333333334</v>
      </c>
      <c r="U5" s="60">
        <v>2.0166666666666666</v>
      </c>
      <c r="V5" s="60">
        <v>2.4166666666666665</v>
      </c>
      <c r="W5" s="60">
        <v>1.95</v>
      </c>
      <c r="X5" s="60">
        <v>2.2333333333333334</v>
      </c>
      <c r="Y5" s="60">
        <v>2.3666666666666667</v>
      </c>
      <c r="Z5" s="60">
        <v>2.4666666666666668</v>
      </c>
      <c r="AA5" s="60">
        <v>2.5</v>
      </c>
      <c r="AB5" s="60">
        <v>2.5833333333333335</v>
      </c>
      <c r="AC5" s="60">
        <v>2.75</v>
      </c>
      <c r="AD5" s="60">
        <v>2.7333333333333334</v>
      </c>
      <c r="AE5" s="60">
        <v>2.6833333333333331</v>
      </c>
      <c r="AF5" s="60">
        <v>2.5833333333333335</v>
      </c>
      <c r="AG5" s="60">
        <v>2.7666666666666666</v>
      </c>
      <c r="AH5" s="60">
        <v>2.85</v>
      </c>
      <c r="AI5" s="60">
        <v>2.75</v>
      </c>
      <c r="AJ5" s="60">
        <v>2.6666666666666665</v>
      </c>
      <c r="AK5" s="60">
        <v>2.35</v>
      </c>
      <c r="AL5" s="60">
        <v>2.6833333333333331</v>
      </c>
      <c r="AM5" s="60">
        <v>2.4166666666666665</v>
      </c>
      <c r="AN5" s="60">
        <v>2.35</v>
      </c>
      <c r="AO5" s="60">
        <v>2.3166666666666669</v>
      </c>
      <c r="AP5" s="60">
        <v>2.5333333333333332</v>
      </c>
      <c r="AQ5" s="60">
        <v>2.3666666666666667</v>
      </c>
      <c r="AR5" s="60">
        <v>2.4833333333333334</v>
      </c>
      <c r="AS5" s="60">
        <v>2.4166666666666665</v>
      </c>
      <c r="AT5" s="60">
        <v>2.5666666666666669</v>
      </c>
      <c r="AU5" s="60">
        <v>2.5333333333333332</v>
      </c>
      <c r="AV5" s="60">
        <v>2.3666666666666667</v>
      </c>
      <c r="AW5" s="60">
        <v>2.6166666666666667</v>
      </c>
      <c r="AX5" s="60">
        <v>2.5166666666666666</v>
      </c>
      <c r="AY5" s="60">
        <v>2.5499999999999998</v>
      </c>
      <c r="AZ5" s="60">
        <v>2.5833333333333335</v>
      </c>
      <c r="BA5" s="60">
        <v>2.5333333333333332</v>
      </c>
      <c r="BB5" s="60">
        <v>2.7166666666666668</v>
      </c>
      <c r="BC5" s="60">
        <v>2.6166666666666667</v>
      </c>
      <c r="BD5" s="60">
        <v>2.7833333333333332</v>
      </c>
      <c r="BE5" s="60">
        <v>2.7</v>
      </c>
      <c r="BF5" s="60">
        <v>2.75</v>
      </c>
      <c r="BG5" s="60">
        <v>2.6833333333333331</v>
      </c>
      <c r="BH5" s="60">
        <v>2.75</v>
      </c>
      <c r="BI5" s="60">
        <v>2.5833333333333335</v>
      </c>
      <c r="BJ5" s="60">
        <v>2.7</v>
      </c>
      <c r="BK5" s="60">
        <v>2.7833333333333332</v>
      </c>
      <c r="BL5" s="60">
        <v>2.7833333333333332</v>
      </c>
      <c r="BM5" s="60">
        <v>2.5</v>
      </c>
      <c r="BN5" s="60">
        <v>2.6333333333333333</v>
      </c>
      <c r="BO5" s="60">
        <v>2.9833333333333334</v>
      </c>
      <c r="BP5" s="60">
        <v>3.0666666666666669</v>
      </c>
      <c r="BQ5" s="60">
        <v>2.7166666666666668</v>
      </c>
      <c r="BR5" s="60">
        <v>2.8</v>
      </c>
      <c r="BS5" s="60">
        <v>2.85</v>
      </c>
      <c r="BT5" s="60">
        <v>2.4166666666666665</v>
      </c>
      <c r="BU5" s="60">
        <v>2.6666666666666665</v>
      </c>
      <c r="BV5" s="60">
        <v>2.8333333333333335</v>
      </c>
      <c r="BW5" s="60">
        <v>2.9333333333333331</v>
      </c>
      <c r="BX5" s="60">
        <v>2.75</v>
      </c>
      <c r="BY5" s="60">
        <v>2.8166666666666669</v>
      </c>
      <c r="BZ5" s="60">
        <v>2.7166666666666668</v>
      </c>
      <c r="CB5" s="62" t="s">
        <v>520</v>
      </c>
      <c r="CC5" s="5">
        <v>500</v>
      </c>
      <c r="CD5" s="63">
        <v>6.9471000000000005E-2</v>
      </c>
      <c r="CE5" s="5">
        <v>6</v>
      </c>
      <c r="CG5" s="5">
        <v>81.36</v>
      </c>
      <c r="CH5" s="5">
        <v>92.91</v>
      </c>
      <c r="CI5" s="5">
        <v>90.63</v>
      </c>
      <c r="CJ5" s="5">
        <v>74.099999999999994</v>
      </c>
      <c r="CK5" s="5">
        <v>88.35</v>
      </c>
      <c r="CL5" s="5">
        <v>71.25</v>
      </c>
      <c r="CM5" s="5">
        <v>82.08</v>
      </c>
      <c r="CN5" s="5">
        <v>86.64</v>
      </c>
      <c r="CO5" s="5">
        <v>90.06</v>
      </c>
      <c r="CP5" s="5">
        <v>91.2</v>
      </c>
      <c r="CQ5" s="5">
        <v>94.05</v>
      </c>
      <c r="CR5" s="5">
        <v>99.75</v>
      </c>
      <c r="CS5" s="5">
        <v>99.18</v>
      </c>
      <c r="CT5" s="5">
        <v>97.47</v>
      </c>
      <c r="CU5" s="5">
        <v>94.05</v>
      </c>
      <c r="CV5" s="5">
        <v>100.32</v>
      </c>
      <c r="CW5" s="5">
        <v>103.17</v>
      </c>
      <c r="CX5" s="5">
        <v>99.75</v>
      </c>
      <c r="CY5" s="5">
        <v>96.9</v>
      </c>
      <c r="CZ5" s="5">
        <v>85.5</v>
      </c>
      <c r="DA5" s="5">
        <v>97.47</v>
      </c>
      <c r="DB5" s="5">
        <v>88.35</v>
      </c>
      <c r="DC5" s="5">
        <v>86.07</v>
      </c>
      <c r="DD5" s="5">
        <v>84.93</v>
      </c>
      <c r="DE5" s="5">
        <v>92.34</v>
      </c>
      <c r="DF5" s="5">
        <v>86.64</v>
      </c>
      <c r="DG5" s="5">
        <v>90.63</v>
      </c>
      <c r="DH5" s="5">
        <v>88.35</v>
      </c>
      <c r="DI5" s="5">
        <v>93.48</v>
      </c>
      <c r="DJ5" s="5">
        <v>92.34</v>
      </c>
      <c r="DK5" s="5">
        <v>86.64</v>
      </c>
      <c r="DL5" s="5">
        <v>95.19</v>
      </c>
      <c r="DM5" s="5">
        <v>91.77</v>
      </c>
      <c r="DN5" s="5">
        <v>92.91</v>
      </c>
      <c r="DO5" s="5">
        <v>94.05</v>
      </c>
      <c r="DP5" s="5">
        <v>92.34</v>
      </c>
      <c r="DQ5" s="5">
        <v>98.61</v>
      </c>
      <c r="DR5" s="5">
        <v>95.19</v>
      </c>
      <c r="DS5" s="5">
        <v>100.89</v>
      </c>
      <c r="DT5" s="5">
        <v>98.04</v>
      </c>
      <c r="DU5" s="5">
        <v>99.75</v>
      </c>
      <c r="DV5" s="5">
        <v>97.47</v>
      </c>
      <c r="DW5" s="5">
        <v>99.75</v>
      </c>
      <c r="DX5" s="5">
        <v>93.48</v>
      </c>
      <c r="DY5" s="5">
        <v>98.04</v>
      </c>
      <c r="DZ5" s="5">
        <v>100.89</v>
      </c>
      <c r="EA5" s="5">
        <v>100.89</v>
      </c>
      <c r="EB5" s="5">
        <v>90.63</v>
      </c>
      <c r="EC5" s="5">
        <v>95.19</v>
      </c>
      <c r="ED5" s="5">
        <v>107.73</v>
      </c>
      <c r="EE5" s="5">
        <v>110.58</v>
      </c>
      <c r="EF5" s="5">
        <v>98.04</v>
      </c>
      <c r="EG5" s="5">
        <v>101.46</v>
      </c>
      <c r="EH5" s="5">
        <v>103.17</v>
      </c>
      <c r="EI5" s="5">
        <v>87.78</v>
      </c>
      <c r="EJ5" s="5">
        <v>96.9</v>
      </c>
      <c r="EK5" s="5">
        <v>102.6</v>
      </c>
      <c r="EL5" s="5">
        <v>106.02</v>
      </c>
      <c r="EM5" s="5">
        <v>99.75</v>
      </c>
      <c r="EN5" s="5">
        <v>102.03</v>
      </c>
      <c r="EO5" s="5">
        <v>98.61</v>
      </c>
    </row>
    <row r="6" spans="1:145">
      <c r="A6" s="59">
        <v>4</v>
      </c>
      <c r="B6" s="13">
        <v>10</v>
      </c>
      <c r="C6" s="13">
        <v>10</v>
      </c>
      <c r="D6" s="13">
        <f t="shared" si="1"/>
        <v>100</v>
      </c>
      <c r="E6" s="5">
        <v>5</v>
      </c>
      <c r="F6" s="60">
        <v>50</v>
      </c>
      <c r="G6" s="60">
        <v>75</v>
      </c>
      <c r="H6" s="13">
        <v>10</v>
      </c>
      <c r="I6" s="5">
        <v>10</v>
      </c>
      <c r="J6" s="13">
        <f t="shared" si="2"/>
        <v>100</v>
      </c>
      <c r="K6" s="60">
        <v>2.15</v>
      </c>
      <c r="L6" s="60">
        <v>21.5</v>
      </c>
      <c r="M6" s="60">
        <v>60.75</v>
      </c>
      <c r="N6" s="5">
        <f t="shared" si="0"/>
        <v>5990.550000000002</v>
      </c>
      <c r="O6" s="5">
        <v>-61.8351957</v>
      </c>
      <c r="P6" s="5">
        <v>42.164804299999993</v>
      </c>
      <c r="Q6" s="5">
        <v>-63.101575099999991</v>
      </c>
      <c r="R6" s="5">
        <v>40.898424899999995</v>
      </c>
      <c r="T6" s="60">
        <v>2.4500000000000002</v>
      </c>
      <c r="U6" s="60">
        <v>2.4166666666666665</v>
      </c>
      <c r="V6" s="60">
        <v>2.4833333333333334</v>
      </c>
      <c r="W6" s="60">
        <v>2.4333333333333331</v>
      </c>
      <c r="X6" s="60">
        <v>2.5333333333333332</v>
      </c>
      <c r="Y6" s="60">
        <v>2.6166666666666667</v>
      </c>
      <c r="Z6" s="60">
        <v>2.5</v>
      </c>
      <c r="AA6" s="60">
        <v>2.5</v>
      </c>
      <c r="AB6" s="60">
        <v>2.5499999999999998</v>
      </c>
      <c r="AC6" s="60">
        <v>2.5499999999999998</v>
      </c>
      <c r="AD6" s="60">
        <v>2.5666666666666669</v>
      </c>
      <c r="AE6" s="60">
        <v>2.6</v>
      </c>
      <c r="AF6" s="60">
        <v>2.4166666666666665</v>
      </c>
      <c r="AG6" s="60">
        <v>2.6</v>
      </c>
      <c r="AH6" s="60">
        <v>2.3666666666666667</v>
      </c>
      <c r="AI6" s="60">
        <v>2.8</v>
      </c>
      <c r="AJ6" s="60">
        <v>2.7166666666666668</v>
      </c>
      <c r="AK6" s="60">
        <v>2.7333333333333334</v>
      </c>
      <c r="AL6" s="60">
        <v>2.7666666666666666</v>
      </c>
      <c r="AM6" s="60">
        <v>2.7333333333333334</v>
      </c>
      <c r="AN6" s="60">
        <v>2.6833333333333331</v>
      </c>
      <c r="AO6" s="60">
        <v>2.7666666666666666</v>
      </c>
      <c r="AP6" s="60">
        <v>2.7333333333333334</v>
      </c>
      <c r="AQ6" s="60">
        <v>2.8</v>
      </c>
      <c r="AR6" s="60">
        <v>2.7333333333333334</v>
      </c>
      <c r="AS6" s="60">
        <v>2.6333333333333333</v>
      </c>
      <c r="AT6" s="60">
        <v>2.5833333333333335</v>
      </c>
      <c r="AU6" s="60">
        <v>2.6666666666666665</v>
      </c>
      <c r="AV6" s="60">
        <v>2.6666666666666665</v>
      </c>
      <c r="AW6" s="60">
        <v>2.7</v>
      </c>
      <c r="AX6" s="60">
        <v>2.6333333333333333</v>
      </c>
      <c r="AY6" s="60">
        <v>2.6166666666666667</v>
      </c>
      <c r="AZ6" s="60">
        <v>2.7333333333333334</v>
      </c>
      <c r="BA6" s="60">
        <v>2.8</v>
      </c>
      <c r="BB6" s="60">
        <v>2.8166666666666669</v>
      </c>
      <c r="BC6" s="60">
        <v>2.8666666666666667</v>
      </c>
      <c r="BD6" s="60">
        <v>2.65</v>
      </c>
      <c r="BE6" s="60">
        <v>2.75</v>
      </c>
      <c r="BF6" s="60">
        <v>2.7833333333333332</v>
      </c>
      <c r="BG6" s="60">
        <v>2.75</v>
      </c>
      <c r="BH6" s="60">
        <v>2.75</v>
      </c>
      <c r="BI6" s="60">
        <v>2.8333333333333335</v>
      </c>
      <c r="BJ6" s="60">
        <v>2.8</v>
      </c>
      <c r="BK6" s="60">
        <v>2.8833333333333333</v>
      </c>
      <c r="BL6" s="60">
        <v>2.8666666666666667</v>
      </c>
      <c r="BM6" s="60">
        <v>2.7833333333333332</v>
      </c>
      <c r="BN6" s="60">
        <v>2.85</v>
      </c>
      <c r="BO6" s="60">
        <v>3.0666666666666669</v>
      </c>
      <c r="BP6" s="60">
        <v>3.1333333333333333</v>
      </c>
      <c r="BQ6" s="60">
        <v>2.75</v>
      </c>
      <c r="BR6" s="60">
        <v>3.0833333333333335</v>
      </c>
      <c r="BS6" s="60">
        <v>2.8333333333333335</v>
      </c>
      <c r="BT6" s="60">
        <v>3.1</v>
      </c>
      <c r="BU6" s="60">
        <v>2.9666666666666668</v>
      </c>
      <c r="BV6" s="60">
        <v>3</v>
      </c>
      <c r="BW6" s="60">
        <v>2.8666666666666667</v>
      </c>
      <c r="BX6" s="60">
        <v>2.4833333333333334</v>
      </c>
      <c r="BY6" s="60">
        <v>2.6333333333333333</v>
      </c>
      <c r="BZ6" s="60">
        <v>2.65</v>
      </c>
      <c r="CB6" s="62" t="s">
        <v>521</v>
      </c>
      <c r="CC6" s="5">
        <v>500</v>
      </c>
      <c r="CD6" s="63">
        <v>7.5561199999999995E-2</v>
      </c>
      <c r="CE6" s="5">
        <v>5</v>
      </c>
      <c r="CG6" s="5">
        <v>80.790000000000006</v>
      </c>
      <c r="CH6" s="5">
        <v>102.6</v>
      </c>
      <c r="CI6" s="5">
        <v>89.49</v>
      </c>
      <c r="CJ6" s="5">
        <v>88.35</v>
      </c>
      <c r="CK6" s="5">
        <v>90.63</v>
      </c>
      <c r="CL6" s="5">
        <v>88.92</v>
      </c>
      <c r="CM6" s="5">
        <v>92.34</v>
      </c>
      <c r="CN6" s="5">
        <v>95.19</v>
      </c>
      <c r="CO6" s="5">
        <v>91.2</v>
      </c>
      <c r="CP6" s="5">
        <v>91.2</v>
      </c>
      <c r="CQ6" s="5">
        <v>92.91</v>
      </c>
      <c r="CR6" s="5">
        <v>92.91</v>
      </c>
      <c r="CS6" s="5">
        <v>93.48</v>
      </c>
      <c r="CT6" s="5">
        <v>94.62</v>
      </c>
      <c r="CU6" s="5">
        <v>87.78</v>
      </c>
      <c r="CV6" s="5">
        <v>94.62</v>
      </c>
      <c r="CW6" s="5">
        <v>86.07</v>
      </c>
      <c r="CX6" s="5">
        <v>101.46</v>
      </c>
      <c r="CY6" s="5">
        <v>98.61</v>
      </c>
      <c r="CZ6" s="5">
        <v>99.18</v>
      </c>
      <c r="DA6" s="5">
        <v>100.32</v>
      </c>
      <c r="DB6" s="5">
        <v>99.18</v>
      </c>
      <c r="DC6" s="5">
        <v>97.47</v>
      </c>
      <c r="DD6" s="5">
        <v>100.32</v>
      </c>
      <c r="DE6" s="5">
        <v>99.18</v>
      </c>
      <c r="DF6" s="5">
        <v>101.46</v>
      </c>
      <c r="DG6" s="5">
        <v>99.18</v>
      </c>
      <c r="DH6" s="5">
        <v>95.76</v>
      </c>
      <c r="DI6" s="5">
        <v>94.05</v>
      </c>
      <c r="DJ6" s="5">
        <v>96.9</v>
      </c>
      <c r="DK6" s="5">
        <v>96.9</v>
      </c>
      <c r="DL6" s="5">
        <v>98.04</v>
      </c>
      <c r="DM6" s="5">
        <v>95.76</v>
      </c>
      <c r="DN6" s="5">
        <v>95.19</v>
      </c>
      <c r="DO6" s="5">
        <v>99.18</v>
      </c>
      <c r="DP6" s="5">
        <v>101.46</v>
      </c>
      <c r="DQ6" s="5">
        <v>102.03</v>
      </c>
      <c r="DR6" s="5">
        <v>103.74</v>
      </c>
      <c r="DS6" s="5">
        <v>96.33</v>
      </c>
      <c r="DT6" s="5">
        <v>99.75</v>
      </c>
      <c r="DU6" s="5">
        <v>100.89</v>
      </c>
      <c r="DV6" s="5">
        <v>99.75</v>
      </c>
      <c r="DW6" s="5">
        <v>99.75</v>
      </c>
      <c r="DX6" s="5">
        <v>102.6</v>
      </c>
      <c r="DY6" s="5">
        <v>101.46</v>
      </c>
      <c r="DZ6" s="5">
        <v>104.31</v>
      </c>
      <c r="EA6" s="5">
        <v>103.74</v>
      </c>
      <c r="EB6" s="5">
        <v>100.89</v>
      </c>
      <c r="EC6" s="5">
        <v>103.17</v>
      </c>
      <c r="ED6" s="5">
        <v>110.58</v>
      </c>
      <c r="EE6" s="5">
        <v>112.86</v>
      </c>
      <c r="EF6" s="5">
        <v>99.18</v>
      </c>
      <c r="EG6" s="5">
        <v>111.15</v>
      </c>
      <c r="EH6" s="5">
        <v>102.6</v>
      </c>
      <c r="EI6" s="5">
        <v>111.72</v>
      </c>
      <c r="EJ6" s="5">
        <v>107.16</v>
      </c>
      <c r="EK6" s="5">
        <v>108.3</v>
      </c>
      <c r="EL6" s="5">
        <v>103.74</v>
      </c>
      <c r="EM6" s="5">
        <v>90.06</v>
      </c>
      <c r="EN6" s="5">
        <v>95.76</v>
      </c>
      <c r="EO6" s="5">
        <v>96.33</v>
      </c>
    </row>
    <row r="7" spans="1:145">
      <c r="A7" s="59">
        <v>5</v>
      </c>
      <c r="B7" s="13">
        <v>10</v>
      </c>
      <c r="C7" s="13">
        <v>10</v>
      </c>
      <c r="D7" s="13">
        <f t="shared" si="1"/>
        <v>100</v>
      </c>
      <c r="E7" s="5">
        <v>2</v>
      </c>
      <c r="F7" s="60">
        <v>20</v>
      </c>
      <c r="G7" s="60">
        <v>60</v>
      </c>
      <c r="H7" s="13">
        <v>10</v>
      </c>
      <c r="I7" s="5">
        <v>9</v>
      </c>
      <c r="J7" s="13">
        <f t="shared" si="2"/>
        <v>90</v>
      </c>
      <c r="K7" s="60">
        <v>1.7666666666666666</v>
      </c>
      <c r="L7" s="60">
        <v>17.666666666666668</v>
      </c>
      <c r="M7" s="60">
        <v>58.833333333333336</v>
      </c>
      <c r="N7" s="5">
        <f t="shared" si="0"/>
        <v>4754.7900000000018</v>
      </c>
      <c r="O7" s="5">
        <v>-59.779239300000008</v>
      </c>
      <c r="P7" s="5">
        <v>44.2207607</v>
      </c>
      <c r="Q7" s="5">
        <v>-61.495183300000008</v>
      </c>
      <c r="R7" s="5">
        <v>42.504816699999999</v>
      </c>
      <c r="T7" s="60">
        <v>1.85</v>
      </c>
      <c r="U7" s="60">
        <v>1.9666666666666666</v>
      </c>
      <c r="V7" s="60">
        <v>1.95</v>
      </c>
      <c r="W7" s="60">
        <v>1.85</v>
      </c>
      <c r="X7" s="60">
        <v>1.5666666666666667</v>
      </c>
      <c r="Y7" s="60">
        <v>1.75</v>
      </c>
      <c r="Z7" s="60">
        <v>1.95</v>
      </c>
      <c r="AA7" s="60">
        <v>1.9666666666666666</v>
      </c>
      <c r="AB7" s="60">
        <v>1.8333333333333333</v>
      </c>
      <c r="AC7" s="60">
        <v>1.7333333333333334</v>
      </c>
      <c r="AD7" s="60">
        <v>1.7333333333333334</v>
      </c>
      <c r="AE7" s="60">
        <v>1.8</v>
      </c>
      <c r="AF7" s="60">
        <v>2.1333333333333333</v>
      </c>
      <c r="AG7" s="60">
        <v>1.9166666666666667</v>
      </c>
      <c r="AH7" s="60">
        <v>2.1333333333333333</v>
      </c>
      <c r="AI7" s="60">
        <v>2.1333333333333333</v>
      </c>
      <c r="AJ7" s="60">
        <v>2.0499999999999998</v>
      </c>
      <c r="AK7" s="60">
        <v>2</v>
      </c>
      <c r="AL7" s="60">
        <v>2.1166666666666667</v>
      </c>
      <c r="AM7" s="60">
        <v>2.1333333333333333</v>
      </c>
      <c r="AN7" s="60">
        <v>1.8833333333333333</v>
      </c>
      <c r="AO7" s="60">
        <v>2.0666666666666669</v>
      </c>
      <c r="AP7" s="60">
        <v>2.0333333333333332</v>
      </c>
      <c r="AQ7" s="60">
        <v>2.0499999999999998</v>
      </c>
      <c r="AR7" s="60">
        <v>2.0166666666666666</v>
      </c>
      <c r="AS7" s="60">
        <v>1.9833333333333334</v>
      </c>
      <c r="AT7" s="60">
        <v>2.1</v>
      </c>
      <c r="AU7" s="60">
        <v>2.1666666666666665</v>
      </c>
      <c r="AV7" s="60">
        <v>2.1</v>
      </c>
      <c r="AW7" s="60">
        <v>2.1166666666666667</v>
      </c>
      <c r="AX7" s="60">
        <v>2.2833333333333332</v>
      </c>
      <c r="AY7" s="60">
        <v>1.9</v>
      </c>
      <c r="AZ7" s="60">
        <v>2.0833333333333335</v>
      </c>
      <c r="BA7" s="60">
        <v>2.1666666666666665</v>
      </c>
      <c r="BB7" s="60">
        <v>2.2000000000000002</v>
      </c>
      <c r="BC7" s="60">
        <v>2.1833333333333331</v>
      </c>
      <c r="BD7" s="60">
        <v>2.4333333333333331</v>
      </c>
      <c r="BE7" s="60">
        <v>2.5</v>
      </c>
      <c r="BF7" s="60">
        <v>2.4333333333333331</v>
      </c>
      <c r="BG7" s="60">
        <v>2.4833333333333334</v>
      </c>
      <c r="BH7" s="60">
        <v>2.2666666666666666</v>
      </c>
      <c r="BI7" s="60">
        <v>2.3833333333333333</v>
      </c>
      <c r="BJ7" s="60">
        <v>2.5333333333333332</v>
      </c>
      <c r="BK7" s="60">
        <v>2.3666666666666667</v>
      </c>
      <c r="BL7" s="60">
        <v>2.3833333333333333</v>
      </c>
      <c r="BM7" s="60">
        <v>2.4833333333333334</v>
      </c>
      <c r="BN7" s="60">
        <v>2.3166666666666669</v>
      </c>
      <c r="BO7" s="60">
        <v>1.9666666666666666</v>
      </c>
      <c r="BP7" s="60">
        <v>2.2666666666666666</v>
      </c>
      <c r="BQ7" s="60">
        <v>2.4</v>
      </c>
      <c r="BR7" s="60">
        <v>2.4666666666666668</v>
      </c>
      <c r="BS7" s="60">
        <v>2.4833333333333334</v>
      </c>
      <c r="BT7" s="60">
        <v>2.0833333333333335</v>
      </c>
      <c r="BU7" s="60">
        <v>2.3166666666666669</v>
      </c>
      <c r="BV7" s="60">
        <v>2.4666666666666668</v>
      </c>
      <c r="BW7" s="60">
        <v>2.0666666666666669</v>
      </c>
      <c r="BX7" s="60">
        <v>2.2166666666666668</v>
      </c>
      <c r="BY7" s="60">
        <v>2.0666666666666669</v>
      </c>
      <c r="BZ7" s="60">
        <v>2.0333333333333332</v>
      </c>
      <c r="CB7" s="62" t="s">
        <v>522</v>
      </c>
      <c r="CC7" s="5">
        <v>500</v>
      </c>
      <c r="CD7" s="63">
        <v>6.8121000000000001E-2</v>
      </c>
      <c r="CE7" s="5">
        <v>8</v>
      </c>
      <c r="CG7" s="5">
        <v>67.680000000000007</v>
      </c>
      <c r="CH7" s="5">
        <v>70.680000000000007</v>
      </c>
      <c r="CI7" s="5">
        <v>68.97</v>
      </c>
      <c r="CJ7" s="5">
        <v>72.959999999999994</v>
      </c>
      <c r="CK7" s="5">
        <v>72.39</v>
      </c>
      <c r="CL7" s="5">
        <v>68.97</v>
      </c>
      <c r="CM7" s="5">
        <v>58.71</v>
      </c>
      <c r="CN7" s="5">
        <v>64.98</v>
      </c>
      <c r="CO7" s="5">
        <v>72.39</v>
      </c>
      <c r="CP7" s="5">
        <v>72.959999999999994</v>
      </c>
      <c r="CQ7" s="5">
        <v>68.400000000000006</v>
      </c>
      <c r="CR7" s="5">
        <v>64.41</v>
      </c>
      <c r="CS7" s="5">
        <v>64.41</v>
      </c>
      <c r="CT7" s="5">
        <v>66.69</v>
      </c>
      <c r="CU7" s="5">
        <v>78.66</v>
      </c>
      <c r="CV7" s="5">
        <v>70.680000000000007</v>
      </c>
      <c r="CW7" s="5">
        <v>78.66</v>
      </c>
      <c r="CX7" s="5">
        <v>78.66</v>
      </c>
      <c r="CY7" s="5">
        <v>75.81</v>
      </c>
      <c r="CZ7" s="5">
        <v>74.099999999999994</v>
      </c>
      <c r="DA7" s="5">
        <v>78.09</v>
      </c>
      <c r="DB7" s="5">
        <v>78.66</v>
      </c>
      <c r="DC7" s="5">
        <v>70.11</v>
      </c>
      <c r="DD7" s="5">
        <v>76.38</v>
      </c>
      <c r="DE7" s="5">
        <v>75.239999999999995</v>
      </c>
      <c r="DF7" s="5">
        <v>75.81</v>
      </c>
      <c r="DG7" s="5">
        <v>74.67</v>
      </c>
      <c r="DH7" s="5">
        <v>73.53</v>
      </c>
      <c r="DI7" s="5">
        <v>77.52</v>
      </c>
      <c r="DJ7" s="5">
        <v>79.8</v>
      </c>
      <c r="DK7" s="5">
        <v>77.52</v>
      </c>
      <c r="DL7" s="5">
        <v>78.09</v>
      </c>
      <c r="DM7" s="5">
        <v>83.79</v>
      </c>
      <c r="DN7" s="5">
        <v>70.680000000000007</v>
      </c>
      <c r="DO7" s="5">
        <v>76.95</v>
      </c>
      <c r="DP7" s="5">
        <v>79.8</v>
      </c>
      <c r="DQ7" s="5">
        <v>80.94</v>
      </c>
      <c r="DR7" s="5">
        <v>80.37</v>
      </c>
      <c r="DS7" s="5">
        <v>88.92</v>
      </c>
      <c r="DT7" s="5">
        <v>91.2</v>
      </c>
      <c r="DU7" s="5">
        <v>88.92</v>
      </c>
      <c r="DV7" s="5">
        <v>90.63</v>
      </c>
      <c r="DW7" s="5">
        <v>83.22</v>
      </c>
      <c r="DX7" s="5">
        <v>87.21</v>
      </c>
      <c r="DY7" s="5">
        <v>92.34</v>
      </c>
      <c r="DZ7" s="5">
        <v>86.64</v>
      </c>
      <c r="EA7" s="5">
        <v>87.21</v>
      </c>
      <c r="EB7" s="5">
        <v>90.63</v>
      </c>
      <c r="EC7" s="5">
        <v>84.93</v>
      </c>
      <c r="ED7" s="5">
        <v>71.819999999999993</v>
      </c>
      <c r="EE7" s="5">
        <v>83.22</v>
      </c>
      <c r="EF7" s="5">
        <v>87.78</v>
      </c>
      <c r="EG7" s="5">
        <v>90.06</v>
      </c>
      <c r="EH7" s="5">
        <v>90.63</v>
      </c>
      <c r="EI7" s="5">
        <v>76.38</v>
      </c>
      <c r="EJ7" s="5">
        <v>84.93</v>
      </c>
      <c r="EK7" s="5">
        <v>90.06</v>
      </c>
      <c r="EL7" s="5">
        <v>75.81</v>
      </c>
      <c r="EM7" s="5">
        <v>81.510000000000005</v>
      </c>
      <c r="EN7" s="5">
        <v>76.38</v>
      </c>
      <c r="EO7" s="5">
        <v>75.239999999999995</v>
      </c>
    </row>
    <row r="8" spans="1:145">
      <c r="A8" s="59">
        <v>6</v>
      </c>
      <c r="B8" s="13">
        <v>10</v>
      </c>
      <c r="C8" s="13">
        <v>10</v>
      </c>
      <c r="D8" s="13">
        <f t="shared" si="1"/>
        <v>100</v>
      </c>
      <c r="E8" s="5">
        <v>4</v>
      </c>
      <c r="F8" s="60">
        <v>40</v>
      </c>
      <c r="G8" s="60">
        <v>70</v>
      </c>
      <c r="H8" s="13">
        <v>10</v>
      </c>
      <c r="I8" s="5">
        <v>10</v>
      </c>
      <c r="J8" s="13">
        <f t="shared" si="2"/>
        <v>100</v>
      </c>
      <c r="K8" s="60">
        <v>2.4166666666666665</v>
      </c>
      <c r="L8" s="60">
        <v>24.166666666666664</v>
      </c>
      <c r="M8" s="60">
        <v>62.083333333333329</v>
      </c>
      <c r="N8" s="5">
        <f t="shared" si="0"/>
        <v>5661.0899999999983</v>
      </c>
      <c r="O8" s="5">
        <v>-60.864844699999992</v>
      </c>
      <c r="P8" s="5">
        <v>43.135155300000001</v>
      </c>
      <c r="Q8" s="5">
        <v>-57.487922399999988</v>
      </c>
      <c r="R8" s="5">
        <v>46.512077600000005</v>
      </c>
      <c r="T8" s="60">
        <v>2.1833333333333331</v>
      </c>
      <c r="U8" s="60">
        <v>2.2000000000000002</v>
      </c>
      <c r="V8" s="60">
        <v>2.1833333333333331</v>
      </c>
      <c r="W8" s="60">
        <v>2.4833333333333334</v>
      </c>
      <c r="X8" s="60">
        <v>2.4333333333333331</v>
      </c>
      <c r="Y8" s="60">
        <v>2.4333333333333331</v>
      </c>
      <c r="Z8" s="60">
        <v>2.3333333333333335</v>
      </c>
      <c r="AA8" s="60">
        <v>2.3833333333333333</v>
      </c>
      <c r="AB8" s="60">
        <v>2.2666666666666666</v>
      </c>
      <c r="AC8" s="60">
        <v>2.5666666666666669</v>
      </c>
      <c r="AD8" s="60">
        <v>2.3333333333333335</v>
      </c>
      <c r="AE8" s="60">
        <v>2.5</v>
      </c>
      <c r="AF8" s="60">
        <v>2.0333333333333332</v>
      </c>
      <c r="AG8" s="60">
        <v>2.5333333333333332</v>
      </c>
      <c r="AH8" s="60">
        <v>2.4</v>
      </c>
      <c r="AI8" s="60">
        <v>2.1333333333333333</v>
      </c>
      <c r="AJ8" s="60">
        <v>2.3833333333333333</v>
      </c>
      <c r="AK8" s="60">
        <v>1.95</v>
      </c>
      <c r="AL8" s="60">
        <v>2.1833333333333331</v>
      </c>
      <c r="AM8" s="60">
        <v>2.25</v>
      </c>
      <c r="AN8" s="60">
        <v>2.4500000000000002</v>
      </c>
      <c r="AO8" s="60">
        <v>2.4833333333333334</v>
      </c>
      <c r="AP8" s="60">
        <v>2.5166666666666666</v>
      </c>
      <c r="AQ8" s="60">
        <v>2.3666666666666667</v>
      </c>
      <c r="AR8" s="60">
        <v>2.3166666666666669</v>
      </c>
      <c r="AS8" s="60">
        <v>2.2000000000000002</v>
      </c>
      <c r="AT8" s="60">
        <v>2.3666666666666667</v>
      </c>
      <c r="AU8" s="60">
        <v>2.4666666666666668</v>
      </c>
      <c r="AV8" s="60">
        <v>2.4166666666666665</v>
      </c>
      <c r="AW8" s="60">
        <v>2.5499999999999998</v>
      </c>
      <c r="AX8" s="60">
        <v>2.7</v>
      </c>
      <c r="AY8" s="60">
        <v>2.6</v>
      </c>
      <c r="AZ8" s="60">
        <v>2.7166666666666668</v>
      </c>
      <c r="BA8" s="60">
        <v>2.9</v>
      </c>
      <c r="BB8" s="60">
        <v>2.8166666666666669</v>
      </c>
      <c r="BC8" s="60">
        <v>2.5833333333333335</v>
      </c>
      <c r="BD8" s="60">
        <v>2.8833333333333333</v>
      </c>
      <c r="BE8" s="60">
        <v>3.1166666666666667</v>
      </c>
      <c r="BF8" s="60">
        <v>3</v>
      </c>
      <c r="BG8" s="60">
        <v>3.05</v>
      </c>
      <c r="BH8" s="60">
        <v>2.8166666666666669</v>
      </c>
      <c r="BI8" s="60">
        <v>3.0166666666666666</v>
      </c>
      <c r="BJ8" s="60">
        <v>3.0333333333333332</v>
      </c>
      <c r="BK8" s="60">
        <v>2.8333333333333335</v>
      </c>
      <c r="BL8" s="60">
        <v>2.9</v>
      </c>
      <c r="BM8" s="60">
        <v>3.0833333333333335</v>
      </c>
      <c r="BN8" s="60">
        <v>2.85</v>
      </c>
      <c r="BO8" s="60">
        <v>2.8833333333333333</v>
      </c>
      <c r="BP8" s="60">
        <v>2.85</v>
      </c>
      <c r="BQ8" s="60">
        <v>2.6666666666666665</v>
      </c>
      <c r="BR8" s="60">
        <v>2.7666666666666666</v>
      </c>
      <c r="BS8" s="60">
        <v>2.7666666666666666</v>
      </c>
      <c r="BT8" s="60">
        <v>2.8166666666666669</v>
      </c>
      <c r="BU8" s="60">
        <v>2.5833333333333335</v>
      </c>
      <c r="BV8" s="60">
        <v>2.4</v>
      </c>
      <c r="BW8" s="60">
        <v>2.5666666666666669</v>
      </c>
      <c r="BX8" s="60">
        <v>2.4</v>
      </c>
      <c r="BY8" s="60">
        <v>2.4666666666666668</v>
      </c>
      <c r="BZ8" s="60">
        <v>2.2999999999999998</v>
      </c>
      <c r="CB8" s="5" t="s">
        <v>523</v>
      </c>
      <c r="CC8" s="5">
        <v>500</v>
      </c>
      <c r="CD8" s="63">
        <v>6.3866249999999999E-2</v>
      </c>
      <c r="CE8" s="5">
        <v>6</v>
      </c>
      <c r="CG8" s="5">
        <v>89.91</v>
      </c>
      <c r="CH8" s="5">
        <v>85.5</v>
      </c>
      <c r="CI8" s="5">
        <v>80.37</v>
      </c>
      <c r="CJ8" s="5">
        <v>80.94</v>
      </c>
      <c r="CK8" s="5">
        <v>80.37</v>
      </c>
      <c r="CL8" s="5">
        <v>90.63</v>
      </c>
      <c r="CM8" s="5">
        <v>88.92</v>
      </c>
      <c r="CN8" s="5">
        <v>88.92</v>
      </c>
      <c r="CO8" s="5">
        <v>85.5</v>
      </c>
      <c r="CP8" s="5">
        <v>87.21</v>
      </c>
      <c r="CQ8" s="5">
        <v>83.22</v>
      </c>
      <c r="CR8" s="5">
        <v>93.48</v>
      </c>
      <c r="CS8" s="5">
        <v>85.5</v>
      </c>
      <c r="CT8" s="5">
        <v>91.2</v>
      </c>
      <c r="CU8" s="5">
        <v>74.67</v>
      </c>
      <c r="CV8" s="5">
        <v>92.34</v>
      </c>
      <c r="CW8" s="5">
        <v>87.78</v>
      </c>
      <c r="CX8" s="5">
        <v>78.09</v>
      </c>
      <c r="CY8" s="5">
        <v>87.21</v>
      </c>
      <c r="CZ8" s="5">
        <v>71.819999999999993</v>
      </c>
      <c r="DA8" s="5">
        <v>80.37</v>
      </c>
      <c r="DB8" s="5">
        <v>82.65</v>
      </c>
      <c r="DC8" s="5">
        <v>89.49</v>
      </c>
      <c r="DD8" s="5">
        <v>90.63</v>
      </c>
      <c r="DE8" s="5">
        <v>91.77</v>
      </c>
      <c r="DF8" s="5">
        <v>86.64</v>
      </c>
      <c r="DG8" s="5">
        <v>84.93</v>
      </c>
      <c r="DH8" s="5">
        <v>80.94</v>
      </c>
      <c r="DI8" s="5">
        <v>86.64</v>
      </c>
      <c r="DJ8" s="5">
        <v>90.06</v>
      </c>
      <c r="DK8" s="5">
        <v>88.35</v>
      </c>
      <c r="DL8" s="5">
        <v>92.91</v>
      </c>
      <c r="DM8" s="5">
        <v>98.04</v>
      </c>
      <c r="DN8" s="5">
        <v>94.62</v>
      </c>
      <c r="DO8" s="5">
        <v>98.61</v>
      </c>
      <c r="DP8" s="5">
        <v>104.88</v>
      </c>
      <c r="DQ8" s="5">
        <v>102.03</v>
      </c>
      <c r="DR8" s="5">
        <v>94.05</v>
      </c>
      <c r="DS8" s="5">
        <v>104.31</v>
      </c>
      <c r="DT8" s="5">
        <v>112.29</v>
      </c>
      <c r="DU8" s="5">
        <v>108.3</v>
      </c>
      <c r="DV8" s="5">
        <v>110.01</v>
      </c>
      <c r="DW8" s="5">
        <v>102.03</v>
      </c>
      <c r="DX8" s="5">
        <v>108.87</v>
      </c>
      <c r="DY8" s="5">
        <v>109.44</v>
      </c>
      <c r="DZ8" s="5">
        <v>102.6</v>
      </c>
      <c r="EA8" s="5">
        <v>104.88</v>
      </c>
      <c r="EB8" s="5">
        <v>111.15</v>
      </c>
      <c r="EC8" s="5">
        <v>103.17</v>
      </c>
      <c r="ED8" s="5">
        <v>104.31</v>
      </c>
      <c r="EE8" s="5">
        <v>103.17</v>
      </c>
      <c r="EF8" s="5">
        <v>96.9</v>
      </c>
      <c r="EG8" s="5">
        <v>100.32</v>
      </c>
      <c r="EH8" s="5">
        <v>100.32</v>
      </c>
      <c r="EI8" s="5">
        <v>102.03</v>
      </c>
      <c r="EJ8" s="5">
        <v>93.48</v>
      </c>
      <c r="EK8" s="5">
        <v>87.21</v>
      </c>
      <c r="EL8" s="5">
        <v>93.48</v>
      </c>
      <c r="EM8" s="5">
        <v>87.21</v>
      </c>
      <c r="EN8" s="5">
        <v>90.06</v>
      </c>
      <c r="EO8" s="5">
        <v>84.36</v>
      </c>
    </row>
    <row r="9" spans="1:145">
      <c r="A9" s="59">
        <v>7</v>
      </c>
      <c r="B9" s="13">
        <v>10</v>
      </c>
      <c r="C9" s="13">
        <v>10</v>
      </c>
      <c r="D9" s="13">
        <f t="shared" si="1"/>
        <v>100</v>
      </c>
      <c r="E9" s="5">
        <v>3</v>
      </c>
      <c r="F9" s="60">
        <v>30</v>
      </c>
      <c r="G9" s="60">
        <v>65</v>
      </c>
      <c r="H9" s="13">
        <v>10</v>
      </c>
      <c r="I9" s="5">
        <v>10</v>
      </c>
      <c r="J9" s="13">
        <f t="shared" si="2"/>
        <v>100</v>
      </c>
      <c r="K9" s="60">
        <v>1.6</v>
      </c>
      <c r="L9" s="60">
        <v>16</v>
      </c>
      <c r="M9" s="60">
        <v>58</v>
      </c>
      <c r="N9" s="5">
        <f t="shared" si="0"/>
        <v>4313.6099999999988</v>
      </c>
      <c r="O9" s="5">
        <v>-60.246638199999992</v>
      </c>
      <c r="P9" s="5">
        <v>43.753361800000008</v>
      </c>
      <c r="Q9" s="5">
        <v>-59.165121499999998</v>
      </c>
      <c r="R9" s="5">
        <v>44.834878499999995</v>
      </c>
      <c r="T9" s="60">
        <v>1.85</v>
      </c>
      <c r="U9" s="60">
        <v>1.8</v>
      </c>
      <c r="V9" s="60">
        <v>1.8666666666666667</v>
      </c>
      <c r="W9" s="60">
        <v>1.7333333333333334</v>
      </c>
      <c r="X9" s="60">
        <v>1.9</v>
      </c>
      <c r="Y9" s="60">
        <v>1.8666666666666667</v>
      </c>
      <c r="Z9" s="60">
        <v>1.75</v>
      </c>
      <c r="AA9" s="60">
        <v>1.8833333333333333</v>
      </c>
      <c r="AB9" s="60">
        <v>2.0833333333333335</v>
      </c>
      <c r="AC9" s="60">
        <v>2.1166666666666667</v>
      </c>
      <c r="AD9" s="60">
        <v>1.8833333333333333</v>
      </c>
      <c r="AE9" s="60">
        <v>2.0833333333333335</v>
      </c>
      <c r="AF9" s="60">
        <v>2.0166666666666666</v>
      </c>
      <c r="AG9" s="60">
        <v>1.6833333333333333</v>
      </c>
      <c r="AH9" s="60">
        <v>1.9</v>
      </c>
      <c r="AI9" s="60">
        <v>1.7666666666666666</v>
      </c>
      <c r="AJ9" s="60">
        <v>1.7166666666666666</v>
      </c>
      <c r="AK9" s="60">
        <v>1.6166666666666667</v>
      </c>
      <c r="AL9" s="60">
        <v>1.5833333333333333</v>
      </c>
      <c r="AM9" s="60">
        <v>1.8333333333333333</v>
      </c>
      <c r="AN9" s="60">
        <v>1.8666666666666667</v>
      </c>
      <c r="AO9" s="60">
        <v>1.9166666666666667</v>
      </c>
      <c r="AP9" s="60">
        <v>2.0166666666666666</v>
      </c>
      <c r="AQ9" s="60">
        <v>1.7666666666666666</v>
      </c>
      <c r="AR9" s="60">
        <v>1.7166666666666666</v>
      </c>
      <c r="AS9" s="60">
        <v>1.6166666666666667</v>
      </c>
      <c r="AT9" s="60">
        <v>1.8</v>
      </c>
      <c r="AU9" s="60">
        <v>1.65</v>
      </c>
      <c r="AV9" s="60">
        <v>1.7333333333333334</v>
      </c>
      <c r="AW9" s="60">
        <v>1.7666666666666666</v>
      </c>
      <c r="AX9" s="60">
        <v>1.85</v>
      </c>
      <c r="AY9" s="60">
        <v>1.8833333333333333</v>
      </c>
      <c r="AZ9" s="60">
        <v>1.7333333333333334</v>
      </c>
      <c r="BA9" s="60">
        <v>2.0166666666666666</v>
      </c>
      <c r="BB9" s="60">
        <v>2.1</v>
      </c>
      <c r="BC9" s="60">
        <v>2.0333333333333332</v>
      </c>
      <c r="BD9" s="60">
        <v>2.2000000000000002</v>
      </c>
      <c r="BE9" s="60">
        <v>1.8166666666666667</v>
      </c>
      <c r="BF9" s="60">
        <v>2.2333333333333334</v>
      </c>
      <c r="BG9" s="60">
        <v>2.0333333333333332</v>
      </c>
      <c r="BH9" s="60">
        <v>1.8666666666666667</v>
      </c>
      <c r="BI9" s="60">
        <v>2.2333333333333334</v>
      </c>
      <c r="BJ9" s="60">
        <v>1.7333333333333334</v>
      </c>
      <c r="BK9" s="60">
        <v>2.2333333333333334</v>
      </c>
      <c r="BL9" s="60">
        <v>2.1833333333333331</v>
      </c>
      <c r="BM9" s="60">
        <v>1.9</v>
      </c>
      <c r="BN9" s="60">
        <v>2.1166666666666667</v>
      </c>
      <c r="BO9" s="60">
        <v>2.0499999999999998</v>
      </c>
      <c r="BP9" s="60">
        <v>2.2833333333333332</v>
      </c>
      <c r="BQ9" s="60">
        <v>2.0166666666666666</v>
      </c>
      <c r="BR9" s="60">
        <v>2.3666666666666667</v>
      </c>
      <c r="BS9" s="60">
        <v>1.9666666666666666</v>
      </c>
      <c r="BT9" s="60">
        <v>2.0333333333333332</v>
      </c>
      <c r="BU9" s="60">
        <v>2.0666666666666669</v>
      </c>
      <c r="BV9" s="60">
        <v>1.9833333333333334</v>
      </c>
      <c r="BW9" s="60">
        <v>1.65</v>
      </c>
      <c r="BX9" s="60">
        <v>1.7666666666666666</v>
      </c>
      <c r="BY9" s="60">
        <v>1.7833333333333334</v>
      </c>
      <c r="BZ9" s="60">
        <v>1.6166666666666667</v>
      </c>
      <c r="CB9" s="5" t="s">
        <v>524</v>
      </c>
      <c r="CC9" s="5">
        <v>500</v>
      </c>
      <c r="CD9" s="63">
        <v>6.7653333333333329E-2</v>
      </c>
      <c r="CE9" s="5">
        <v>7</v>
      </c>
      <c r="CG9" s="5">
        <v>61.98</v>
      </c>
      <c r="CH9" s="5">
        <v>74.099999999999994</v>
      </c>
      <c r="CI9" s="5">
        <v>68.97</v>
      </c>
      <c r="CJ9" s="5">
        <v>67.260000000000005</v>
      </c>
      <c r="CK9" s="5">
        <v>69.540000000000006</v>
      </c>
      <c r="CL9" s="5">
        <v>64.41</v>
      </c>
      <c r="CM9" s="5">
        <v>70.680000000000007</v>
      </c>
      <c r="CN9" s="5">
        <v>69.540000000000006</v>
      </c>
      <c r="CO9" s="5">
        <v>64.98</v>
      </c>
      <c r="CP9" s="5">
        <v>70.11</v>
      </c>
      <c r="CQ9" s="5">
        <v>76.95</v>
      </c>
      <c r="CR9" s="5">
        <v>78.09</v>
      </c>
      <c r="CS9" s="5">
        <v>70.11</v>
      </c>
      <c r="CT9" s="5">
        <v>76.95</v>
      </c>
      <c r="CU9" s="5">
        <v>74.67</v>
      </c>
      <c r="CV9" s="5">
        <v>62.13</v>
      </c>
      <c r="CW9" s="5">
        <v>70.680000000000007</v>
      </c>
      <c r="CX9" s="5">
        <v>66.12</v>
      </c>
      <c r="CY9" s="5">
        <v>63.84</v>
      </c>
      <c r="CZ9" s="5">
        <v>60.42</v>
      </c>
      <c r="DA9" s="5">
        <v>59.28</v>
      </c>
      <c r="DB9" s="5">
        <v>68.400000000000006</v>
      </c>
      <c r="DC9" s="5">
        <v>69.540000000000006</v>
      </c>
      <c r="DD9" s="5">
        <v>71.25</v>
      </c>
      <c r="DE9" s="5">
        <v>74.67</v>
      </c>
      <c r="DF9" s="5">
        <v>66.12</v>
      </c>
      <c r="DG9" s="5">
        <v>64.41</v>
      </c>
      <c r="DH9" s="5">
        <v>60.99</v>
      </c>
      <c r="DI9" s="5">
        <v>67.260000000000005</v>
      </c>
      <c r="DJ9" s="5">
        <v>62.13</v>
      </c>
      <c r="DK9" s="5">
        <v>64.98</v>
      </c>
      <c r="DL9" s="5">
        <v>66.12</v>
      </c>
      <c r="DM9" s="5">
        <v>68.97</v>
      </c>
      <c r="DN9" s="5">
        <v>70.11</v>
      </c>
      <c r="DO9" s="5">
        <v>64.98</v>
      </c>
      <c r="DP9" s="5">
        <v>74.67</v>
      </c>
      <c r="DQ9" s="5">
        <v>77.52</v>
      </c>
      <c r="DR9" s="5">
        <v>75.239999999999995</v>
      </c>
      <c r="DS9" s="5">
        <v>80.94</v>
      </c>
      <c r="DT9" s="5">
        <v>67.260000000000005</v>
      </c>
      <c r="DU9" s="5">
        <v>82.08</v>
      </c>
      <c r="DV9" s="5">
        <v>75.239999999999995</v>
      </c>
      <c r="DW9" s="5">
        <v>68.97</v>
      </c>
      <c r="DX9" s="5">
        <v>82.08</v>
      </c>
      <c r="DY9" s="5">
        <v>64.41</v>
      </c>
      <c r="DZ9" s="5">
        <v>82.08</v>
      </c>
      <c r="EA9" s="5">
        <v>80.37</v>
      </c>
      <c r="EB9" s="5">
        <v>70.11</v>
      </c>
      <c r="EC9" s="5">
        <v>78.09</v>
      </c>
      <c r="ED9" s="5">
        <v>75.81</v>
      </c>
      <c r="EE9" s="5">
        <v>83.79</v>
      </c>
      <c r="EF9" s="5">
        <v>74.67</v>
      </c>
      <c r="EG9" s="5">
        <v>86.64</v>
      </c>
      <c r="EH9" s="5">
        <v>72.39</v>
      </c>
      <c r="EI9" s="5">
        <v>75.239999999999995</v>
      </c>
      <c r="EJ9" s="5">
        <v>76.38</v>
      </c>
      <c r="EK9" s="5">
        <v>73.53</v>
      </c>
      <c r="EL9" s="5">
        <v>62.13</v>
      </c>
      <c r="EM9" s="5">
        <v>65.55</v>
      </c>
      <c r="EN9" s="5">
        <v>66.69</v>
      </c>
      <c r="EO9" s="5">
        <v>60.99</v>
      </c>
    </row>
    <row r="10" spans="1:145">
      <c r="A10" s="59">
        <v>8</v>
      </c>
      <c r="B10" s="13">
        <v>10</v>
      </c>
      <c r="C10" s="13">
        <v>8</v>
      </c>
      <c r="D10" s="13">
        <f t="shared" si="1"/>
        <v>80</v>
      </c>
      <c r="E10" s="5">
        <v>3</v>
      </c>
      <c r="F10" s="60">
        <v>30</v>
      </c>
      <c r="G10" s="60">
        <v>65</v>
      </c>
      <c r="H10" s="13">
        <v>10</v>
      </c>
      <c r="I10" s="5">
        <v>10</v>
      </c>
      <c r="J10" s="13">
        <f t="shared" si="2"/>
        <v>100</v>
      </c>
      <c r="K10" s="60">
        <v>2.0166666666666666</v>
      </c>
      <c r="L10" s="60">
        <v>20.166666666666664</v>
      </c>
      <c r="M10" s="60">
        <v>60.083333333333329</v>
      </c>
      <c r="N10" s="5">
        <f t="shared" si="0"/>
        <v>5129.2800000000007</v>
      </c>
      <c r="O10" s="5">
        <v>-59.095344400000002</v>
      </c>
      <c r="P10" s="5">
        <v>44.904655599999998</v>
      </c>
      <c r="Q10" s="5">
        <v>-58.513718499999996</v>
      </c>
      <c r="R10" s="5">
        <v>45.486281499999997</v>
      </c>
      <c r="T10" s="60">
        <v>2.1666666666666665</v>
      </c>
      <c r="U10" s="60">
        <v>2</v>
      </c>
      <c r="V10" s="60">
        <v>2.0333333333333332</v>
      </c>
      <c r="W10" s="60">
        <v>1.9666666666666666</v>
      </c>
      <c r="X10" s="60">
        <v>2.1166666666666667</v>
      </c>
      <c r="Y10" s="60">
        <v>2.1166666666666667</v>
      </c>
      <c r="Z10" s="60">
        <v>2.1666666666666665</v>
      </c>
      <c r="AA10" s="60">
        <v>2.0166666666666666</v>
      </c>
      <c r="AB10" s="60">
        <v>2.1833333333333331</v>
      </c>
      <c r="AC10" s="60">
        <v>2.3833333333333333</v>
      </c>
      <c r="AD10" s="60">
        <v>2.3166666666666669</v>
      </c>
      <c r="AE10" s="60">
        <v>2.2166666666666668</v>
      </c>
      <c r="AF10" s="60">
        <v>2.1833333333333331</v>
      </c>
      <c r="AG10" s="60">
        <v>2.0333333333333332</v>
      </c>
      <c r="AH10" s="60">
        <v>2.3333333333333335</v>
      </c>
      <c r="AI10" s="60">
        <v>2.2000000000000002</v>
      </c>
      <c r="AJ10" s="60">
        <v>2.0333333333333332</v>
      </c>
      <c r="AK10" s="60">
        <v>2.15</v>
      </c>
      <c r="AL10" s="60">
        <v>2.0499999999999998</v>
      </c>
      <c r="AM10" s="60">
        <v>2.1833333333333331</v>
      </c>
      <c r="AN10" s="60">
        <v>2.15</v>
      </c>
      <c r="AO10" s="60">
        <v>2.0833333333333335</v>
      </c>
      <c r="AP10" s="60">
        <v>2.1333333333333333</v>
      </c>
      <c r="AQ10" s="60">
        <v>2.1666666666666665</v>
      </c>
      <c r="AR10" s="60">
        <v>2.2166666666666668</v>
      </c>
      <c r="AS10" s="60">
        <v>2.25</v>
      </c>
      <c r="AT10" s="60">
        <v>2.0166666666666666</v>
      </c>
      <c r="AU10" s="60">
        <v>2</v>
      </c>
      <c r="AV10" s="60">
        <v>2.2666666666666666</v>
      </c>
      <c r="AW10" s="60">
        <v>2.0833333333333335</v>
      </c>
      <c r="AX10" s="60">
        <v>2.2000000000000002</v>
      </c>
      <c r="AY10" s="60">
        <v>2.3333333333333335</v>
      </c>
      <c r="AZ10" s="60">
        <v>2.25</v>
      </c>
      <c r="BA10" s="60">
        <v>2.4500000000000002</v>
      </c>
      <c r="BB10" s="60">
        <v>2.4</v>
      </c>
      <c r="BC10" s="60">
        <v>2.35</v>
      </c>
      <c r="BD10" s="60">
        <v>2.5166666666666666</v>
      </c>
      <c r="BE10" s="60">
        <v>2.6</v>
      </c>
      <c r="BF10" s="60">
        <v>2.5666666666666669</v>
      </c>
      <c r="BG10" s="60">
        <v>2.5166666666666666</v>
      </c>
      <c r="BH10" s="60">
        <v>2.4166666666666665</v>
      </c>
      <c r="BI10" s="60">
        <v>2.4833333333333334</v>
      </c>
      <c r="BJ10" s="60">
        <v>2.4</v>
      </c>
      <c r="BK10" s="60">
        <v>2.6833333333333331</v>
      </c>
      <c r="BL10" s="60">
        <v>2.5499999999999998</v>
      </c>
      <c r="BM10" s="60">
        <v>2.6333333333333333</v>
      </c>
      <c r="BN10" s="60">
        <v>2.8</v>
      </c>
      <c r="BO10" s="60">
        <v>2.7166666666666668</v>
      </c>
      <c r="BP10" s="60">
        <v>2.65</v>
      </c>
      <c r="BQ10" s="60">
        <v>2.5</v>
      </c>
      <c r="BR10" s="60">
        <v>2.8333333333333335</v>
      </c>
      <c r="BS10" s="60">
        <v>2.5166666666666666</v>
      </c>
      <c r="BT10" s="60">
        <v>2.6666666666666665</v>
      </c>
      <c r="BU10" s="60">
        <v>2.3333333333333335</v>
      </c>
      <c r="BV10" s="60">
        <v>2.3333333333333335</v>
      </c>
      <c r="BW10" s="60">
        <v>2.25</v>
      </c>
      <c r="BX10" s="60">
        <v>2.3166666666666669</v>
      </c>
      <c r="BY10" s="60">
        <v>2.1666666666666665</v>
      </c>
      <c r="BZ10" s="60">
        <v>2.0833333333333335</v>
      </c>
      <c r="CB10" s="5" t="s">
        <v>525</v>
      </c>
      <c r="CC10" s="5">
        <v>500</v>
      </c>
      <c r="CD10" s="63">
        <v>7.0648000000000002E-2</v>
      </c>
      <c r="CE10" s="5">
        <v>7</v>
      </c>
      <c r="CG10" s="5">
        <v>76.23</v>
      </c>
      <c r="CH10" s="5">
        <v>76.95</v>
      </c>
      <c r="CI10" s="5">
        <v>79.8</v>
      </c>
      <c r="CJ10" s="5">
        <v>74.099999999999994</v>
      </c>
      <c r="CK10" s="5">
        <v>75.239999999999995</v>
      </c>
      <c r="CL10" s="5">
        <v>72.959999999999994</v>
      </c>
      <c r="CM10" s="5">
        <v>78.09</v>
      </c>
      <c r="CN10" s="5">
        <v>78.09</v>
      </c>
      <c r="CO10" s="5">
        <v>79.8</v>
      </c>
      <c r="CP10" s="5">
        <v>74.67</v>
      </c>
      <c r="CQ10" s="5">
        <v>80.37</v>
      </c>
      <c r="CR10" s="5">
        <v>87.21</v>
      </c>
      <c r="CS10" s="5">
        <v>84.93</v>
      </c>
      <c r="CT10" s="5">
        <v>81.510000000000005</v>
      </c>
      <c r="CU10" s="5">
        <v>80.37</v>
      </c>
      <c r="CV10" s="5">
        <v>74.67</v>
      </c>
      <c r="CW10" s="5">
        <v>85.5</v>
      </c>
      <c r="CX10" s="5">
        <v>80.94</v>
      </c>
      <c r="CY10" s="5">
        <v>74.67</v>
      </c>
      <c r="CZ10" s="5">
        <v>79.23</v>
      </c>
      <c r="DA10" s="5">
        <v>75.239999999999995</v>
      </c>
      <c r="DB10" s="5">
        <v>80.37</v>
      </c>
      <c r="DC10" s="5">
        <v>79.23</v>
      </c>
      <c r="DD10" s="5">
        <v>76.95</v>
      </c>
      <c r="DE10" s="5">
        <v>78.66</v>
      </c>
      <c r="DF10" s="5">
        <v>79.8</v>
      </c>
      <c r="DG10" s="5">
        <v>81.510000000000005</v>
      </c>
      <c r="DH10" s="5">
        <v>82.65</v>
      </c>
      <c r="DI10" s="5">
        <v>74.67</v>
      </c>
      <c r="DJ10" s="5">
        <v>74.099999999999994</v>
      </c>
      <c r="DK10" s="5">
        <v>83.22</v>
      </c>
      <c r="DL10" s="5">
        <v>76.95</v>
      </c>
      <c r="DM10" s="5">
        <v>80.94</v>
      </c>
      <c r="DN10" s="5">
        <v>85.5</v>
      </c>
      <c r="DO10" s="5">
        <v>82.65</v>
      </c>
      <c r="DP10" s="5">
        <v>89.49</v>
      </c>
      <c r="DQ10" s="5">
        <v>87.78</v>
      </c>
      <c r="DR10" s="5">
        <v>86.07</v>
      </c>
      <c r="DS10" s="5">
        <v>91.77</v>
      </c>
      <c r="DT10" s="5">
        <v>94.62</v>
      </c>
      <c r="DU10" s="5">
        <v>93.48</v>
      </c>
      <c r="DV10" s="5">
        <v>91.77</v>
      </c>
      <c r="DW10" s="5">
        <v>88.35</v>
      </c>
      <c r="DX10" s="5">
        <v>90.63</v>
      </c>
      <c r="DY10" s="5">
        <v>87.78</v>
      </c>
      <c r="DZ10" s="5">
        <v>97.47</v>
      </c>
      <c r="EA10" s="5">
        <v>92.91</v>
      </c>
      <c r="EB10" s="5">
        <v>95.76</v>
      </c>
      <c r="EC10" s="5">
        <v>101.46</v>
      </c>
      <c r="ED10" s="5">
        <v>98.61</v>
      </c>
      <c r="EE10" s="5">
        <v>96.33</v>
      </c>
      <c r="EF10" s="5">
        <v>91.2</v>
      </c>
      <c r="EG10" s="5">
        <v>102.6</v>
      </c>
      <c r="EH10" s="5">
        <v>91.77</v>
      </c>
      <c r="EI10" s="5">
        <v>96.9</v>
      </c>
      <c r="EJ10" s="5">
        <v>84.93</v>
      </c>
      <c r="EK10" s="5">
        <v>85.5</v>
      </c>
      <c r="EL10" s="5">
        <v>82.65</v>
      </c>
      <c r="EM10" s="5">
        <v>84.93</v>
      </c>
      <c r="EN10" s="5">
        <v>79.8</v>
      </c>
      <c r="EO10" s="5">
        <v>76.95</v>
      </c>
    </row>
    <row r="11" spans="1:145">
      <c r="A11" s="59">
        <v>9</v>
      </c>
      <c r="B11" s="13">
        <v>10</v>
      </c>
      <c r="C11" s="13">
        <v>10</v>
      </c>
      <c r="D11" s="13">
        <f t="shared" si="1"/>
        <v>100</v>
      </c>
      <c r="E11" s="5">
        <v>3</v>
      </c>
      <c r="F11" s="60">
        <v>30</v>
      </c>
      <c r="G11" s="60">
        <v>65</v>
      </c>
      <c r="H11" s="13">
        <v>10</v>
      </c>
      <c r="I11" s="5">
        <v>8</v>
      </c>
      <c r="J11" s="13">
        <f t="shared" si="2"/>
        <v>80</v>
      </c>
      <c r="K11" s="60">
        <v>1.75</v>
      </c>
      <c r="L11" s="60">
        <v>17.5</v>
      </c>
      <c r="M11" s="60">
        <v>58.75</v>
      </c>
      <c r="N11" s="5">
        <f t="shared" si="0"/>
        <v>4824.8999999999996</v>
      </c>
      <c r="O11" s="5">
        <v>-61.169057999999993</v>
      </c>
      <c r="P11" s="5">
        <v>42.830942</v>
      </c>
      <c r="Q11" s="5">
        <v>-58.401759300000002</v>
      </c>
      <c r="R11" s="5">
        <v>45.598240699999998</v>
      </c>
      <c r="T11" s="60">
        <v>2.0166666666666666</v>
      </c>
      <c r="U11" s="60">
        <v>2.1</v>
      </c>
      <c r="V11" s="60">
        <v>1.9666666666666666</v>
      </c>
      <c r="W11" s="60">
        <v>1.9</v>
      </c>
      <c r="X11" s="60">
        <v>2.0333333333333332</v>
      </c>
      <c r="Y11" s="60">
        <v>1.9333333333333333</v>
      </c>
      <c r="Z11" s="60">
        <v>1.5833333333333333</v>
      </c>
      <c r="AA11" s="60">
        <v>2</v>
      </c>
      <c r="AB11" s="60">
        <v>2.15</v>
      </c>
      <c r="AC11" s="60">
        <v>2.2000000000000002</v>
      </c>
      <c r="AD11" s="60">
        <v>2.25</v>
      </c>
      <c r="AE11" s="60">
        <v>2.25</v>
      </c>
      <c r="AF11" s="60">
        <v>2.35</v>
      </c>
      <c r="AG11" s="60">
        <v>2.0666666666666669</v>
      </c>
      <c r="AH11" s="60">
        <v>2.2333333333333334</v>
      </c>
      <c r="AI11" s="60">
        <v>2</v>
      </c>
      <c r="AJ11" s="60">
        <v>2.2000000000000002</v>
      </c>
      <c r="AK11" s="60">
        <v>1.7666666666666666</v>
      </c>
      <c r="AL11" s="60">
        <v>1.9833333333333334</v>
      </c>
      <c r="AM11" s="60">
        <v>2.0666666666666669</v>
      </c>
      <c r="AN11" s="60">
        <v>2.1333333333333333</v>
      </c>
      <c r="AO11" s="60">
        <v>2.0499999999999998</v>
      </c>
      <c r="AP11" s="60">
        <v>1.9666666666666666</v>
      </c>
      <c r="AQ11" s="60">
        <v>2.0333333333333332</v>
      </c>
      <c r="AR11" s="60">
        <v>2.1</v>
      </c>
      <c r="AS11" s="60">
        <v>1.9833333333333334</v>
      </c>
      <c r="AT11" s="60">
        <v>1.95</v>
      </c>
      <c r="AU11" s="60">
        <v>1.8666666666666667</v>
      </c>
      <c r="AV11" s="60">
        <v>2.1666666666666665</v>
      </c>
      <c r="AW11" s="60">
        <v>1.9166666666666667</v>
      </c>
      <c r="AX11" s="60">
        <v>2.0166666666666666</v>
      </c>
      <c r="AY11" s="60">
        <v>2.1833333333333331</v>
      </c>
      <c r="AZ11" s="60">
        <v>2.2666666666666666</v>
      </c>
      <c r="BA11" s="60">
        <v>2.3333333333333335</v>
      </c>
      <c r="BB11" s="60">
        <v>2.4333333333333331</v>
      </c>
      <c r="BC11" s="60">
        <v>2.1666666666666665</v>
      </c>
      <c r="BD11" s="60">
        <v>2.3666666666666667</v>
      </c>
      <c r="BE11" s="60">
        <v>2.4666666666666668</v>
      </c>
      <c r="BF11" s="60">
        <v>2.4333333333333331</v>
      </c>
      <c r="BG11" s="60">
        <v>2.35</v>
      </c>
      <c r="BH11" s="60">
        <v>2.3666666666666667</v>
      </c>
      <c r="BI11" s="60">
        <v>2.35</v>
      </c>
      <c r="BJ11" s="60">
        <v>2.5499999999999998</v>
      </c>
      <c r="BK11" s="60">
        <v>2.3833333333333333</v>
      </c>
      <c r="BL11" s="60">
        <v>2.3333333333333335</v>
      </c>
      <c r="BM11" s="60">
        <v>2.2833333333333332</v>
      </c>
      <c r="BN11" s="60">
        <v>2.3833333333333333</v>
      </c>
      <c r="BO11" s="60">
        <v>2.3833333333333333</v>
      </c>
      <c r="BP11" s="60">
        <v>2.3333333333333335</v>
      </c>
      <c r="BQ11" s="60">
        <v>2.4333333333333331</v>
      </c>
      <c r="BR11" s="60">
        <v>2.25</v>
      </c>
      <c r="BS11" s="60">
        <v>2.4500000000000002</v>
      </c>
      <c r="BT11" s="60">
        <v>2.3666666666666667</v>
      </c>
      <c r="BU11" s="60">
        <v>2.1666666666666665</v>
      </c>
      <c r="BV11" s="60">
        <v>1.8833333333333333</v>
      </c>
      <c r="BW11" s="60">
        <v>2</v>
      </c>
      <c r="BX11" s="60">
        <v>1.9833333333333334</v>
      </c>
      <c r="BY11" s="60">
        <v>2.0666666666666669</v>
      </c>
      <c r="BZ11" s="60">
        <v>1.75</v>
      </c>
      <c r="CB11" s="5" t="s">
        <v>526</v>
      </c>
      <c r="CC11" s="5">
        <v>500</v>
      </c>
      <c r="CD11" s="63">
        <v>6.9281999999999996E-2</v>
      </c>
      <c r="CE11" s="5">
        <v>7</v>
      </c>
      <c r="CG11" s="5">
        <v>67.11</v>
      </c>
      <c r="CH11" s="5">
        <v>82.08</v>
      </c>
      <c r="CI11" s="5">
        <v>74.67</v>
      </c>
      <c r="CJ11" s="5">
        <v>77.52</v>
      </c>
      <c r="CK11" s="5">
        <v>72.959999999999994</v>
      </c>
      <c r="CL11" s="5">
        <v>70.680000000000007</v>
      </c>
      <c r="CM11" s="5">
        <v>75.239999999999995</v>
      </c>
      <c r="CN11" s="5">
        <v>71.819999999999993</v>
      </c>
      <c r="CO11" s="5">
        <v>59.28</v>
      </c>
      <c r="CP11" s="5">
        <v>74.099999999999994</v>
      </c>
      <c r="CQ11" s="5">
        <v>79.23</v>
      </c>
      <c r="CR11" s="5">
        <v>80.94</v>
      </c>
      <c r="CS11" s="5">
        <v>82.65</v>
      </c>
      <c r="CT11" s="5">
        <v>82.65</v>
      </c>
      <c r="CU11" s="5">
        <v>86.07</v>
      </c>
      <c r="CV11" s="5">
        <v>75.81</v>
      </c>
      <c r="CW11" s="5">
        <v>82.08</v>
      </c>
      <c r="CX11" s="5">
        <v>73.53</v>
      </c>
      <c r="CY11" s="5">
        <v>80.94</v>
      </c>
      <c r="CZ11" s="5">
        <v>65.55</v>
      </c>
      <c r="DA11" s="5">
        <v>73.53</v>
      </c>
      <c r="DB11" s="5">
        <v>76.38</v>
      </c>
      <c r="DC11" s="5">
        <v>78.66</v>
      </c>
      <c r="DD11" s="5">
        <v>75.81</v>
      </c>
      <c r="DE11" s="5">
        <v>72.959999999999994</v>
      </c>
      <c r="DF11" s="5">
        <v>75.239999999999995</v>
      </c>
      <c r="DG11" s="5">
        <v>77.52</v>
      </c>
      <c r="DH11" s="5">
        <v>73.53</v>
      </c>
      <c r="DI11" s="5">
        <v>72.39</v>
      </c>
      <c r="DJ11" s="5">
        <v>69.540000000000006</v>
      </c>
      <c r="DK11" s="5">
        <v>79.8</v>
      </c>
      <c r="DL11" s="5">
        <v>71.25</v>
      </c>
      <c r="DM11" s="5">
        <v>74.67</v>
      </c>
      <c r="DN11" s="5">
        <v>80.37</v>
      </c>
      <c r="DO11" s="5">
        <v>83.22</v>
      </c>
      <c r="DP11" s="5">
        <v>85.5</v>
      </c>
      <c r="DQ11" s="5">
        <v>88.92</v>
      </c>
      <c r="DR11" s="5">
        <v>79.8</v>
      </c>
      <c r="DS11" s="5">
        <v>86.64</v>
      </c>
      <c r="DT11" s="5">
        <v>90.06</v>
      </c>
      <c r="DU11" s="5">
        <v>88.92</v>
      </c>
      <c r="DV11" s="5">
        <v>86.07</v>
      </c>
      <c r="DW11" s="5">
        <v>86.64</v>
      </c>
      <c r="DX11" s="5">
        <v>86.07</v>
      </c>
      <c r="DY11" s="5">
        <v>92.91</v>
      </c>
      <c r="DZ11" s="5">
        <v>87.21</v>
      </c>
      <c r="EA11" s="5">
        <v>85.5</v>
      </c>
      <c r="EB11" s="5">
        <v>83.79</v>
      </c>
      <c r="EC11" s="5">
        <v>87.21</v>
      </c>
      <c r="ED11" s="5">
        <v>87.21</v>
      </c>
      <c r="EE11" s="5">
        <v>85.5</v>
      </c>
      <c r="EF11" s="5">
        <v>88.92</v>
      </c>
      <c r="EG11" s="5">
        <v>82.65</v>
      </c>
      <c r="EH11" s="5">
        <v>89.49</v>
      </c>
      <c r="EI11" s="5">
        <v>86.64</v>
      </c>
      <c r="EJ11" s="5">
        <v>79.8</v>
      </c>
      <c r="EK11" s="5">
        <v>70.11</v>
      </c>
      <c r="EL11" s="5">
        <v>74.099999999999994</v>
      </c>
      <c r="EM11" s="5">
        <v>73.53</v>
      </c>
      <c r="EN11" s="5">
        <v>76.38</v>
      </c>
      <c r="EO11" s="5">
        <v>65.55</v>
      </c>
    </row>
    <row r="12" spans="1:145">
      <c r="A12" s="59">
        <v>10</v>
      </c>
      <c r="B12" s="13">
        <v>10</v>
      </c>
      <c r="C12" s="13">
        <v>10</v>
      </c>
      <c r="D12" s="13">
        <f t="shared" si="1"/>
        <v>100</v>
      </c>
      <c r="E12" s="5">
        <v>2</v>
      </c>
      <c r="F12" s="60">
        <v>20</v>
      </c>
      <c r="G12" s="60">
        <v>60</v>
      </c>
      <c r="H12" s="13">
        <v>10</v>
      </c>
      <c r="I12" s="5">
        <v>10</v>
      </c>
      <c r="J12" s="13">
        <f t="shared" si="2"/>
        <v>100</v>
      </c>
      <c r="K12" s="60">
        <v>1.9</v>
      </c>
      <c r="L12" s="60">
        <v>19</v>
      </c>
      <c r="M12" s="60">
        <v>59.5</v>
      </c>
      <c r="N12" s="5">
        <f t="shared" si="0"/>
        <v>5276.9100000000017</v>
      </c>
      <c r="O12" s="5">
        <v>-61.818451599999989</v>
      </c>
      <c r="P12" s="5">
        <v>42.181548400000011</v>
      </c>
      <c r="Q12" s="5">
        <v>-60.362033599999997</v>
      </c>
      <c r="R12" s="5">
        <v>43.637966399999996</v>
      </c>
      <c r="T12" s="60">
        <v>2.2000000000000002</v>
      </c>
      <c r="U12" s="60">
        <v>2.1333333333333333</v>
      </c>
      <c r="V12" s="60">
        <v>2.0333333333333332</v>
      </c>
      <c r="W12" s="60">
        <v>2</v>
      </c>
      <c r="X12" s="60">
        <v>2.2333333333333334</v>
      </c>
      <c r="Y12" s="60">
        <v>2.0499999999999998</v>
      </c>
      <c r="Z12" s="60">
        <v>2.2166666666666668</v>
      </c>
      <c r="AA12" s="60">
        <v>2.3166666666666669</v>
      </c>
      <c r="AB12" s="60">
        <v>2.4</v>
      </c>
      <c r="AC12" s="60">
        <v>2.4333333333333331</v>
      </c>
      <c r="AD12" s="60">
        <v>2.5666666666666669</v>
      </c>
      <c r="AE12" s="60">
        <v>2.5499999999999998</v>
      </c>
      <c r="AF12" s="60">
        <v>2.3666666666666667</v>
      </c>
      <c r="AG12" s="60">
        <v>2.5333333333333332</v>
      </c>
      <c r="AH12" s="60">
        <v>2.5333333333333332</v>
      </c>
      <c r="AI12" s="60">
        <v>2.4666666666666668</v>
      </c>
      <c r="AJ12" s="60">
        <v>2.5</v>
      </c>
      <c r="AK12" s="60">
        <v>2.4500000000000002</v>
      </c>
      <c r="AL12" s="60">
        <v>1.85</v>
      </c>
      <c r="AM12" s="60">
        <v>2.2666666666666666</v>
      </c>
      <c r="AN12" s="60">
        <v>2.0833333333333335</v>
      </c>
      <c r="AO12" s="60">
        <v>2.2666666666666666</v>
      </c>
      <c r="AP12" s="60">
        <v>2.0833333333333335</v>
      </c>
      <c r="AQ12" s="60">
        <v>2.0833333333333335</v>
      </c>
      <c r="AR12" s="60">
        <v>2.0499999999999998</v>
      </c>
      <c r="AS12" s="60">
        <v>2.3666666666666667</v>
      </c>
      <c r="AT12" s="60">
        <v>2.1166666666666667</v>
      </c>
      <c r="AU12" s="60">
        <v>2.1666666666666665</v>
      </c>
      <c r="AV12" s="60">
        <v>2.2833333333333332</v>
      </c>
      <c r="AW12" s="60">
        <v>2.4833333333333334</v>
      </c>
      <c r="AX12" s="60">
        <v>2.4333333333333331</v>
      </c>
      <c r="AY12" s="60">
        <v>2.65</v>
      </c>
      <c r="AZ12" s="60">
        <v>2.4166666666666665</v>
      </c>
      <c r="BA12" s="60">
        <v>2.7</v>
      </c>
      <c r="BB12" s="60">
        <v>2.65</v>
      </c>
      <c r="BC12" s="60">
        <v>2.6</v>
      </c>
      <c r="BD12" s="60">
        <v>2.5833333333333335</v>
      </c>
      <c r="BE12" s="60">
        <v>2.6166666666666667</v>
      </c>
      <c r="BF12" s="60">
        <v>2.7666666666666666</v>
      </c>
      <c r="BG12" s="60">
        <v>2.8166666666666669</v>
      </c>
      <c r="BH12" s="60">
        <v>2.7166666666666668</v>
      </c>
      <c r="BI12" s="60">
        <v>2.4500000000000002</v>
      </c>
      <c r="BJ12" s="60">
        <v>2.65</v>
      </c>
      <c r="BK12" s="60">
        <v>2.6833333333333331</v>
      </c>
      <c r="BL12" s="60">
        <v>2.5499999999999998</v>
      </c>
      <c r="BM12" s="60">
        <v>2.5</v>
      </c>
      <c r="BN12" s="60">
        <v>2.6833333333333331</v>
      </c>
      <c r="BO12" s="60">
        <v>2.7833333333333332</v>
      </c>
      <c r="BP12" s="60">
        <v>2.7333333333333334</v>
      </c>
      <c r="BQ12" s="60">
        <v>2.6666666666666665</v>
      </c>
      <c r="BR12" s="60">
        <v>2.1333333333333333</v>
      </c>
      <c r="BS12" s="60">
        <v>2.5833333333333335</v>
      </c>
      <c r="BT12" s="60">
        <v>2.4666666666666668</v>
      </c>
      <c r="BU12" s="60">
        <v>2.0166666666666666</v>
      </c>
      <c r="BV12" s="60">
        <v>1.8166666666666667</v>
      </c>
      <c r="BW12" s="60">
        <v>2.1333333333333333</v>
      </c>
      <c r="BX12" s="60">
        <v>2.1166666666666667</v>
      </c>
      <c r="BY12" s="60">
        <v>2.0666666666666669</v>
      </c>
      <c r="BZ12" s="60">
        <v>2.1166666666666667</v>
      </c>
      <c r="CB12" s="5" t="s">
        <v>527</v>
      </c>
      <c r="CC12" s="5">
        <v>500</v>
      </c>
      <c r="CD12" s="63">
        <v>5.3982000000000002E-2</v>
      </c>
      <c r="CE12" s="5">
        <v>8</v>
      </c>
      <c r="CG12" s="5">
        <v>72.239999999999995</v>
      </c>
      <c r="CH12" s="5">
        <v>79.23</v>
      </c>
      <c r="CI12" s="5">
        <v>80.94</v>
      </c>
      <c r="CJ12" s="5">
        <v>78.66</v>
      </c>
      <c r="CK12" s="5">
        <v>75.239999999999995</v>
      </c>
      <c r="CL12" s="5">
        <v>74.099999999999994</v>
      </c>
      <c r="CM12" s="5">
        <v>82.08</v>
      </c>
      <c r="CN12" s="5">
        <v>75.239999999999995</v>
      </c>
      <c r="CO12" s="5">
        <v>81.510000000000005</v>
      </c>
      <c r="CP12" s="5">
        <v>84.93</v>
      </c>
      <c r="CQ12" s="5">
        <v>87.78</v>
      </c>
      <c r="CR12" s="5">
        <v>88.92</v>
      </c>
      <c r="CS12" s="5">
        <v>93.48</v>
      </c>
      <c r="CT12" s="5">
        <v>92.91</v>
      </c>
      <c r="CU12" s="5">
        <v>86.64</v>
      </c>
      <c r="CV12" s="5">
        <v>92.34</v>
      </c>
      <c r="CW12" s="5">
        <v>92.34</v>
      </c>
      <c r="CX12" s="5">
        <v>90.06</v>
      </c>
      <c r="CY12" s="5">
        <v>91.2</v>
      </c>
      <c r="CZ12" s="5">
        <v>89.49</v>
      </c>
      <c r="DA12" s="5">
        <v>68.400000000000006</v>
      </c>
      <c r="DB12" s="5">
        <v>83.22</v>
      </c>
      <c r="DC12" s="5">
        <v>76.95</v>
      </c>
      <c r="DD12" s="5">
        <v>83.22</v>
      </c>
      <c r="DE12" s="5">
        <v>76.95</v>
      </c>
      <c r="DF12" s="5">
        <v>76.95</v>
      </c>
      <c r="DG12" s="5">
        <v>75.81</v>
      </c>
      <c r="DH12" s="5">
        <v>86.64</v>
      </c>
      <c r="DI12" s="5">
        <v>78.09</v>
      </c>
      <c r="DJ12" s="5">
        <v>79.8</v>
      </c>
      <c r="DK12" s="5">
        <v>83.79</v>
      </c>
      <c r="DL12" s="5">
        <v>90.63</v>
      </c>
      <c r="DM12" s="5">
        <v>88.92</v>
      </c>
      <c r="DN12" s="5">
        <v>96.33</v>
      </c>
      <c r="DO12" s="5">
        <v>88.35</v>
      </c>
      <c r="DP12" s="5">
        <v>98.04</v>
      </c>
      <c r="DQ12" s="5">
        <v>96.33</v>
      </c>
      <c r="DR12" s="5">
        <v>94.62</v>
      </c>
      <c r="DS12" s="5">
        <v>94.05</v>
      </c>
      <c r="DT12" s="5">
        <v>95.19</v>
      </c>
      <c r="DU12" s="5">
        <v>100.32</v>
      </c>
      <c r="DV12" s="5">
        <v>102.03</v>
      </c>
      <c r="DW12" s="5">
        <v>98.61</v>
      </c>
      <c r="DX12" s="5">
        <v>89.49</v>
      </c>
      <c r="DY12" s="5">
        <v>96.33</v>
      </c>
      <c r="DZ12" s="5">
        <v>97.47</v>
      </c>
      <c r="EA12" s="5">
        <v>92.91</v>
      </c>
      <c r="EB12" s="5">
        <v>90.63</v>
      </c>
      <c r="EC12" s="5">
        <v>97.47</v>
      </c>
      <c r="ED12" s="5">
        <v>100.89</v>
      </c>
      <c r="EE12" s="5">
        <v>99.18</v>
      </c>
      <c r="EF12" s="5">
        <v>96.9</v>
      </c>
      <c r="EG12" s="5">
        <v>77.52</v>
      </c>
      <c r="EH12" s="5">
        <v>94.05</v>
      </c>
      <c r="EI12" s="5">
        <v>90.06</v>
      </c>
      <c r="EJ12" s="5">
        <v>73.53</v>
      </c>
      <c r="EK12" s="5">
        <v>67.260000000000005</v>
      </c>
      <c r="EL12" s="5">
        <v>78.09</v>
      </c>
      <c r="EM12" s="5">
        <v>78.09</v>
      </c>
      <c r="EN12" s="5">
        <v>76.38</v>
      </c>
      <c r="EO12" s="5">
        <v>78.09</v>
      </c>
    </row>
    <row r="13" spans="1:145">
      <c r="A13" s="59">
        <v>11</v>
      </c>
      <c r="B13" s="13">
        <v>10</v>
      </c>
      <c r="C13" s="13">
        <v>10</v>
      </c>
      <c r="D13" s="13">
        <f t="shared" si="1"/>
        <v>100</v>
      </c>
      <c r="E13" s="5">
        <v>5</v>
      </c>
      <c r="F13" s="60">
        <v>50</v>
      </c>
      <c r="G13" s="60">
        <v>75</v>
      </c>
      <c r="H13" s="13">
        <v>10</v>
      </c>
      <c r="I13" s="5">
        <v>8</v>
      </c>
      <c r="J13" s="13">
        <f t="shared" si="2"/>
        <v>80</v>
      </c>
      <c r="K13" s="60">
        <v>1.85</v>
      </c>
      <c r="L13" s="60">
        <v>18.5</v>
      </c>
      <c r="M13" s="60">
        <v>59.25</v>
      </c>
      <c r="N13" s="5">
        <f t="shared" si="0"/>
        <v>5132.7000000000007</v>
      </c>
      <c r="O13" s="5">
        <v>-62.881973599999995</v>
      </c>
      <c r="P13" s="5">
        <v>41.118026399999998</v>
      </c>
      <c r="Q13" s="5">
        <v>-60.404905000000007</v>
      </c>
      <c r="R13" s="5">
        <v>43.595095000000001</v>
      </c>
      <c r="T13" s="60">
        <v>1.95</v>
      </c>
      <c r="U13" s="60">
        <v>1.9333333333333333</v>
      </c>
      <c r="V13" s="60">
        <v>1.9333333333333333</v>
      </c>
      <c r="W13" s="60">
        <v>2</v>
      </c>
      <c r="X13" s="60">
        <v>2.1166666666666667</v>
      </c>
      <c r="Y13" s="60">
        <v>2.0833333333333335</v>
      </c>
      <c r="Z13" s="60">
        <v>2.3166666666666669</v>
      </c>
      <c r="AA13" s="60">
        <v>2.1166666666666667</v>
      </c>
      <c r="AB13" s="60">
        <v>2.1</v>
      </c>
      <c r="AC13" s="60">
        <v>2.1333333333333333</v>
      </c>
      <c r="AD13" s="60">
        <v>2.1833333333333331</v>
      </c>
      <c r="AE13" s="60">
        <v>2.4333333333333331</v>
      </c>
      <c r="AF13" s="60">
        <v>2.2000000000000002</v>
      </c>
      <c r="AG13" s="60">
        <v>2.35</v>
      </c>
      <c r="AH13" s="60">
        <v>2.25</v>
      </c>
      <c r="AI13" s="60">
        <v>2.0666666666666669</v>
      </c>
      <c r="AJ13" s="60">
        <v>2.2833333333333332</v>
      </c>
      <c r="AK13" s="60">
        <v>2.1833333333333331</v>
      </c>
      <c r="AL13" s="60">
        <v>1.8</v>
      </c>
      <c r="AM13" s="60">
        <v>1.95</v>
      </c>
      <c r="AN13" s="60">
        <v>2</v>
      </c>
      <c r="AO13" s="60">
        <v>1.95</v>
      </c>
      <c r="AP13" s="60">
        <v>2</v>
      </c>
      <c r="AQ13" s="60">
        <v>1.95</v>
      </c>
      <c r="AR13" s="60">
        <v>1.8333333333333333</v>
      </c>
      <c r="AS13" s="60">
        <v>2.0833333333333335</v>
      </c>
      <c r="AT13" s="60">
        <v>2.2000000000000002</v>
      </c>
      <c r="AU13" s="60">
        <v>2.1166666666666667</v>
      </c>
      <c r="AV13" s="60">
        <v>1.9833333333333334</v>
      </c>
      <c r="AW13" s="60">
        <v>2.3333333333333335</v>
      </c>
      <c r="AX13" s="60">
        <v>2.6666666666666665</v>
      </c>
      <c r="AY13" s="60">
        <v>2.5333333333333332</v>
      </c>
      <c r="AZ13" s="60">
        <v>2.85</v>
      </c>
      <c r="BA13" s="60">
        <v>2.6666666666666665</v>
      </c>
      <c r="BB13" s="60">
        <v>2.65</v>
      </c>
      <c r="BC13" s="60">
        <v>2.6333333333333333</v>
      </c>
      <c r="BD13" s="60">
        <v>2.75</v>
      </c>
      <c r="BE13" s="60">
        <v>2.85</v>
      </c>
      <c r="BF13" s="60">
        <v>2.75</v>
      </c>
      <c r="BG13" s="60">
        <v>3.1833333333333331</v>
      </c>
      <c r="BH13" s="60">
        <v>2.5666666666666669</v>
      </c>
      <c r="BI13" s="60">
        <v>2.4500000000000002</v>
      </c>
      <c r="BJ13" s="60">
        <v>2.9666666666666668</v>
      </c>
      <c r="BK13" s="60">
        <v>2.7833333333333332</v>
      </c>
      <c r="BL13" s="60">
        <v>2.7333333333333334</v>
      </c>
      <c r="BM13" s="60">
        <v>2.5166666666666666</v>
      </c>
      <c r="BN13" s="60">
        <v>2.8166666666666669</v>
      </c>
      <c r="BO13" s="60">
        <v>2.6833333333333331</v>
      </c>
      <c r="BP13" s="60">
        <v>2.4</v>
      </c>
      <c r="BQ13" s="60">
        <v>2.8166666666666669</v>
      </c>
      <c r="BR13" s="60">
        <v>2.4833333333333334</v>
      </c>
      <c r="BS13" s="60">
        <v>2.0666666666666669</v>
      </c>
      <c r="BT13" s="60">
        <v>2.5833333333333335</v>
      </c>
      <c r="BU13" s="60">
        <v>2.3833333333333333</v>
      </c>
      <c r="BV13" s="60">
        <v>1.9166666666666667</v>
      </c>
      <c r="BW13" s="60">
        <v>1.8833333333333333</v>
      </c>
      <c r="BX13" s="60">
        <v>2.2666666666666666</v>
      </c>
      <c r="BY13" s="60">
        <v>1.7833333333333334</v>
      </c>
      <c r="BZ13" s="60">
        <v>1.7833333333333334</v>
      </c>
      <c r="CB13" s="5" t="s">
        <v>528</v>
      </c>
      <c r="CC13" s="5">
        <v>500</v>
      </c>
      <c r="CD13" s="63">
        <v>7.0026600000000008E-2</v>
      </c>
      <c r="CE13" s="5">
        <v>5</v>
      </c>
      <c r="CG13" s="5">
        <v>70.53</v>
      </c>
      <c r="CH13" s="5">
        <v>73.53</v>
      </c>
      <c r="CI13" s="5">
        <v>72.39</v>
      </c>
      <c r="CJ13" s="5">
        <v>71.819999999999993</v>
      </c>
      <c r="CK13" s="5">
        <v>71.819999999999993</v>
      </c>
      <c r="CL13" s="5">
        <v>74.099999999999994</v>
      </c>
      <c r="CM13" s="5">
        <v>78.09</v>
      </c>
      <c r="CN13" s="5">
        <v>76.95</v>
      </c>
      <c r="CO13" s="5">
        <v>84.93</v>
      </c>
      <c r="CP13" s="5">
        <v>78.09</v>
      </c>
      <c r="CQ13" s="5">
        <v>77.52</v>
      </c>
      <c r="CR13" s="5">
        <v>78.09</v>
      </c>
      <c r="CS13" s="5">
        <v>80.37</v>
      </c>
      <c r="CT13" s="5">
        <v>88.92</v>
      </c>
      <c r="CU13" s="5">
        <v>80.94</v>
      </c>
      <c r="CV13" s="5">
        <v>86.07</v>
      </c>
      <c r="CW13" s="5">
        <v>82.65</v>
      </c>
      <c r="CX13" s="5">
        <v>75.81</v>
      </c>
      <c r="CY13" s="5">
        <v>83.79</v>
      </c>
      <c r="CZ13" s="5">
        <v>80.37</v>
      </c>
      <c r="DA13" s="5">
        <v>66.69</v>
      </c>
      <c r="DB13" s="5">
        <v>72.39</v>
      </c>
      <c r="DC13" s="5">
        <v>74.099999999999994</v>
      </c>
      <c r="DD13" s="5">
        <v>72.39</v>
      </c>
      <c r="DE13" s="5">
        <v>74.099999999999994</v>
      </c>
      <c r="DF13" s="5">
        <v>72.39</v>
      </c>
      <c r="DG13" s="5">
        <v>68.400000000000006</v>
      </c>
      <c r="DH13" s="5">
        <v>76.95</v>
      </c>
      <c r="DI13" s="5">
        <v>80.94</v>
      </c>
      <c r="DJ13" s="5">
        <v>78.09</v>
      </c>
      <c r="DK13" s="5">
        <v>72.959999999999994</v>
      </c>
      <c r="DL13" s="5">
        <v>85.5</v>
      </c>
      <c r="DM13" s="5">
        <v>96.9</v>
      </c>
      <c r="DN13" s="5">
        <v>92.34</v>
      </c>
      <c r="DO13" s="5">
        <v>103.17</v>
      </c>
      <c r="DP13" s="5">
        <v>96.9</v>
      </c>
      <c r="DQ13" s="5">
        <v>96.33</v>
      </c>
      <c r="DR13" s="5">
        <v>95.76</v>
      </c>
      <c r="DS13" s="5">
        <v>99.75</v>
      </c>
      <c r="DT13" s="5">
        <v>103.17</v>
      </c>
      <c r="DU13" s="5">
        <v>99.75</v>
      </c>
      <c r="DV13" s="5">
        <v>114.57</v>
      </c>
      <c r="DW13" s="5">
        <v>93.48</v>
      </c>
      <c r="DX13" s="5">
        <v>88.92</v>
      </c>
      <c r="DY13" s="5">
        <v>107.16</v>
      </c>
      <c r="DZ13" s="5">
        <v>100.89</v>
      </c>
      <c r="EA13" s="5">
        <v>99.18</v>
      </c>
      <c r="EB13" s="5">
        <v>91.2</v>
      </c>
      <c r="EC13" s="5">
        <v>102.03</v>
      </c>
      <c r="ED13" s="5">
        <v>97.47</v>
      </c>
      <c r="EE13" s="5">
        <v>87.21</v>
      </c>
      <c r="EF13" s="5">
        <v>102.03</v>
      </c>
      <c r="EG13" s="5">
        <v>90.63</v>
      </c>
      <c r="EH13" s="5">
        <v>75.239999999999995</v>
      </c>
      <c r="EI13" s="5">
        <v>94.05</v>
      </c>
      <c r="EJ13" s="5">
        <v>87.21</v>
      </c>
      <c r="EK13" s="5">
        <v>70.680000000000007</v>
      </c>
      <c r="EL13" s="5">
        <v>69.540000000000006</v>
      </c>
      <c r="EM13" s="5">
        <v>83.22</v>
      </c>
      <c r="EN13" s="5">
        <v>66.12</v>
      </c>
      <c r="EO13" s="5">
        <v>66.12</v>
      </c>
    </row>
    <row r="14" spans="1:145">
      <c r="A14" s="59">
        <v>12</v>
      </c>
      <c r="B14" s="13">
        <v>10</v>
      </c>
      <c r="C14" s="13">
        <v>9</v>
      </c>
      <c r="D14" s="13">
        <f t="shared" si="1"/>
        <v>90</v>
      </c>
      <c r="E14" s="5">
        <v>3</v>
      </c>
      <c r="F14" s="60">
        <v>30</v>
      </c>
      <c r="G14" s="60">
        <v>65</v>
      </c>
      <c r="H14" s="13">
        <v>10</v>
      </c>
      <c r="I14" s="5">
        <v>10</v>
      </c>
      <c r="J14" s="13">
        <f t="shared" si="2"/>
        <v>100</v>
      </c>
      <c r="K14" s="60">
        <v>1.1166666666666667</v>
      </c>
      <c r="L14" s="60">
        <v>11.166666666666666</v>
      </c>
      <c r="M14" s="60">
        <v>55.583333333333336</v>
      </c>
      <c r="N14" s="5">
        <f t="shared" si="0"/>
        <v>3745.3199999999997</v>
      </c>
      <c r="O14" s="5">
        <v>-61.240874200000007</v>
      </c>
      <c r="P14" s="5">
        <v>42.759125800000007</v>
      </c>
      <c r="Q14" s="5">
        <v>-58.734627099999997</v>
      </c>
      <c r="R14" s="5">
        <v>45.265372899999996</v>
      </c>
      <c r="T14" s="60">
        <v>1.4833333333333334</v>
      </c>
      <c r="U14" s="60">
        <v>1.4</v>
      </c>
      <c r="V14" s="60">
        <v>1.25</v>
      </c>
      <c r="W14" s="60">
        <v>1.3166666666666667</v>
      </c>
      <c r="X14" s="60">
        <v>1.5</v>
      </c>
      <c r="Y14" s="60">
        <v>1.4</v>
      </c>
      <c r="Z14" s="60">
        <v>1.45</v>
      </c>
      <c r="AA14" s="60">
        <v>1.3833333333333333</v>
      </c>
      <c r="AB14" s="60">
        <v>1.5166666666666666</v>
      </c>
      <c r="AC14" s="60">
        <v>1.7</v>
      </c>
      <c r="AD14" s="60">
        <v>1.3166666666666667</v>
      </c>
      <c r="AE14" s="60">
        <v>1.7666666666666666</v>
      </c>
      <c r="AF14" s="60">
        <v>1.6333333333333333</v>
      </c>
      <c r="AG14" s="60">
        <v>1.5833333333333333</v>
      </c>
      <c r="AH14" s="60">
        <v>1.7166666666666666</v>
      </c>
      <c r="AI14" s="60">
        <v>1.5666666666666667</v>
      </c>
      <c r="AJ14" s="60">
        <v>1.6833333333333333</v>
      </c>
      <c r="AK14" s="60">
        <v>1.2</v>
      </c>
      <c r="AL14" s="60">
        <v>1.4</v>
      </c>
      <c r="AM14" s="60">
        <v>1.35</v>
      </c>
      <c r="AN14" s="60">
        <v>1.5</v>
      </c>
      <c r="AO14" s="60">
        <v>1.6</v>
      </c>
      <c r="AP14" s="60">
        <v>1.4166666666666667</v>
      </c>
      <c r="AQ14" s="60">
        <v>1.45</v>
      </c>
      <c r="AR14" s="60">
        <v>1.5333333333333334</v>
      </c>
      <c r="AS14" s="60">
        <v>1.4166666666666667</v>
      </c>
      <c r="AT14" s="60">
        <v>1.5833333333333333</v>
      </c>
      <c r="AU14" s="60">
        <v>1.3666666666666667</v>
      </c>
      <c r="AV14" s="60">
        <v>1.65</v>
      </c>
      <c r="AW14" s="60">
        <v>1.75</v>
      </c>
      <c r="AX14" s="60">
        <v>1.9833333333333334</v>
      </c>
      <c r="AY14" s="60">
        <v>1.8</v>
      </c>
      <c r="AZ14" s="60">
        <v>2.0499999999999998</v>
      </c>
      <c r="BA14" s="60">
        <v>1.8833333333333333</v>
      </c>
      <c r="BB14" s="60">
        <v>1.9333333333333333</v>
      </c>
      <c r="BC14" s="60">
        <v>1.9833333333333334</v>
      </c>
      <c r="BD14" s="60">
        <v>1.8666666666666667</v>
      </c>
      <c r="BE14" s="60">
        <v>1.7666666666666666</v>
      </c>
      <c r="BF14" s="60">
        <v>2.0499999999999998</v>
      </c>
      <c r="BG14" s="60">
        <v>2.0166666666666666</v>
      </c>
      <c r="BH14" s="60">
        <v>1.9166666666666667</v>
      </c>
      <c r="BI14" s="60">
        <v>2.0499999999999998</v>
      </c>
      <c r="BJ14" s="60">
        <v>1.9666666666666666</v>
      </c>
      <c r="BK14" s="60">
        <v>1.8666666666666667</v>
      </c>
      <c r="BL14" s="60">
        <v>1.6333333333333333</v>
      </c>
      <c r="BM14" s="60">
        <v>2.0333333333333332</v>
      </c>
      <c r="BN14" s="60">
        <v>1.7333333333333334</v>
      </c>
      <c r="BO14" s="60">
        <v>2.0333333333333332</v>
      </c>
      <c r="BP14" s="60">
        <v>1.8166666666666667</v>
      </c>
      <c r="BQ14" s="60">
        <v>1.5166666666666666</v>
      </c>
      <c r="BR14" s="60">
        <v>1.7333333333333334</v>
      </c>
      <c r="BS14" s="60">
        <v>1.9166666666666667</v>
      </c>
      <c r="BT14" s="60">
        <v>1.8</v>
      </c>
      <c r="BU14" s="60">
        <v>1.85</v>
      </c>
      <c r="BV14" s="60">
        <v>1.6</v>
      </c>
      <c r="BW14" s="60">
        <v>1.6</v>
      </c>
      <c r="BX14" s="60">
        <v>1.2833333333333334</v>
      </c>
      <c r="BY14" s="60">
        <v>1.1833333333333333</v>
      </c>
      <c r="BZ14" s="60">
        <v>1.3</v>
      </c>
      <c r="CB14" s="5" t="s">
        <v>529</v>
      </c>
      <c r="CC14" s="5">
        <v>500</v>
      </c>
      <c r="CD14" s="63">
        <v>6.9976999999999998E-2</v>
      </c>
      <c r="CE14" s="5">
        <v>7</v>
      </c>
      <c r="CG14" s="5">
        <v>45.45</v>
      </c>
      <c r="CH14" s="5">
        <v>51.3</v>
      </c>
      <c r="CI14" s="5">
        <v>56.43</v>
      </c>
      <c r="CJ14" s="5">
        <v>53.58</v>
      </c>
      <c r="CK14" s="5">
        <v>48.45</v>
      </c>
      <c r="CL14" s="5">
        <v>50.73</v>
      </c>
      <c r="CM14" s="5">
        <v>57</v>
      </c>
      <c r="CN14" s="5">
        <v>53.58</v>
      </c>
      <c r="CO14" s="5">
        <v>55.29</v>
      </c>
      <c r="CP14" s="5">
        <v>53.01</v>
      </c>
      <c r="CQ14" s="5">
        <v>57</v>
      </c>
      <c r="CR14" s="5">
        <v>63.84</v>
      </c>
      <c r="CS14" s="5">
        <v>49.59</v>
      </c>
      <c r="CT14" s="5">
        <v>66.12</v>
      </c>
      <c r="CU14" s="5">
        <v>60.99</v>
      </c>
      <c r="CV14" s="5">
        <v>59.85</v>
      </c>
      <c r="CW14" s="5">
        <v>64.41</v>
      </c>
      <c r="CX14" s="5">
        <v>59.28</v>
      </c>
      <c r="CY14" s="5">
        <v>63.27</v>
      </c>
      <c r="CZ14" s="5">
        <v>46.17</v>
      </c>
      <c r="DA14" s="5">
        <v>53.58</v>
      </c>
      <c r="DB14" s="5">
        <v>51.87</v>
      </c>
      <c r="DC14" s="5">
        <v>57</v>
      </c>
      <c r="DD14" s="5">
        <v>60.42</v>
      </c>
      <c r="DE14" s="5">
        <v>53.58</v>
      </c>
      <c r="DF14" s="5">
        <v>55.29</v>
      </c>
      <c r="DG14" s="5">
        <v>58.14</v>
      </c>
      <c r="DH14" s="5">
        <v>54.15</v>
      </c>
      <c r="DI14" s="5">
        <v>59.85</v>
      </c>
      <c r="DJ14" s="5">
        <v>51.87</v>
      </c>
      <c r="DK14" s="5">
        <v>62.13</v>
      </c>
      <c r="DL14" s="5">
        <v>65.55</v>
      </c>
      <c r="DM14" s="5">
        <v>73.53</v>
      </c>
      <c r="DN14" s="5">
        <v>67.260000000000005</v>
      </c>
      <c r="DO14" s="5">
        <v>75.81</v>
      </c>
      <c r="DP14" s="5">
        <v>70.11</v>
      </c>
      <c r="DQ14" s="5">
        <v>71.819999999999993</v>
      </c>
      <c r="DR14" s="5">
        <v>73.53</v>
      </c>
      <c r="DS14" s="5">
        <v>69.540000000000006</v>
      </c>
      <c r="DT14" s="5">
        <v>66.12</v>
      </c>
      <c r="DU14" s="5">
        <v>75.81</v>
      </c>
      <c r="DV14" s="5">
        <v>74.67</v>
      </c>
      <c r="DW14" s="5">
        <v>71.25</v>
      </c>
      <c r="DX14" s="5">
        <v>75.81</v>
      </c>
      <c r="DY14" s="5">
        <v>72.959999999999994</v>
      </c>
      <c r="DZ14" s="5">
        <v>69.540000000000006</v>
      </c>
      <c r="EA14" s="5">
        <v>60.99</v>
      </c>
      <c r="EB14" s="5">
        <v>75.239999999999995</v>
      </c>
      <c r="EC14" s="5">
        <v>64.41</v>
      </c>
      <c r="ED14" s="5">
        <v>75.239999999999995</v>
      </c>
      <c r="EE14" s="5">
        <v>67.260000000000005</v>
      </c>
      <c r="EF14" s="5">
        <v>57</v>
      </c>
      <c r="EG14" s="5">
        <v>64.98</v>
      </c>
      <c r="EH14" s="5">
        <v>71.25</v>
      </c>
      <c r="EI14" s="5">
        <v>66.69</v>
      </c>
      <c r="EJ14" s="5">
        <v>68.97</v>
      </c>
      <c r="EK14" s="5">
        <v>60.42</v>
      </c>
      <c r="EL14" s="5">
        <v>60.42</v>
      </c>
      <c r="EM14" s="5">
        <v>49.59</v>
      </c>
      <c r="EN14" s="5">
        <v>46.17</v>
      </c>
      <c r="EO14" s="5">
        <v>50.16</v>
      </c>
    </row>
    <row r="15" spans="1:145">
      <c r="A15" s="59">
        <v>13</v>
      </c>
      <c r="B15" s="13">
        <v>10</v>
      </c>
      <c r="C15" s="13">
        <v>10</v>
      </c>
      <c r="D15" s="13">
        <f t="shared" si="1"/>
        <v>100</v>
      </c>
      <c r="E15" s="5">
        <v>4</v>
      </c>
      <c r="F15" s="60">
        <v>40</v>
      </c>
      <c r="G15" s="60">
        <v>70</v>
      </c>
      <c r="H15" s="13">
        <v>10</v>
      </c>
      <c r="I15" s="5">
        <v>9</v>
      </c>
      <c r="J15" s="13">
        <f t="shared" si="2"/>
        <v>90</v>
      </c>
      <c r="K15" s="60">
        <v>2.0666666666666669</v>
      </c>
      <c r="L15" s="60">
        <v>20.666666666666668</v>
      </c>
      <c r="M15" s="60">
        <v>60.333333333333336</v>
      </c>
      <c r="N15" s="5">
        <f t="shared" si="0"/>
        <v>5779.0800000000008</v>
      </c>
      <c r="O15" s="5">
        <v>-59.072148800000001</v>
      </c>
      <c r="P15" s="5">
        <v>44.927851200000006</v>
      </c>
      <c r="Q15" s="5">
        <v>-57.493560700000003</v>
      </c>
      <c r="R15" s="5">
        <v>46.506439299999997</v>
      </c>
      <c r="T15" s="60">
        <v>2.2666666666666666</v>
      </c>
      <c r="U15" s="60">
        <v>2.2166666666666668</v>
      </c>
      <c r="V15" s="60">
        <v>2.0833333333333335</v>
      </c>
      <c r="W15" s="60">
        <v>2.1333333333333333</v>
      </c>
      <c r="X15" s="60">
        <v>2.35</v>
      </c>
      <c r="Y15" s="60">
        <v>2.4166666666666665</v>
      </c>
      <c r="Z15" s="60">
        <v>2.4333333333333331</v>
      </c>
      <c r="AA15" s="60">
        <v>2.4</v>
      </c>
      <c r="AB15" s="60">
        <v>2.5166666666666666</v>
      </c>
      <c r="AC15" s="60">
        <v>2.5666666666666669</v>
      </c>
      <c r="AD15" s="60">
        <v>2.6166666666666667</v>
      </c>
      <c r="AE15" s="60">
        <v>2.6</v>
      </c>
      <c r="AF15" s="60">
        <v>2.7166666666666668</v>
      </c>
      <c r="AG15" s="60">
        <v>2.5333333333333332</v>
      </c>
      <c r="AH15" s="60">
        <v>2.6</v>
      </c>
      <c r="AI15" s="60">
        <v>2.4500000000000002</v>
      </c>
      <c r="AJ15" s="60">
        <v>2.6</v>
      </c>
      <c r="AK15" s="60">
        <v>2.2333333333333334</v>
      </c>
      <c r="AL15" s="60">
        <v>2.4</v>
      </c>
      <c r="AM15" s="60">
        <v>2.3833333333333333</v>
      </c>
      <c r="AN15" s="60">
        <v>2.2999999999999998</v>
      </c>
      <c r="AO15" s="60">
        <v>2.35</v>
      </c>
      <c r="AP15" s="60">
        <v>2.1833333333333331</v>
      </c>
      <c r="AQ15" s="60">
        <v>2.2666666666666666</v>
      </c>
      <c r="AR15" s="60">
        <v>2.2999999999999998</v>
      </c>
      <c r="AS15" s="60">
        <v>2.5</v>
      </c>
      <c r="AT15" s="60">
        <v>2.5499999999999998</v>
      </c>
      <c r="AU15" s="60">
        <v>2.7166666666666668</v>
      </c>
      <c r="AV15" s="60">
        <v>2.8166666666666669</v>
      </c>
      <c r="AW15" s="60">
        <v>2.85</v>
      </c>
      <c r="AX15" s="60">
        <v>2.95</v>
      </c>
      <c r="AY15" s="60">
        <v>2.9333333333333331</v>
      </c>
      <c r="AZ15" s="60">
        <v>2.9833333333333334</v>
      </c>
      <c r="BA15" s="60">
        <v>2.5833333333333335</v>
      </c>
      <c r="BB15" s="60">
        <v>3</v>
      </c>
      <c r="BC15" s="60">
        <v>2.95</v>
      </c>
      <c r="BD15" s="60">
        <v>3.1166666666666667</v>
      </c>
      <c r="BE15" s="60">
        <v>2.9666666666666668</v>
      </c>
      <c r="BF15" s="60">
        <v>3.05</v>
      </c>
      <c r="BG15" s="60">
        <v>3.1166666666666667</v>
      </c>
      <c r="BH15" s="60">
        <v>2.7166666666666668</v>
      </c>
      <c r="BI15" s="60">
        <v>3.0166666666666666</v>
      </c>
      <c r="BJ15" s="60">
        <v>3.0333333333333332</v>
      </c>
      <c r="BK15" s="60">
        <v>3.2333333333333334</v>
      </c>
      <c r="BL15" s="60">
        <v>3.0666666666666669</v>
      </c>
      <c r="BM15" s="60">
        <v>2.9666666666666668</v>
      </c>
      <c r="BN15" s="60">
        <v>2.5499999999999998</v>
      </c>
      <c r="BO15" s="60">
        <v>3.1166666666666667</v>
      </c>
      <c r="BP15" s="60">
        <v>2.9833333333333334</v>
      </c>
      <c r="BQ15" s="60">
        <v>2.95</v>
      </c>
      <c r="BR15" s="60">
        <v>2.7</v>
      </c>
      <c r="BS15" s="60">
        <v>2.9333333333333331</v>
      </c>
      <c r="BT15" s="60">
        <v>3.1</v>
      </c>
      <c r="BU15" s="60">
        <v>2.6</v>
      </c>
      <c r="BV15" s="60">
        <v>2.3833333333333333</v>
      </c>
      <c r="BW15" s="60">
        <v>2.1666666666666665</v>
      </c>
      <c r="BX15" s="60">
        <v>2.3666666666666667</v>
      </c>
      <c r="BY15" s="60">
        <v>2.0666666666666669</v>
      </c>
      <c r="BZ15" s="60">
        <v>1.6333333333333333</v>
      </c>
      <c r="CB15" s="5" t="s">
        <v>530</v>
      </c>
      <c r="CC15" s="5">
        <v>500</v>
      </c>
      <c r="CD15" s="63">
        <v>6.9954500000000003E-2</v>
      </c>
      <c r="CE15" s="5">
        <v>6</v>
      </c>
      <c r="CG15" s="5">
        <v>77.94</v>
      </c>
      <c r="CH15" s="5">
        <v>83.22</v>
      </c>
      <c r="CI15" s="5">
        <v>83.22</v>
      </c>
      <c r="CJ15" s="5">
        <v>81.510000000000005</v>
      </c>
      <c r="CK15" s="5">
        <v>76.95</v>
      </c>
      <c r="CL15" s="5">
        <v>78.66</v>
      </c>
      <c r="CM15" s="5">
        <v>86.07</v>
      </c>
      <c r="CN15" s="5">
        <v>88.35</v>
      </c>
      <c r="CO15" s="5">
        <v>88.92</v>
      </c>
      <c r="CP15" s="5">
        <v>87.78</v>
      </c>
      <c r="CQ15" s="5">
        <v>91.77</v>
      </c>
      <c r="CR15" s="5">
        <v>93.48</v>
      </c>
      <c r="CS15" s="5">
        <v>95.19</v>
      </c>
      <c r="CT15" s="5">
        <v>94.62</v>
      </c>
      <c r="CU15" s="5">
        <v>98.61</v>
      </c>
      <c r="CV15" s="5">
        <v>92.34</v>
      </c>
      <c r="CW15" s="5">
        <v>94.62</v>
      </c>
      <c r="CX15" s="5">
        <v>89.49</v>
      </c>
      <c r="CY15" s="5">
        <v>94.62</v>
      </c>
      <c r="CZ15" s="5">
        <v>81.510000000000005</v>
      </c>
      <c r="DA15" s="5">
        <v>87.21</v>
      </c>
      <c r="DB15" s="5">
        <v>87.21</v>
      </c>
      <c r="DC15" s="5">
        <v>84.36</v>
      </c>
      <c r="DD15" s="5">
        <v>86.07</v>
      </c>
      <c r="DE15" s="5">
        <v>80.37</v>
      </c>
      <c r="DF15" s="5">
        <v>83.22</v>
      </c>
      <c r="DG15" s="5">
        <v>83.79</v>
      </c>
      <c r="DH15" s="5">
        <v>91.2</v>
      </c>
      <c r="DI15" s="5">
        <v>92.91</v>
      </c>
      <c r="DJ15" s="5">
        <v>98.61</v>
      </c>
      <c r="DK15" s="5">
        <v>102.03</v>
      </c>
      <c r="DL15" s="5">
        <v>103.17</v>
      </c>
      <c r="DM15" s="5">
        <v>106.59</v>
      </c>
      <c r="DN15" s="5">
        <v>106.02</v>
      </c>
      <c r="DO15" s="5">
        <v>107.73</v>
      </c>
      <c r="DP15" s="5">
        <v>93.48</v>
      </c>
      <c r="DQ15" s="5">
        <v>108.3</v>
      </c>
      <c r="DR15" s="5">
        <v>106.59</v>
      </c>
      <c r="DS15" s="5">
        <v>112.29</v>
      </c>
      <c r="DT15" s="5">
        <v>107.16</v>
      </c>
      <c r="DU15" s="5">
        <v>110.01</v>
      </c>
      <c r="DV15" s="5">
        <v>112.29</v>
      </c>
      <c r="DW15" s="5">
        <v>98.61</v>
      </c>
      <c r="DX15" s="5">
        <v>108.87</v>
      </c>
      <c r="DY15" s="5">
        <v>109.44</v>
      </c>
      <c r="DZ15" s="5">
        <v>116.28</v>
      </c>
      <c r="EA15" s="5">
        <v>110.58</v>
      </c>
      <c r="EB15" s="5">
        <v>107.16</v>
      </c>
      <c r="EC15" s="5">
        <v>91.77</v>
      </c>
      <c r="ED15" s="5">
        <v>112.29</v>
      </c>
      <c r="EE15" s="5">
        <v>107.73</v>
      </c>
      <c r="EF15" s="5">
        <v>106.59</v>
      </c>
      <c r="EG15" s="5">
        <v>98.04</v>
      </c>
      <c r="EH15" s="5">
        <v>106.02</v>
      </c>
      <c r="EI15" s="5">
        <v>111.72</v>
      </c>
      <c r="EJ15" s="5">
        <v>94.62</v>
      </c>
      <c r="EK15" s="5">
        <v>87.21</v>
      </c>
      <c r="EL15" s="5">
        <v>79.8</v>
      </c>
      <c r="EM15" s="5">
        <v>86.64</v>
      </c>
      <c r="EN15" s="5">
        <v>75.81</v>
      </c>
      <c r="EO15" s="5">
        <v>60.42</v>
      </c>
    </row>
    <row r="16" spans="1:145">
      <c r="A16" s="59">
        <v>14</v>
      </c>
      <c r="B16" s="13">
        <v>10</v>
      </c>
      <c r="C16" s="13">
        <v>10</v>
      </c>
      <c r="D16" s="13">
        <f t="shared" si="1"/>
        <v>100</v>
      </c>
      <c r="E16" s="5">
        <v>6</v>
      </c>
      <c r="F16" s="60">
        <v>60</v>
      </c>
      <c r="G16" s="60">
        <v>80</v>
      </c>
      <c r="H16" s="13">
        <v>10</v>
      </c>
      <c r="I16" s="5">
        <v>10</v>
      </c>
      <c r="J16" s="13">
        <f t="shared" si="2"/>
        <v>100</v>
      </c>
      <c r="K16" s="60">
        <v>1.8</v>
      </c>
      <c r="L16" s="60">
        <v>18</v>
      </c>
      <c r="M16" s="60">
        <v>59</v>
      </c>
      <c r="N16" s="5">
        <f t="shared" si="0"/>
        <v>5479.8300000000008</v>
      </c>
      <c r="O16" s="5">
        <v>-58.536637600000006</v>
      </c>
      <c r="P16" s="5">
        <v>45.463362400000001</v>
      </c>
      <c r="Q16" s="5">
        <v>-60.250928500000001</v>
      </c>
      <c r="R16" s="5">
        <v>43.749071499999999</v>
      </c>
      <c r="T16" s="60">
        <v>2.2833333333333332</v>
      </c>
      <c r="U16" s="60">
        <v>2.1166666666666667</v>
      </c>
      <c r="V16" s="60">
        <v>2.1333333333333333</v>
      </c>
      <c r="W16" s="60">
        <v>1.9333333333333333</v>
      </c>
      <c r="X16" s="60">
        <v>2.1333333333333333</v>
      </c>
      <c r="Y16" s="60">
        <v>2.1666666666666665</v>
      </c>
      <c r="Z16" s="60">
        <v>2.2666666666666666</v>
      </c>
      <c r="AA16" s="60">
        <v>2.4</v>
      </c>
      <c r="AB16" s="60">
        <v>2.4500000000000002</v>
      </c>
      <c r="AC16" s="60">
        <v>2.5499999999999998</v>
      </c>
      <c r="AD16" s="60">
        <v>2.6333333333333333</v>
      </c>
      <c r="AE16" s="60">
        <v>2.65</v>
      </c>
      <c r="AF16" s="60">
        <v>2.6</v>
      </c>
      <c r="AG16" s="60">
        <v>2.2833333333333332</v>
      </c>
      <c r="AH16" s="60">
        <v>2.65</v>
      </c>
      <c r="AI16" s="60">
        <v>2.6</v>
      </c>
      <c r="AJ16" s="60">
        <v>2.65</v>
      </c>
      <c r="AK16" s="60">
        <v>2.5</v>
      </c>
      <c r="AL16" s="60">
        <v>2.2833333333333332</v>
      </c>
      <c r="AM16" s="60">
        <v>2.2666666666666666</v>
      </c>
      <c r="AN16" s="60">
        <v>2.3166666666666669</v>
      </c>
      <c r="AO16" s="60">
        <v>2.2999999999999998</v>
      </c>
      <c r="AP16" s="60">
        <v>2.4</v>
      </c>
      <c r="AQ16" s="60">
        <v>2.2666666666666666</v>
      </c>
      <c r="AR16" s="60">
        <v>2.3333333333333335</v>
      </c>
      <c r="AS16" s="60">
        <v>2.5666666666666669</v>
      </c>
      <c r="AT16" s="60">
        <v>2.5833333333333335</v>
      </c>
      <c r="AU16" s="60">
        <v>2.65</v>
      </c>
      <c r="AV16" s="60">
        <v>2.9</v>
      </c>
      <c r="AW16" s="60">
        <v>2.7166666666666668</v>
      </c>
      <c r="AX16" s="60">
        <v>2.8</v>
      </c>
      <c r="AY16" s="60">
        <v>2.7</v>
      </c>
      <c r="AZ16" s="60">
        <v>2.9333333333333331</v>
      </c>
      <c r="BA16" s="60">
        <v>2.6666666666666665</v>
      </c>
      <c r="BB16" s="60">
        <v>2.6666666666666665</v>
      </c>
      <c r="BC16" s="60">
        <v>2.75</v>
      </c>
      <c r="BD16" s="60">
        <v>2.6333333333333333</v>
      </c>
      <c r="BE16" s="60">
        <v>2.7333333333333334</v>
      </c>
      <c r="BF16" s="60">
        <v>2.5833333333333335</v>
      </c>
      <c r="BG16" s="60">
        <v>2.6333333333333333</v>
      </c>
      <c r="BH16" s="60">
        <v>2.6333333333333333</v>
      </c>
      <c r="BI16" s="60">
        <v>2.7166666666666668</v>
      </c>
      <c r="BJ16" s="60">
        <v>2.7333333333333334</v>
      </c>
      <c r="BK16" s="60">
        <v>2.5833333333333335</v>
      </c>
      <c r="BL16" s="60">
        <v>2.6166666666666667</v>
      </c>
      <c r="BM16" s="60">
        <v>2.4</v>
      </c>
      <c r="BN16" s="60">
        <v>2.7333333333333334</v>
      </c>
      <c r="BO16" s="60">
        <v>2.6833333333333331</v>
      </c>
      <c r="BP16" s="60">
        <v>2.7666666666666666</v>
      </c>
      <c r="BQ16" s="60">
        <v>2.5666666666666669</v>
      </c>
      <c r="BR16" s="60">
        <v>2.4500000000000002</v>
      </c>
      <c r="BS16" s="60">
        <v>2.65</v>
      </c>
      <c r="BT16" s="60">
        <v>2.4666666666666668</v>
      </c>
      <c r="BU16" s="60">
        <v>2.0333333333333332</v>
      </c>
      <c r="BV16" s="60">
        <v>2.2000000000000002</v>
      </c>
      <c r="BW16" s="60">
        <v>2.1</v>
      </c>
      <c r="BX16" s="60">
        <v>2.0333333333333332</v>
      </c>
      <c r="BY16" s="60">
        <v>1.8666666666666667</v>
      </c>
      <c r="BZ16" s="60">
        <v>2.0666666666666669</v>
      </c>
      <c r="CB16" s="5" t="s">
        <v>531</v>
      </c>
      <c r="CC16" s="5">
        <v>500</v>
      </c>
      <c r="CD16" s="63">
        <v>6.4841833333333335E-2</v>
      </c>
      <c r="CE16" s="5">
        <v>4</v>
      </c>
      <c r="CG16" s="5">
        <v>68.819999999999993</v>
      </c>
      <c r="CH16" s="5">
        <v>84.36</v>
      </c>
      <c r="CI16" s="5">
        <v>83.79</v>
      </c>
      <c r="CJ16" s="5">
        <v>78.09</v>
      </c>
      <c r="CK16" s="5">
        <v>78.66</v>
      </c>
      <c r="CL16" s="5">
        <v>71.819999999999993</v>
      </c>
      <c r="CM16" s="5">
        <v>78.66</v>
      </c>
      <c r="CN16" s="5">
        <v>79.8</v>
      </c>
      <c r="CO16" s="5">
        <v>83.22</v>
      </c>
      <c r="CP16" s="5">
        <v>87.78</v>
      </c>
      <c r="CQ16" s="5">
        <v>89.49</v>
      </c>
      <c r="CR16" s="5">
        <v>92.91</v>
      </c>
      <c r="CS16" s="5">
        <v>95.76</v>
      </c>
      <c r="CT16" s="5">
        <v>96.33</v>
      </c>
      <c r="CU16" s="5">
        <v>94.62</v>
      </c>
      <c r="CV16" s="5">
        <v>83.22</v>
      </c>
      <c r="CW16" s="5">
        <v>96.33</v>
      </c>
      <c r="CX16" s="5">
        <v>94.62</v>
      </c>
      <c r="CY16" s="5">
        <v>96.33</v>
      </c>
      <c r="CZ16" s="5">
        <v>91.2</v>
      </c>
      <c r="DA16" s="5">
        <v>83.79</v>
      </c>
      <c r="DB16" s="5">
        <v>83.22</v>
      </c>
      <c r="DC16" s="5">
        <v>84.93</v>
      </c>
      <c r="DD16" s="5">
        <v>84.36</v>
      </c>
      <c r="DE16" s="5">
        <v>87.78</v>
      </c>
      <c r="DF16" s="5">
        <v>83.22</v>
      </c>
      <c r="DG16" s="5">
        <v>85.5</v>
      </c>
      <c r="DH16" s="5">
        <v>93.48</v>
      </c>
      <c r="DI16" s="5">
        <v>94.05</v>
      </c>
      <c r="DJ16" s="5">
        <v>96.33</v>
      </c>
      <c r="DK16" s="5">
        <v>104.88</v>
      </c>
      <c r="DL16" s="5">
        <v>98.61</v>
      </c>
      <c r="DM16" s="5">
        <v>101.46</v>
      </c>
      <c r="DN16" s="5">
        <v>98.04</v>
      </c>
      <c r="DO16" s="5">
        <v>106.02</v>
      </c>
      <c r="DP16" s="5">
        <v>96.9</v>
      </c>
      <c r="DQ16" s="5">
        <v>96.9</v>
      </c>
      <c r="DR16" s="5">
        <v>99.75</v>
      </c>
      <c r="DS16" s="5">
        <v>95.76</v>
      </c>
      <c r="DT16" s="5">
        <v>99.18</v>
      </c>
      <c r="DU16" s="5">
        <v>94.05</v>
      </c>
      <c r="DV16" s="5">
        <v>95.76</v>
      </c>
      <c r="DW16" s="5">
        <v>95.76</v>
      </c>
      <c r="DX16" s="5">
        <v>98.61</v>
      </c>
      <c r="DY16" s="5">
        <v>99.18</v>
      </c>
      <c r="DZ16" s="5">
        <v>94.05</v>
      </c>
      <c r="EA16" s="5">
        <v>95.19</v>
      </c>
      <c r="EB16" s="5">
        <v>87.21</v>
      </c>
      <c r="EC16" s="5">
        <v>99.18</v>
      </c>
      <c r="ED16" s="5">
        <v>97.47</v>
      </c>
      <c r="EE16" s="5">
        <v>100.32</v>
      </c>
      <c r="EF16" s="5">
        <v>93.48</v>
      </c>
      <c r="EG16" s="5">
        <v>89.49</v>
      </c>
      <c r="EH16" s="5">
        <v>96.33</v>
      </c>
      <c r="EI16" s="5">
        <v>90.06</v>
      </c>
      <c r="EJ16" s="5">
        <v>74.67</v>
      </c>
      <c r="EK16" s="5">
        <v>80.94</v>
      </c>
      <c r="EL16" s="5">
        <v>77.52</v>
      </c>
      <c r="EM16" s="5">
        <v>75.239999999999995</v>
      </c>
      <c r="EN16" s="5">
        <v>68.97</v>
      </c>
      <c r="EO16" s="5">
        <v>76.38</v>
      </c>
    </row>
    <row r="17" spans="1:145">
      <c r="A17" s="59">
        <v>15</v>
      </c>
      <c r="B17" s="13">
        <v>10</v>
      </c>
      <c r="C17" s="13">
        <v>10</v>
      </c>
      <c r="D17" s="13">
        <f t="shared" si="1"/>
        <v>100</v>
      </c>
      <c r="E17" s="5">
        <v>1</v>
      </c>
      <c r="F17" s="60">
        <v>10</v>
      </c>
      <c r="G17" s="60">
        <v>55</v>
      </c>
      <c r="H17" s="13">
        <v>10</v>
      </c>
      <c r="I17" s="5">
        <v>10</v>
      </c>
      <c r="J17" s="13">
        <f t="shared" si="2"/>
        <v>100</v>
      </c>
      <c r="K17" s="60">
        <v>2.0833333333333335</v>
      </c>
      <c r="L17" s="60">
        <v>20.833333333333336</v>
      </c>
      <c r="M17" s="60">
        <v>60.416666666666671</v>
      </c>
      <c r="N17" s="5">
        <f t="shared" si="0"/>
        <v>5449.62</v>
      </c>
      <c r="O17" s="5">
        <v>-61.667767900000001</v>
      </c>
      <c r="P17" s="5">
        <v>42.332232099999999</v>
      </c>
      <c r="Q17" s="5">
        <v>-58.900574399999996</v>
      </c>
      <c r="R17" s="5">
        <v>45.099425600000004</v>
      </c>
      <c r="T17" s="60">
        <v>2.0833333333333335</v>
      </c>
      <c r="U17" s="60">
        <v>2.0833333333333335</v>
      </c>
      <c r="V17" s="60">
        <v>2.0666666666666669</v>
      </c>
      <c r="W17" s="60">
        <v>2.0833333333333335</v>
      </c>
      <c r="X17" s="60">
        <v>2.0166666666666666</v>
      </c>
      <c r="Y17" s="60">
        <v>2.1166666666666667</v>
      </c>
      <c r="Z17" s="60">
        <v>2.0666666666666669</v>
      </c>
      <c r="AA17" s="60">
        <v>2.1666666666666665</v>
      </c>
      <c r="AB17" s="60">
        <v>2.3333333333333335</v>
      </c>
      <c r="AC17" s="60">
        <v>2.3333333333333335</v>
      </c>
      <c r="AD17" s="60">
        <v>2.4500000000000002</v>
      </c>
      <c r="AE17" s="60">
        <v>2.4166666666666665</v>
      </c>
      <c r="AF17" s="60">
        <v>2.4166666666666665</v>
      </c>
      <c r="AG17" s="60">
        <v>2.35</v>
      </c>
      <c r="AH17" s="60">
        <v>2.4333333333333331</v>
      </c>
      <c r="AI17" s="60">
        <v>2.2166666666666668</v>
      </c>
      <c r="AJ17" s="60">
        <v>2.2833333333333332</v>
      </c>
      <c r="AK17" s="60">
        <v>1.9833333333333334</v>
      </c>
      <c r="AL17" s="60">
        <v>2.25</v>
      </c>
      <c r="AM17" s="60">
        <v>2.1166666666666667</v>
      </c>
      <c r="AN17" s="60">
        <v>2.1</v>
      </c>
      <c r="AO17" s="60">
        <v>2.1666666666666665</v>
      </c>
      <c r="AP17" s="60">
        <v>2.2999999999999998</v>
      </c>
      <c r="AQ17" s="60">
        <v>2.4833333333333334</v>
      </c>
      <c r="AR17" s="60">
        <v>2.5833333333333335</v>
      </c>
      <c r="AS17" s="60">
        <v>2.5666666666666669</v>
      </c>
      <c r="AT17" s="60">
        <v>2.75</v>
      </c>
      <c r="AU17" s="60">
        <v>2.65</v>
      </c>
      <c r="AV17" s="60">
        <v>2.4333333333333331</v>
      </c>
      <c r="AW17" s="60">
        <v>2.9</v>
      </c>
      <c r="AX17" s="60">
        <v>2.7166666666666668</v>
      </c>
      <c r="AY17" s="60">
        <v>2.8</v>
      </c>
      <c r="AZ17" s="60">
        <v>2.85</v>
      </c>
      <c r="BA17" s="60">
        <v>3</v>
      </c>
      <c r="BB17" s="60">
        <v>2.85</v>
      </c>
      <c r="BC17" s="60">
        <v>2.9166666666666665</v>
      </c>
      <c r="BD17" s="60">
        <v>2.9333333333333331</v>
      </c>
      <c r="BE17" s="60">
        <v>2.8833333333333333</v>
      </c>
      <c r="BF17" s="60">
        <v>2.7833333333333332</v>
      </c>
      <c r="BG17" s="60">
        <v>2.2833333333333332</v>
      </c>
      <c r="BH17" s="60">
        <v>2.65</v>
      </c>
      <c r="BI17" s="60">
        <v>2.7666666666666666</v>
      </c>
      <c r="BJ17" s="60">
        <v>2.2833333333333332</v>
      </c>
      <c r="BK17" s="60">
        <v>2.9333333333333331</v>
      </c>
      <c r="BL17" s="60">
        <v>2.7833333333333332</v>
      </c>
      <c r="BM17" s="60">
        <v>2.9833333333333334</v>
      </c>
      <c r="BN17" s="60">
        <v>2.8833333333333333</v>
      </c>
      <c r="BO17" s="60">
        <v>2.75</v>
      </c>
      <c r="BP17" s="60">
        <v>2.2166666666666668</v>
      </c>
      <c r="BQ17" s="60">
        <v>2.8333333333333335</v>
      </c>
      <c r="BR17" s="60">
        <v>2.8166666666666669</v>
      </c>
      <c r="BS17" s="60">
        <v>2.5666666666666669</v>
      </c>
      <c r="BT17" s="60">
        <v>2.5499999999999998</v>
      </c>
      <c r="BU17" s="60">
        <v>2.2666666666666666</v>
      </c>
      <c r="BV17" s="60">
        <v>2.2333333333333334</v>
      </c>
      <c r="BW17" s="60">
        <v>2.2833333333333332</v>
      </c>
      <c r="BX17" s="60">
        <v>2.0499999999999998</v>
      </c>
      <c r="BY17" s="60">
        <v>1.85</v>
      </c>
      <c r="BZ17" s="60">
        <v>2.0333333333333332</v>
      </c>
      <c r="CB17" s="5" t="s">
        <v>532</v>
      </c>
      <c r="CC17" s="5">
        <v>500</v>
      </c>
      <c r="CD17" s="63">
        <v>7.3071999999999998E-2</v>
      </c>
      <c r="CE17" s="5">
        <v>9</v>
      </c>
      <c r="CG17" s="5">
        <v>78.510000000000005</v>
      </c>
      <c r="CH17" s="5">
        <v>83.79</v>
      </c>
      <c r="CI17" s="5">
        <v>76.95</v>
      </c>
      <c r="CJ17" s="5">
        <v>76.95</v>
      </c>
      <c r="CK17" s="5">
        <v>76.38</v>
      </c>
      <c r="CL17" s="5">
        <v>76.95</v>
      </c>
      <c r="CM17" s="5">
        <v>74.67</v>
      </c>
      <c r="CN17" s="5">
        <v>78.09</v>
      </c>
      <c r="CO17" s="5">
        <v>76.38</v>
      </c>
      <c r="CP17" s="5">
        <v>79.8</v>
      </c>
      <c r="CQ17" s="5">
        <v>85.5</v>
      </c>
      <c r="CR17" s="5">
        <v>85.5</v>
      </c>
      <c r="CS17" s="5">
        <v>89.49</v>
      </c>
      <c r="CT17" s="5">
        <v>88.35</v>
      </c>
      <c r="CU17" s="5">
        <v>88.35</v>
      </c>
      <c r="CV17" s="5">
        <v>86.07</v>
      </c>
      <c r="CW17" s="5">
        <v>88.92</v>
      </c>
      <c r="CX17" s="5">
        <v>81.510000000000005</v>
      </c>
      <c r="CY17" s="5">
        <v>83.79</v>
      </c>
      <c r="CZ17" s="5">
        <v>72.959999999999994</v>
      </c>
      <c r="DA17" s="5">
        <v>82.65</v>
      </c>
      <c r="DB17" s="5">
        <v>78.09</v>
      </c>
      <c r="DC17" s="5">
        <v>77.52</v>
      </c>
      <c r="DD17" s="5">
        <v>79.8</v>
      </c>
      <c r="DE17" s="5">
        <v>84.36</v>
      </c>
      <c r="DF17" s="5">
        <v>90.63</v>
      </c>
      <c r="DG17" s="5">
        <v>94.05</v>
      </c>
      <c r="DH17" s="5">
        <v>93.48</v>
      </c>
      <c r="DI17" s="5">
        <v>99.75</v>
      </c>
      <c r="DJ17" s="5">
        <v>96.33</v>
      </c>
      <c r="DK17" s="5">
        <v>88.35</v>
      </c>
      <c r="DL17" s="5">
        <v>104.88</v>
      </c>
      <c r="DM17" s="5">
        <v>98.61</v>
      </c>
      <c r="DN17" s="5">
        <v>101.46</v>
      </c>
      <c r="DO17" s="5">
        <v>103.17</v>
      </c>
      <c r="DP17" s="5">
        <v>108.3</v>
      </c>
      <c r="DQ17" s="5">
        <v>103.17</v>
      </c>
      <c r="DR17" s="5">
        <v>105.45</v>
      </c>
      <c r="DS17" s="5">
        <v>106.02</v>
      </c>
      <c r="DT17" s="5">
        <v>104.31</v>
      </c>
      <c r="DU17" s="5">
        <v>100.89</v>
      </c>
      <c r="DV17" s="5">
        <v>82.65</v>
      </c>
      <c r="DW17" s="5">
        <v>96.33</v>
      </c>
      <c r="DX17" s="5">
        <v>100.32</v>
      </c>
      <c r="DY17" s="5">
        <v>82.65</v>
      </c>
      <c r="DZ17" s="5">
        <v>106.02</v>
      </c>
      <c r="EA17" s="5">
        <v>100.89</v>
      </c>
      <c r="EB17" s="5">
        <v>107.73</v>
      </c>
      <c r="EC17" s="5">
        <v>104.31</v>
      </c>
      <c r="ED17" s="5">
        <v>99.75</v>
      </c>
      <c r="EE17" s="5">
        <v>80.37</v>
      </c>
      <c r="EF17" s="5">
        <v>102.6</v>
      </c>
      <c r="EG17" s="5">
        <v>102.03</v>
      </c>
      <c r="EH17" s="5">
        <v>93.48</v>
      </c>
      <c r="EI17" s="5">
        <v>92.91</v>
      </c>
      <c r="EJ17" s="5">
        <v>83.22</v>
      </c>
      <c r="EK17" s="5">
        <v>82.08</v>
      </c>
      <c r="EL17" s="5">
        <v>83.79</v>
      </c>
      <c r="EM17" s="5">
        <v>75.239999999999995</v>
      </c>
      <c r="EN17" s="5">
        <v>67.83</v>
      </c>
      <c r="EO17" s="5">
        <v>75.239999999999995</v>
      </c>
    </row>
    <row r="18" spans="1:145">
      <c r="A18" s="59">
        <v>16</v>
      </c>
      <c r="B18" s="13">
        <v>10</v>
      </c>
      <c r="C18" s="13">
        <v>10</v>
      </c>
      <c r="D18" s="13">
        <f t="shared" si="1"/>
        <v>100</v>
      </c>
      <c r="E18" s="5">
        <v>5</v>
      </c>
      <c r="F18" s="60">
        <v>50</v>
      </c>
      <c r="G18" s="60">
        <v>75</v>
      </c>
      <c r="H18" s="13">
        <v>10</v>
      </c>
      <c r="I18" s="5">
        <v>9</v>
      </c>
      <c r="J18" s="13">
        <f t="shared" si="2"/>
        <v>90</v>
      </c>
      <c r="K18" s="60">
        <v>2.5</v>
      </c>
      <c r="L18" s="60">
        <v>25</v>
      </c>
      <c r="M18" s="60">
        <v>62.5</v>
      </c>
      <c r="N18" s="5">
        <f t="shared" si="0"/>
        <v>6886.02</v>
      </c>
      <c r="O18" s="5">
        <v>-64.516830999999996</v>
      </c>
      <c r="P18" s="5">
        <v>39.483169000000004</v>
      </c>
      <c r="Q18" s="5">
        <v>-60.364317838888887</v>
      </c>
      <c r="R18" s="5">
        <v>43.635682161111113</v>
      </c>
      <c r="T18" s="60">
        <v>2.8</v>
      </c>
      <c r="U18" s="60">
        <v>2.7</v>
      </c>
      <c r="V18" s="60">
        <v>2.7833333333333332</v>
      </c>
      <c r="W18" s="60">
        <v>2.8666666666666667</v>
      </c>
      <c r="X18" s="60">
        <v>2.7333333333333334</v>
      </c>
      <c r="Y18" s="60">
        <v>2.65</v>
      </c>
      <c r="Z18" s="60">
        <v>2.6833333333333331</v>
      </c>
      <c r="AA18" s="60">
        <v>2.9166666666666665</v>
      </c>
      <c r="AB18" s="60">
        <v>3</v>
      </c>
      <c r="AC18" s="60">
        <v>2.4166666666666665</v>
      </c>
      <c r="AD18" s="60">
        <v>3.05</v>
      </c>
      <c r="AE18" s="60">
        <v>3.2666666666666666</v>
      </c>
      <c r="AF18" s="60">
        <v>3.25</v>
      </c>
      <c r="AG18" s="60">
        <v>2.9333333333333331</v>
      </c>
      <c r="AH18" s="60">
        <v>3.1666666666666665</v>
      </c>
      <c r="AI18" s="60">
        <v>3.0833333333333335</v>
      </c>
      <c r="AJ18" s="60">
        <v>3.0333333333333332</v>
      </c>
      <c r="AK18" s="60">
        <v>2.65</v>
      </c>
      <c r="AL18" s="60">
        <v>2.9</v>
      </c>
      <c r="AM18" s="60">
        <v>2.8</v>
      </c>
      <c r="AN18" s="60">
        <v>2.8833333333333333</v>
      </c>
      <c r="AO18" s="60">
        <v>2.9333333333333331</v>
      </c>
      <c r="AP18" s="60">
        <v>2.95</v>
      </c>
      <c r="AQ18" s="60">
        <v>3.35</v>
      </c>
      <c r="AR18" s="60">
        <v>3.2</v>
      </c>
      <c r="AS18" s="60">
        <v>3.3333333333333335</v>
      </c>
      <c r="AT18" s="60">
        <v>3.2333333333333334</v>
      </c>
      <c r="AU18" s="60">
        <v>3.5333333333333332</v>
      </c>
      <c r="AV18" s="60">
        <v>3.4666666666666668</v>
      </c>
      <c r="AW18" s="60">
        <v>3.4333333333333331</v>
      </c>
      <c r="AX18" s="60">
        <v>3.55</v>
      </c>
      <c r="AY18" s="60">
        <v>3.3666666666666667</v>
      </c>
      <c r="AZ18" s="60">
        <v>3.6666666666666665</v>
      </c>
      <c r="BA18" s="60">
        <v>3.7</v>
      </c>
      <c r="BB18" s="60">
        <v>3.4833333333333334</v>
      </c>
      <c r="BC18" s="60">
        <v>3.3333333333333335</v>
      </c>
      <c r="BD18" s="60">
        <v>3.5666666666666669</v>
      </c>
      <c r="BE18" s="60">
        <v>3.1666666666666665</v>
      </c>
      <c r="BF18" s="60">
        <v>3.4666666666666668</v>
      </c>
      <c r="BG18" s="60">
        <v>3.3166666666666669</v>
      </c>
      <c r="BH18" s="60">
        <v>3.3333333333333335</v>
      </c>
      <c r="BI18" s="60">
        <v>3.3833333333333333</v>
      </c>
      <c r="BJ18" s="60">
        <v>3.5</v>
      </c>
      <c r="BK18" s="60">
        <v>3.5</v>
      </c>
      <c r="BL18" s="60">
        <v>3.65</v>
      </c>
      <c r="BM18" s="60">
        <v>3.3</v>
      </c>
      <c r="BN18" s="60">
        <v>3.4833333333333334</v>
      </c>
      <c r="BO18" s="60">
        <v>3.2333333333333334</v>
      </c>
      <c r="BP18" s="60">
        <v>3.3666666666666667</v>
      </c>
      <c r="BQ18" s="60">
        <v>3.45</v>
      </c>
      <c r="BR18" s="60">
        <v>3.4</v>
      </c>
      <c r="BS18" s="60">
        <v>2.9166666666666665</v>
      </c>
      <c r="BT18" s="60">
        <v>3.3833333333333333</v>
      </c>
      <c r="BU18" s="60">
        <v>2.7666666666666666</v>
      </c>
      <c r="BV18" s="60">
        <v>3.05</v>
      </c>
      <c r="BW18" s="60">
        <v>2.9333333333333331</v>
      </c>
      <c r="BX18" s="60">
        <v>2.65</v>
      </c>
      <c r="BY18" s="60">
        <v>2.95</v>
      </c>
      <c r="BZ18" s="60">
        <v>2.9333333333333331</v>
      </c>
      <c r="CB18" s="5" t="s">
        <v>533</v>
      </c>
      <c r="CC18" s="5">
        <v>500</v>
      </c>
      <c r="CD18" s="63">
        <v>6.6062599999999999E-2</v>
      </c>
      <c r="CE18" s="5">
        <v>5</v>
      </c>
      <c r="CG18" s="5">
        <v>92.76</v>
      </c>
      <c r="CH18" s="5">
        <v>106.59</v>
      </c>
      <c r="CI18" s="5">
        <v>101.46</v>
      </c>
      <c r="CJ18" s="5">
        <v>98.04</v>
      </c>
      <c r="CK18" s="5">
        <v>100.89</v>
      </c>
      <c r="CL18" s="5">
        <v>103.74</v>
      </c>
      <c r="CM18" s="5">
        <v>99.18</v>
      </c>
      <c r="CN18" s="5">
        <v>95.76</v>
      </c>
      <c r="CO18" s="5">
        <v>97.47</v>
      </c>
      <c r="CP18" s="5">
        <v>105.45</v>
      </c>
      <c r="CQ18" s="5">
        <v>108.3</v>
      </c>
      <c r="CR18" s="5">
        <v>87.21</v>
      </c>
      <c r="CS18" s="5">
        <v>110.01</v>
      </c>
      <c r="CT18" s="5">
        <v>117.42</v>
      </c>
      <c r="CU18" s="5">
        <v>116.85</v>
      </c>
      <c r="CV18" s="5">
        <v>106.02</v>
      </c>
      <c r="CW18" s="5">
        <v>114</v>
      </c>
      <c r="CX18" s="5">
        <v>111.15</v>
      </c>
      <c r="CY18" s="5">
        <v>109.44</v>
      </c>
      <c r="CZ18" s="5">
        <v>95.76</v>
      </c>
      <c r="DA18" s="5">
        <v>104.88</v>
      </c>
      <c r="DB18" s="5">
        <v>101.46</v>
      </c>
      <c r="DC18" s="5">
        <v>104.31</v>
      </c>
      <c r="DD18" s="5">
        <v>106.02</v>
      </c>
      <c r="DE18" s="5">
        <v>106.59</v>
      </c>
      <c r="DF18" s="5">
        <v>120.27</v>
      </c>
      <c r="DG18" s="5">
        <v>115.14</v>
      </c>
      <c r="DH18" s="5">
        <v>119.7</v>
      </c>
      <c r="DI18" s="5">
        <v>116.28</v>
      </c>
      <c r="DJ18" s="5">
        <v>126.54</v>
      </c>
      <c r="DK18" s="5">
        <v>124.26</v>
      </c>
      <c r="DL18" s="5">
        <v>123.12</v>
      </c>
      <c r="DM18" s="5">
        <v>127.11</v>
      </c>
      <c r="DN18" s="5">
        <v>120.84</v>
      </c>
      <c r="DO18" s="5">
        <v>131.1</v>
      </c>
      <c r="DP18" s="5">
        <v>132.24</v>
      </c>
      <c r="DQ18" s="5">
        <v>124.83</v>
      </c>
      <c r="DR18" s="5">
        <v>119.7</v>
      </c>
      <c r="DS18" s="5">
        <v>127.68</v>
      </c>
      <c r="DT18" s="5">
        <v>114</v>
      </c>
      <c r="DU18" s="5">
        <v>124.26</v>
      </c>
      <c r="DV18" s="5">
        <v>119.13</v>
      </c>
      <c r="DW18" s="5">
        <v>119.7</v>
      </c>
      <c r="DX18" s="5">
        <v>121.41</v>
      </c>
      <c r="DY18" s="5">
        <v>125.4</v>
      </c>
      <c r="DZ18" s="5">
        <v>125.4</v>
      </c>
      <c r="EA18" s="5">
        <v>130.53</v>
      </c>
      <c r="EB18" s="5">
        <v>118.56</v>
      </c>
      <c r="EC18" s="5">
        <v>124.83</v>
      </c>
      <c r="ED18" s="5">
        <v>116.28</v>
      </c>
      <c r="EE18" s="5">
        <v>120.84</v>
      </c>
      <c r="EF18" s="5">
        <v>123.69</v>
      </c>
      <c r="EG18" s="5">
        <v>121.98</v>
      </c>
      <c r="EH18" s="5">
        <v>104.88</v>
      </c>
      <c r="EI18" s="5">
        <v>121.41</v>
      </c>
      <c r="EJ18" s="5">
        <v>99.75</v>
      </c>
      <c r="EK18" s="5">
        <v>110.01</v>
      </c>
      <c r="EL18" s="5">
        <v>106.02</v>
      </c>
      <c r="EM18" s="5">
        <v>95.76</v>
      </c>
      <c r="EN18" s="5">
        <v>106.59</v>
      </c>
      <c r="EO18" s="5">
        <v>106.02</v>
      </c>
    </row>
    <row r="19" spans="1:145">
      <c r="A19" s="59">
        <v>17</v>
      </c>
      <c r="B19" s="13">
        <v>10</v>
      </c>
      <c r="C19" s="13">
        <v>10</v>
      </c>
      <c r="D19" s="13">
        <f t="shared" si="1"/>
        <v>100</v>
      </c>
      <c r="E19" s="5">
        <v>7</v>
      </c>
      <c r="F19" s="60">
        <v>70</v>
      </c>
      <c r="G19" s="60">
        <v>85</v>
      </c>
      <c r="H19" s="13">
        <v>10</v>
      </c>
      <c r="I19" s="5">
        <v>9</v>
      </c>
      <c r="J19" s="13">
        <f t="shared" si="2"/>
        <v>90</v>
      </c>
      <c r="K19" s="60">
        <v>2.5666666666666669</v>
      </c>
      <c r="L19" s="60">
        <v>25.666666666666671</v>
      </c>
      <c r="M19" s="60">
        <v>62.833333333333336</v>
      </c>
      <c r="N19" s="5">
        <f t="shared" si="0"/>
        <v>6879.7500000000027</v>
      </c>
      <c r="O19" s="5">
        <v>-63.381384699999998</v>
      </c>
      <c r="P19" s="5">
        <v>40.618615300000002</v>
      </c>
      <c r="Q19" s="5">
        <v>-64.399865000000005</v>
      </c>
      <c r="R19" s="5">
        <v>39.600135000000002</v>
      </c>
      <c r="T19" s="60">
        <v>2.7666666666666666</v>
      </c>
      <c r="U19" s="60">
        <v>2.6333333333333333</v>
      </c>
      <c r="V19" s="60">
        <v>2.9333333333333331</v>
      </c>
      <c r="W19" s="60">
        <v>2.8</v>
      </c>
      <c r="X19" s="60">
        <v>2.7166666666666668</v>
      </c>
      <c r="Y19" s="60">
        <v>2.9</v>
      </c>
      <c r="Z19" s="60">
        <v>3.05</v>
      </c>
      <c r="AA19" s="60">
        <v>2.9166666666666665</v>
      </c>
      <c r="AB19" s="60">
        <v>3.1833333333333331</v>
      </c>
      <c r="AC19" s="60">
        <v>3.1333333333333333</v>
      </c>
      <c r="AD19" s="60">
        <v>3.2</v>
      </c>
      <c r="AE19" s="60">
        <v>3.2833333333333332</v>
      </c>
      <c r="AF19" s="60">
        <v>3.0833333333333335</v>
      </c>
      <c r="AG19" s="60">
        <v>3.0166666666666666</v>
      </c>
      <c r="AH19" s="60">
        <v>3.2</v>
      </c>
      <c r="AI19" s="60">
        <v>3.1833333333333331</v>
      </c>
      <c r="AJ19" s="60">
        <v>3.05</v>
      </c>
      <c r="AK19" s="60">
        <v>2.95</v>
      </c>
      <c r="AL19" s="60">
        <v>2.6833333333333331</v>
      </c>
      <c r="AM19" s="60">
        <v>2.9</v>
      </c>
      <c r="AN19" s="60">
        <v>2.8333333333333335</v>
      </c>
      <c r="AO19" s="60">
        <v>2.95</v>
      </c>
      <c r="AP19" s="60">
        <v>2.9666666666666668</v>
      </c>
      <c r="AQ19" s="60">
        <v>3.55</v>
      </c>
      <c r="AR19" s="60">
        <v>3.2666666666666666</v>
      </c>
      <c r="AS19" s="60">
        <v>3.4666666666666668</v>
      </c>
      <c r="AT19" s="60">
        <v>3.6</v>
      </c>
      <c r="AU19" s="60">
        <v>3.55</v>
      </c>
      <c r="AV19" s="60">
        <v>3.4666666666666668</v>
      </c>
      <c r="AW19" s="60">
        <v>3.4166666666666665</v>
      </c>
      <c r="AX19" s="60">
        <v>3.3833333333333333</v>
      </c>
      <c r="AY19" s="60">
        <v>3.4833333333333334</v>
      </c>
      <c r="AZ19" s="60">
        <v>3.6</v>
      </c>
      <c r="BA19" s="60">
        <v>3.5</v>
      </c>
      <c r="BB19" s="60">
        <v>3.6833333333333331</v>
      </c>
      <c r="BC19" s="60">
        <v>3.5</v>
      </c>
      <c r="BD19" s="60">
        <v>2.9333333333333331</v>
      </c>
      <c r="BE19" s="60">
        <v>3.3833333333333333</v>
      </c>
      <c r="BF19" s="60">
        <v>3.4666666666666668</v>
      </c>
      <c r="BG19" s="60">
        <v>3.1333333333333333</v>
      </c>
      <c r="BH19" s="60">
        <v>3.65</v>
      </c>
      <c r="BI19" s="60">
        <v>3.35</v>
      </c>
      <c r="BJ19" s="60">
        <v>3.4666666666666668</v>
      </c>
      <c r="BK19" s="60">
        <v>3.3</v>
      </c>
      <c r="BL19" s="60">
        <v>3.35</v>
      </c>
      <c r="BM19" s="60">
        <v>3.2833333333333332</v>
      </c>
      <c r="BN19" s="60">
        <v>3.1166666666666667</v>
      </c>
      <c r="BO19" s="60">
        <v>3.3833333333333333</v>
      </c>
      <c r="BP19" s="60">
        <v>3.1833333333333331</v>
      </c>
      <c r="BQ19" s="60">
        <v>2.8</v>
      </c>
      <c r="BR19" s="60">
        <v>3.2666666666666666</v>
      </c>
      <c r="BS19" s="60">
        <v>2.8</v>
      </c>
      <c r="BT19" s="60">
        <v>3.0666666666666669</v>
      </c>
      <c r="BU19" s="60">
        <v>2.8333333333333335</v>
      </c>
      <c r="BV19" s="60">
        <v>2.95</v>
      </c>
      <c r="BW19" s="60">
        <v>2.8166666666666669</v>
      </c>
      <c r="BX19" s="60">
        <v>2.7</v>
      </c>
      <c r="BY19" s="60">
        <v>2.65</v>
      </c>
      <c r="BZ19" s="60">
        <v>2.9</v>
      </c>
      <c r="CB19" s="5" t="s">
        <v>534</v>
      </c>
      <c r="CC19" s="5">
        <v>500</v>
      </c>
      <c r="CD19" s="63">
        <v>6.9904571428571427E-2</v>
      </c>
      <c r="CE19" s="5">
        <v>3</v>
      </c>
      <c r="CG19" s="5">
        <v>95.04</v>
      </c>
      <c r="CH19" s="5">
        <v>106.59</v>
      </c>
      <c r="CI19" s="5">
        <v>100.32</v>
      </c>
      <c r="CJ19" s="5">
        <v>95.76</v>
      </c>
      <c r="CK19" s="5">
        <v>106.02</v>
      </c>
      <c r="CL19" s="5">
        <v>101.46</v>
      </c>
      <c r="CM19" s="5">
        <v>98.61</v>
      </c>
      <c r="CN19" s="5">
        <v>104.88</v>
      </c>
      <c r="CO19" s="5">
        <v>110.01</v>
      </c>
      <c r="CP19" s="5">
        <v>105.45</v>
      </c>
      <c r="CQ19" s="5">
        <v>114.57</v>
      </c>
      <c r="CR19" s="5">
        <v>112.86</v>
      </c>
      <c r="CS19" s="5">
        <v>115.14</v>
      </c>
      <c r="CT19" s="5">
        <v>117.99</v>
      </c>
      <c r="CU19" s="5">
        <v>111.15</v>
      </c>
      <c r="CV19" s="5">
        <v>108.87</v>
      </c>
      <c r="CW19" s="5">
        <v>115.14</v>
      </c>
      <c r="CX19" s="5">
        <v>114.57</v>
      </c>
      <c r="CY19" s="5">
        <v>110.01</v>
      </c>
      <c r="CZ19" s="5">
        <v>106.59</v>
      </c>
      <c r="DA19" s="5">
        <v>96.9</v>
      </c>
      <c r="DB19" s="5">
        <v>104.88</v>
      </c>
      <c r="DC19" s="5">
        <v>102.6</v>
      </c>
      <c r="DD19" s="5">
        <v>106.59</v>
      </c>
      <c r="DE19" s="5">
        <v>107.16</v>
      </c>
      <c r="DF19" s="5">
        <v>127.11</v>
      </c>
      <c r="DG19" s="5">
        <v>117.42</v>
      </c>
      <c r="DH19" s="5">
        <v>124.26</v>
      </c>
      <c r="DI19" s="5">
        <v>128.82</v>
      </c>
      <c r="DJ19" s="5">
        <v>127.11</v>
      </c>
      <c r="DK19" s="5">
        <v>124.26</v>
      </c>
      <c r="DL19" s="5">
        <v>122.55</v>
      </c>
      <c r="DM19" s="5">
        <v>120.84</v>
      </c>
      <c r="DN19" s="5">
        <v>124.83</v>
      </c>
      <c r="DO19" s="5">
        <v>128.82</v>
      </c>
      <c r="DP19" s="5">
        <v>125.4</v>
      </c>
      <c r="DQ19" s="5">
        <v>131.66999999999999</v>
      </c>
      <c r="DR19" s="5">
        <v>125.4</v>
      </c>
      <c r="DS19" s="5">
        <v>105.45</v>
      </c>
      <c r="DT19" s="5">
        <v>121.41</v>
      </c>
      <c r="DU19" s="5">
        <v>124.26</v>
      </c>
      <c r="DV19" s="5">
        <v>112.86</v>
      </c>
      <c r="DW19" s="5">
        <v>130.53</v>
      </c>
      <c r="DX19" s="5">
        <v>120.27</v>
      </c>
      <c r="DY19" s="5">
        <v>124.26</v>
      </c>
      <c r="DZ19" s="5">
        <v>118.56</v>
      </c>
      <c r="EA19" s="5">
        <v>120.27</v>
      </c>
      <c r="EB19" s="5">
        <v>117.99</v>
      </c>
      <c r="EC19" s="5">
        <v>111.72</v>
      </c>
      <c r="ED19" s="5">
        <v>121.41</v>
      </c>
      <c r="EE19" s="5">
        <v>114</v>
      </c>
      <c r="EF19" s="5">
        <v>100.89</v>
      </c>
      <c r="EG19" s="5">
        <v>117.42</v>
      </c>
      <c r="EH19" s="5">
        <v>100.89</v>
      </c>
      <c r="EI19" s="5">
        <v>110.58</v>
      </c>
      <c r="EJ19" s="5">
        <v>102.6</v>
      </c>
      <c r="EK19" s="5">
        <v>106.02</v>
      </c>
      <c r="EL19" s="5">
        <v>102.03</v>
      </c>
      <c r="EM19" s="5">
        <v>98.04</v>
      </c>
      <c r="EN19" s="5">
        <v>95.76</v>
      </c>
      <c r="EO19" s="5">
        <v>104.88</v>
      </c>
    </row>
    <row r="20" spans="1:145">
      <c r="A20" s="59">
        <v>18</v>
      </c>
      <c r="B20" s="13">
        <v>10</v>
      </c>
      <c r="C20" s="13">
        <v>8</v>
      </c>
      <c r="D20" s="13">
        <f t="shared" si="1"/>
        <v>80</v>
      </c>
      <c r="E20" s="5">
        <v>5</v>
      </c>
      <c r="F20" s="60">
        <v>50</v>
      </c>
      <c r="G20" s="60">
        <v>75</v>
      </c>
      <c r="H20" s="13">
        <v>10</v>
      </c>
      <c r="I20" s="5">
        <v>10</v>
      </c>
      <c r="J20" s="13">
        <f t="shared" si="2"/>
        <v>100</v>
      </c>
      <c r="K20" s="60">
        <v>2.1666666666666665</v>
      </c>
      <c r="L20" s="60">
        <v>21.666666666666664</v>
      </c>
      <c r="M20" s="60">
        <v>60.833333333333329</v>
      </c>
      <c r="N20" s="5">
        <f t="shared" si="0"/>
        <v>6141.6</v>
      </c>
      <c r="O20" s="5">
        <v>-66.636585699999998</v>
      </c>
      <c r="P20" s="5">
        <v>37.363414300000002</v>
      </c>
      <c r="Q20" s="5">
        <v>-63.581488699999987</v>
      </c>
      <c r="R20" s="5">
        <v>40.418511299999999</v>
      </c>
      <c r="T20" s="60">
        <v>2.5499999999999998</v>
      </c>
      <c r="U20" s="60">
        <v>2.4833333333333334</v>
      </c>
      <c r="V20" s="60">
        <v>2.4500000000000002</v>
      </c>
      <c r="W20" s="60">
        <v>2.5666666666666669</v>
      </c>
      <c r="X20" s="60">
        <v>2.25</v>
      </c>
      <c r="Y20" s="60">
        <v>2.2833333333333332</v>
      </c>
      <c r="Z20" s="60">
        <v>2.4833333333333334</v>
      </c>
      <c r="AA20" s="60">
        <v>2.3333333333333335</v>
      </c>
      <c r="AB20" s="60">
        <v>2.6666666666666665</v>
      </c>
      <c r="AC20" s="60">
        <v>2.65</v>
      </c>
      <c r="AD20" s="60">
        <v>2.9</v>
      </c>
      <c r="AE20" s="60">
        <v>2.5</v>
      </c>
      <c r="AF20" s="60">
        <v>2.8</v>
      </c>
      <c r="AG20" s="60">
        <v>2.6</v>
      </c>
      <c r="AH20" s="60">
        <v>2.85</v>
      </c>
      <c r="AI20" s="60">
        <v>2.9166666666666665</v>
      </c>
      <c r="AJ20" s="60">
        <v>2.8</v>
      </c>
      <c r="AK20" s="60">
        <v>2.5499999999999998</v>
      </c>
      <c r="AL20" s="60">
        <v>2.6833333333333331</v>
      </c>
      <c r="AM20" s="60">
        <v>2.4833333333333334</v>
      </c>
      <c r="AN20" s="60">
        <v>2.65</v>
      </c>
      <c r="AO20" s="60">
        <v>2.6666666666666665</v>
      </c>
      <c r="AP20" s="60">
        <v>2.9833333333333334</v>
      </c>
      <c r="AQ20" s="60">
        <v>3.3166666666666669</v>
      </c>
      <c r="AR20" s="60">
        <v>3.2</v>
      </c>
      <c r="AS20" s="60">
        <v>3.3166666666666669</v>
      </c>
      <c r="AT20" s="60">
        <v>3.2333333333333334</v>
      </c>
      <c r="AU20" s="60">
        <v>3.2166666666666668</v>
      </c>
      <c r="AV20" s="60">
        <v>3.15</v>
      </c>
      <c r="AW20" s="60">
        <v>2.9833333333333334</v>
      </c>
      <c r="AX20" s="60">
        <v>2.8166666666666669</v>
      </c>
      <c r="AY20" s="60">
        <v>3.2</v>
      </c>
      <c r="AZ20" s="60">
        <v>3.2</v>
      </c>
      <c r="BA20" s="60">
        <v>3.1833333333333331</v>
      </c>
      <c r="BB20" s="60">
        <v>3.3</v>
      </c>
      <c r="BC20" s="60">
        <v>3.1833333333333331</v>
      </c>
      <c r="BD20" s="60">
        <v>3.0666666666666669</v>
      </c>
      <c r="BE20" s="60">
        <v>3</v>
      </c>
      <c r="BF20" s="60">
        <v>2.9666666666666668</v>
      </c>
      <c r="BG20" s="60">
        <v>2.5666666666666669</v>
      </c>
      <c r="BH20" s="60">
        <v>3.4</v>
      </c>
      <c r="BI20" s="60">
        <v>3.1333333333333333</v>
      </c>
      <c r="BJ20" s="60">
        <v>3.05</v>
      </c>
      <c r="BK20" s="60">
        <v>2.7166666666666668</v>
      </c>
      <c r="BL20" s="60">
        <v>3.15</v>
      </c>
      <c r="BM20" s="60">
        <v>2.9166666666666665</v>
      </c>
      <c r="BN20" s="60">
        <v>2.75</v>
      </c>
      <c r="BO20" s="60">
        <v>2.6666666666666665</v>
      </c>
      <c r="BP20" s="60">
        <v>2.4</v>
      </c>
      <c r="BQ20" s="60">
        <v>2.9333333333333331</v>
      </c>
      <c r="BR20" s="60">
        <v>2.9833333333333334</v>
      </c>
      <c r="BS20" s="60">
        <v>2.75</v>
      </c>
      <c r="BT20" s="60">
        <v>2.25</v>
      </c>
      <c r="BU20" s="60">
        <v>2.5499999999999998</v>
      </c>
      <c r="BV20" s="60">
        <v>2.4</v>
      </c>
      <c r="BW20" s="60">
        <v>2.25</v>
      </c>
      <c r="BX20" s="60">
        <v>2.3833333333333333</v>
      </c>
      <c r="BY20" s="60">
        <v>2.4333333333333331</v>
      </c>
      <c r="BZ20" s="60">
        <v>2.5166666666666666</v>
      </c>
      <c r="CB20" s="5" t="s">
        <v>535</v>
      </c>
      <c r="CC20" s="5">
        <v>500</v>
      </c>
      <c r="CD20" s="63">
        <v>7.7556E-2</v>
      </c>
      <c r="CE20" s="5">
        <v>5</v>
      </c>
      <c r="CG20" s="5">
        <v>81.36</v>
      </c>
      <c r="CH20" s="5">
        <v>100.32</v>
      </c>
      <c r="CI20" s="5">
        <v>92.91</v>
      </c>
      <c r="CJ20" s="5">
        <v>90.63</v>
      </c>
      <c r="CK20" s="5">
        <v>89.49</v>
      </c>
      <c r="CL20" s="5">
        <v>93.48</v>
      </c>
      <c r="CM20" s="5">
        <v>82.65</v>
      </c>
      <c r="CN20" s="5">
        <v>83.79</v>
      </c>
      <c r="CO20" s="5">
        <v>90.63</v>
      </c>
      <c r="CP20" s="5">
        <v>85.5</v>
      </c>
      <c r="CQ20" s="5">
        <v>96.9</v>
      </c>
      <c r="CR20" s="5">
        <v>95.76</v>
      </c>
      <c r="CS20" s="5">
        <v>104.88</v>
      </c>
      <c r="CT20" s="5">
        <v>90.63</v>
      </c>
      <c r="CU20" s="5">
        <v>101.46</v>
      </c>
      <c r="CV20" s="5">
        <v>94.05</v>
      </c>
      <c r="CW20" s="5">
        <v>103.17</v>
      </c>
      <c r="CX20" s="5">
        <v>105.45</v>
      </c>
      <c r="CY20" s="5">
        <v>101.46</v>
      </c>
      <c r="CZ20" s="5">
        <v>92.34</v>
      </c>
      <c r="DA20" s="5">
        <v>97.47</v>
      </c>
      <c r="DB20" s="5">
        <v>90.63</v>
      </c>
      <c r="DC20" s="5">
        <v>96.33</v>
      </c>
      <c r="DD20" s="5">
        <v>96.9</v>
      </c>
      <c r="DE20" s="5">
        <v>107.73</v>
      </c>
      <c r="DF20" s="5">
        <v>119.13</v>
      </c>
      <c r="DG20" s="5">
        <v>115.14</v>
      </c>
      <c r="DH20" s="5">
        <v>119.13</v>
      </c>
      <c r="DI20" s="5">
        <v>116.28</v>
      </c>
      <c r="DJ20" s="5">
        <v>115.71</v>
      </c>
      <c r="DK20" s="5">
        <v>113.43</v>
      </c>
      <c r="DL20" s="5">
        <v>107.73</v>
      </c>
      <c r="DM20" s="5">
        <v>101.46</v>
      </c>
      <c r="DN20" s="5">
        <v>115.14</v>
      </c>
      <c r="DO20" s="5">
        <v>115.14</v>
      </c>
      <c r="DP20" s="5">
        <v>114.57</v>
      </c>
      <c r="DQ20" s="5">
        <v>118.56</v>
      </c>
      <c r="DR20" s="5">
        <v>114.57</v>
      </c>
      <c r="DS20" s="5">
        <v>110.58</v>
      </c>
      <c r="DT20" s="5">
        <v>108.3</v>
      </c>
      <c r="DU20" s="5">
        <v>107.16</v>
      </c>
      <c r="DV20" s="5">
        <v>92.91</v>
      </c>
      <c r="DW20" s="5">
        <v>121.98</v>
      </c>
      <c r="DX20" s="5">
        <v>112.86</v>
      </c>
      <c r="DY20" s="5">
        <v>110.01</v>
      </c>
      <c r="DZ20" s="5">
        <v>98.04</v>
      </c>
      <c r="EA20" s="5">
        <v>113.43</v>
      </c>
      <c r="EB20" s="5">
        <v>105.45</v>
      </c>
      <c r="EC20" s="5">
        <v>99.18</v>
      </c>
      <c r="ED20" s="5">
        <v>96.33</v>
      </c>
      <c r="EE20" s="5">
        <v>87.21</v>
      </c>
      <c r="EF20" s="5">
        <v>106.02</v>
      </c>
      <c r="EG20" s="5">
        <v>107.73</v>
      </c>
      <c r="EH20" s="5">
        <v>99.75</v>
      </c>
      <c r="EI20" s="5">
        <v>82.08</v>
      </c>
      <c r="EJ20" s="5">
        <v>92.91</v>
      </c>
      <c r="EK20" s="5">
        <v>87.78</v>
      </c>
      <c r="EL20" s="5">
        <v>82.08</v>
      </c>
      <c r="EM20" s="5">
        <v>87.21</v>
      </c>
      <c r="EN20" s="5">
        <v>88.92</v>
      </c>
      <c r="EO20" s="5">
        <v>91.77</v>
      </c>
    </row>
    <row r="21" spans="1:145">
      <c r="A21" s="59">
        <v>19</v>
      </c>
      <c r="B21" s="13">
        <v>10</v>
      </c>
      <c r="C21" s="13">
        <v>10</v>
      </c>
      <c r="D21" s="13">
        <f t="shared" si="1"/>
        <v>100</v>
      </c>
      <c r="E21" s="5">
        <v>3</v>
      </c>
      <c r="F21" s="60">
        <v>30</v>
      </c>
      <c r="G21" s="60">
        <v>65</v>
      </c>
      <c r="H21" s="13">
        <v>10</v>
      </c>
      <c r="I21" s="5">
        <v>8</v>
      </c>
      <c r="J21" s="13">
        <f t="shared" si="2"/>
        <v>80</v>
      </c>
      <c r="K21" s="60">
        <v>2.7</v>
      </c>
      <c r="L21" s="60">
        <v>27</v>
      </c>
      <c r="M21" s="60">
        <v>63.5</v>
      </c>
      <c r="N21" s="5">
        <f t="shared" si="0"/>
        <v>6831.3000000000011</v>
      </c>
      <c r="O21" s="5">
        <v>-61.831881499999994</v>
      </c>
      <c r="P21" s="5">
        <v>42.168118499999999</v>
      </c>
      <c r="Q21" s="5">
        <v>-66.595103399999999</v>
      </c>
      <c r="R21" s="5">
        <v>37.404896600000008</v>
      </c>
      <c r="T21" s="60">
        <v>2.8166666666666669</v>
      </c>
      <c r="U21" s="60">
        <v>2.9</v>
      </c>
      <c r="V21" s="60">
        <v>2.8333333333333335</v>
      </c>
      <c r="W21" s="60">
        <v>2.7166666666666668</v>
      </c>
      <c r="X21" s="60">
        <v>2.7333333333333334</v>
      </c>
      <c r="Y21" s="60">
        <v>2.7</v>
      </c>
      <c r="Z21" s="60">
        <v>2.6833333333333331</v>
      </c>
      <c r="AA21" s="60">
        <v>2.6666666666666665</v>
      </c>
      <c r="AB21" s="60">
        <v>3.1833333333333331</v>
      </c>
      <c r="AC21" s="60">
        <v>3.0333333333333332</v>
      </c>
      <c r="AD21" s="60">
        <v>2.4</v>
      </c>
      <c r="AE21" s="60">
        <v>2.5666666666666669</v>
      </c>
      <c r="AF21" s="60">
        <v>2.4500000000000002</v>
      </c>
      <c r="AG21" s="60">
        <v>3.2</v>
      </c>
      <c r="AH21" s="60">
        <v>3.0833333333333335</v>
      </c>
      <c r="AI21" s="60">
        <v>3.2666666666666666</v>
      </c>
      <c r="AJ21" s="60">
        <v>3.0833333333333335</v>
      </c>
      <c r="AK21" s="60">
        <v>3.2</v>
      </c>
      <c r="AL21" s="60">
        <v>2.8666666666666667</v>
      </c>
      <c r="AM21" s="60">
        <v>2.8333333333333335</v>
      </c>
      <c r="AN21" s="60">
        <v>2.8333333333333335</v>
      </c>
      <c r="AO21" s="60">
        <v>2.95</v>
      </c>
      <c r="AP21" s="60">
        <v>3.3</v>
      </c>
      <c r="AQ21" s="60">
        <v>3.4833333333333334</v>
      </c>
      <c r="AR21" s="60">
        <v>3.3833333333333333</v>
      </c>
      <c r="AS21" s="60">
        <v>3.4666666666666668</v>
      </c>
      <c r="AT21" s="60">
        <v>3.4333333333333331</v>
      </c>
      <c r="AU21" s="60">
        <v>3.45</v>
      </c>
      <c r="AV21" s="60">
        <v>3.3833333333333333</v>
      </c>
      <c r="AW21" s="60">
        <v>3.7166666666666668</v>
      </c>
      <c r="AX21" s="60">
        <v>3.55</v>
      </c>
      <c r="AY21" s="60">
        <v>3.7333333333333334</v>
      </c>
      <c r="AZ21" s="60">
        <v>3.6833333333333331</v>
      </c>
      <c r="BA21" s="60">
        <v>3.5833333333333335</v>
      </c>
      <c r="BB21" s="60">
        <v>3.5</v>
      </c>
      <c r="BC21" s="60">
        <v>3.3833333333333333</v>
      </c>
      <c r="BD21" s="60">
        <v>3.3666666666666667</v>
      </c>
      <c r="BE21" s="60">
        <v>3.35</v>
      </c>
      <c r="BF21" s="60">
        <v>3.3833333333333333</v>
      </c>
      <c r="BG21" s="60">
        <v>2.7333333333333334</v>
      </c>
      <c r="BH21" s="60">
        <v>3.5333333333333332</v>
      </c>
      <c r="BI21" s="60">
        <v>3.4666666666666668</v>
      </c>
      <c r="BJ21" s="60">
        <v>3.4166666666666665</v>
      </c>
      <c r="BK21" s="60">
        <v>3.4666666666666668</v>
      </c>
      <c r="BL21" s="60">
        <v>3.2333333333333334</v>
      </c>
      <c r="BM21" s="60">
        <v>3.3833333333333333</v>
      </c>
      <c r="BN21" s="60">
        <v>3.2666666666666666</v>
      </c>
      <c r="BO21" s="60">
        <v>3.15</v>
      </c>
      <c r="BP21" s="60">
        <v>3.1833333333333331</v>
      </c>
      <c r="BQ21" s="60">
        <v>3.25</v>
      </c>
      <c r="BR21" s="60">
        <v>3.0833333333333335</v>
      </c>
      <c r="BS21" s="60">
        <v>2.7833333333333332</v>
      </c>
      <c r="BT21" s="60">
        <v>3.0833333333333335</v>
      </c>
      <c r="BU21" s="60">
        <v>2.4</v>
      </c>
      <c r="BV21" s="60">
        <v>2.8166666666666669</v>
      </c>
      <c r="BW21" s="60">
        <v>2.7333333333333334</v>
      </c>
      <c r="BX21" s="60">
        <v>2.8166666666666669</v>
      </c>
      <c r="BY21" s="60">
        <v>3</v>
      </c>
      <c r="BZ21" s="60">
        <v>2.95</v>
      </c>
      <c r="CB21" s="5" t="s">
        <v>536</v>
      </c>
      <c r="CC21" s="5">
        <v>500</v>
      </c>
      <c r="CD21" s="63">
        <v>7.3125000000000009E-2</v>
      </c>
      <c r="CE21" s="5">
        <v>7</v>
      </c>
      <c r="CG21" s="5">
        <v>99.6</v>
      </c>
      <c r="CH21" s="5">
        <v>109.44</v>
      </c>
      <c r="CI21" s="5">
        <v>102.03</v>
      </c>
      <c r="CJ21" s="5">
        <v>104.88</v>
      </c>
      <c r="CK21" s="5">
        <v>102.6</v>
      </c>
      <c r="CL21" s="5">
        <v>98.61</v>
      </c>
      <c r="CM21" s="5">
        <v>99.18</v>
      </c>
      <c r="CN21" s="5">
        <v>98.04</v>
      </c>
      <c r="CO21" s="5">
        <v>97.47</v>
      </c>
      <c r="CP21" s="5">
        <v>96.9</v>
      </c>
      <c r="CQ21" s="5">
        <v>114.57</v>
      </c>
      <c r="CR21" s="5">
        <v>109.44</v>
      </c>
      <c r="CS21" s="5">
        <v>87.21</v>
      </c>
      <c r="CT21" s="5">
        <v>92.91</v>
      </c>
      <c r="CU21" s="5">
        <v>88.92</v>
      </c>
      <c r="CV21" s="5">
        <v>115.14</v>
      </c>
      <c r="CW21" s="5">
        <v>111.15</v>
      </c>
      <c r="CX21" s="5">
        <v>117.42</v>
      </c>
      <c r="CY21" s="5">
        <v>111.15</v>
      </c>
      <c r="CZ21" s="5">
        <v>115.14</v>
      </c>
      <c r="DA21" s="5">
        <v>103.74</v>
      </c>
      <c r="DB21" s="5">
        <v>102.6</v>
      </c>
      <c r="DC21" s="5">
        <v>102.6</v>
      </c>
      <c r="DD21" s="5">
        <v>106.59</v>
      </c>
      <c r="DE21" s="5">
        <v>118.56</v>
      </c>
      <c r="DF21" s="5">
        <v>124.83</v>
      </c>
      <c r="DG21" s="5">
        <v>121.41</v>
      </c>
      <c r="DH21" s="5">
        <v>124.26</v>
      </c>
      <c r="DI21" s="5">
        <v>123.12</v>
      </c>
      <c r="DJ21" s="5">
        <v>123.69</v>
      </c>
      <c r="DK21" s="5">
        <v>121.41</v>
      </c>
      <c r="DL21" s="5">
        <v>132.81</v>
      </c>
      <c r="DM21" s="5">
        <v>127.11</v>
      </c>
      <c r="DN21" s="5">
        <v>133.38</v>
      </c>
      <c r="DO21" s="5">
        <v>131.66999999999999</v>
      </c>
      <c r="DP21" s="5">
        <v>128.25</v>
      </c>
      <c r="DQ21" s="5">
        <v>125.4</v>
      </c>
      <c r="DR21" s="5">
        <v>121.41</v>
      </c>
      <c r="DS21" s="5">
        <v>120.84</v>
      </c>
      <c r="DT21" s="5">
        <v>120.27</v>
      </c>
      <c r="DU21" s="5">
        <v>120.84</v>
      </c>
      <c r="DV21" s="5">
        <v>98.61</v>
      </c>
      <c r="DW21" s="5">
        <v>126.54</v>
      </c>
      <c r="DX21" s="5">
        <v>124.26</v>
      </c>
      <c r="DY21" s="5">
        <v>122.55</v>
      </c>
      <c r="DZ21" s="5">
        <v>124.26</v>
      </c>
      <c r="EA21" s="5">
        <v>116.28</v>
      </c>
      <c r="EB21" s="5">
        <v>121.41</v>
      </c>
      <c r="EC21" s="5">
        <v>117.42</v>
      </c>
      <c r="ED21" s="5">
        <v>113.43</v>
      </c>
      <c r="EE21" s="5">
        <v>114.57</v>
      </c>
      <c r="EF21" s="5">
        <v>116.85</v>
      </c>
      <c r="EG21" s="5">
        <v>111.15</v>
      </c>
      <c r="EH21" s="5">
        <v>100.89</v>
      </c>
      <c r="EI21" s="5">
        <v>111.15</v>
      </c>
      <c r="EJ21" s="5">
        <v>87.21</v>
      </c>
      <c r="EK21" s="5">
        <v>102.03</v>
      </c>
      <c r="EL21" s="5">
        <v>99.18</v>
      </c>
      <c r="EM21" s="5">
        <v>102.03</v>
      </c>
      <c r="EN21" s="5">
        <v>108.3</v>
      </c>
      <c r="EO21" s="5">
        <v>106.59</v>
      </c>
    </row>
    <row r="22" spans="1:145">
      <c r="A22" s="59">
        <v>20</v>
      </c>
      <c r="B22" s="13">
        <v>10</v>
      </c>
      <c r="C22" s="13">
        <v>10</v>
      </c>
      <c r="D22" s="13">
        <f t="shared" si="1"/>
        <v>100</v>
      </c>
      <c r="E22" s="5">
        <v>5</v>
      </c>
      <c r="F22" s="60">
        <v>50</v>
      </c>
      <c r="G22" s="60">
        <v>75</v>
      </c>
      <c r="H22" s="13">
        <v>10</v>
      </c>
      <c r="I22" s="5">
        <v>10</v>
      </c>
      <c r="J22" s="13">
        <f t="shared" si="2"/>
        <v>100</v>
      </c>
      <c r="K22" s="60">
        <v>1.8166666666666667</v>
      </c>
      <c r="L22" s="60">
        <v>18.166666666666668</v>
      </c>
      <c r="M22" s="60">
        <v>59.083333333333336</v>
      </c>
      <c r="N22" s="5">
        <f t="shared" si="0"/>
        <v>5533.9799999999977</v>
      </c>
      <c r="O22" s="5">
        <v>-65.200237800000011</v>
      </c>
      <c r="P22" s="5">
        <v>38.799762200000004</v>
      </c>
      <c r="Q22" s="5">
        <v>-67.593091000000001</v>
      </c>
      <c r="R22" s="5">
        <v>36.406908999999999</v>
      </c>
      <c r="T22" s="60">
        <v>2.2999999999999998</v>
      </c>
      <c r="U22" s="60">
        <v>2.2333333333333334</v>
      </c>
      <c r="V22" s="60">
        <v>2.1166666666666667</v>
      </c>
      <c r="W22" s="60">
        <v>2.25</v>
      </c>
      <c r="X22" s="60">
        <v>2.1666666666666665</v>
      </c>
      <c r="Y22" s="60">
        <v>1.9833333333333334</v>
      </c>
      <c r="Z22" s="60">
        <v>2.0166666666666666</v>
      </c>
      <c r="AA22" s="60">
        <v>2.1666666666666665</v>
      </c>
      <c r="AB22" s="60">
        <v>2.3166666666666669</v>
      </c>
      <c r="AC22" s="60">
        <v>2.4833333333333334</v>
      </c>
      <c r="AD22" s="60">
        <v>2.0666666666666669</v>
      </c>
      <c r="AE22" s="60">
        <v>2.5333333333333332</v>
      </c>
      <c r="AF22" s="60">
        <v>2.2833333333333332</v>
      </c>
      <c r="AG22" s="60">
        <v>2.4166666666666665</v>
      </c>
      <c r="AH22" s="60">
        <v>2.6166666666666667</v>
      </c>
      <c r="AI22" s="60">
        <v>2.5166666666666666</v>
      </c>
      <c r="AJ22" s="60">
        <v>2.4500000000000002</v>
      </c>
      <c r="AK22" s="60">
        <v>2.3333333333333335</v>
      </c>
      <c r="AL22" s="60">
        <v>2.35</v>
      </c>
      <c r="AM22" s="60">
        <v>2.35</v>
      </c>
      <c r="AN22" s="60">
        <v>2.5166666666666666</v>
      </c>
      <c r="AO22" s="60">
        <v>2.7</v>
      </c>
      <c r="AP22" s="60">
        <v>2.9166666666666665</v>
      </c>
      <c r="AQ22" s="60">
        <v>2.8833333333333333</v>
      </c>
      <c r="AR22" s="60">
        <v>2.7833333333333332</v>
      </c>
      <c r="AS22" s="60">
        <v>2.9166666666666665</v>
      </c>
      <c r="AT22" s="60">
        <v>3.0833333333333335</v>
      </c>
      <c r="AU22" s="60">
        <v>2.9166666666666665</v>
      </c>
      <c r="AV22" s="60">
        <v>2.9166666666666665</v>
      </c>
      <c r="AW22" s="60">
        <v>2.9166666666666665</v>
      </c>
      <c r="AX22" s="60">
        <v>2.8833333333333333</v>
      </c>
      <c r="AY22" s="60">
        <v>2.9666666666666668</v>
      </c>
      <c r="AZ22" s="60">
        <v>3.15</v>
      </c>
      <c r="BA22" s="60">
        <v>2.75</v>
      </c>
      <c r="BB22" s="60">
        <v>2.9833333333333334</v>
      </c>
      <c r="BC22" s="60">
        <v>2.85</v>
      </c>
      <c r="BD22" s="60">
        <v>2.75</v>
      </c>
      <c r="BE22" s="60">
        <v>2.7333333333333334</v>
      </c>
      <c r="BF22" s="60">
        <v>2.5666666666666669</v>
      </c>
      <c r="BG22" s="60">
        <v>2.5166666666666666</v>
      </c>
      <c r="BH22" s="60">
        <v>2.9166666666666665</v>
      </c>
      <c r="BI22" s="60">
        <v>2.8166666666666669</v>
      </c>
      <c r="BJ22" s="60">
        <v>2.85</v>
      </c>
      <c r="BK22" s="60">
        <v>2.7333333333333334</v>
      </c>
      <c r="BL22" s="60">
        <v>2.7666666666666666</v>
      </c>
      <c r="BM22" s="60">
        <v>2.5833333333333335</v>
      </c>
      <c r="BN22" s="60">
        <v>2.6666666666666665</v>
      </c>
      <c r="BO22" s="60">
        <v>2.65</v>
      </c>
      <c r="BP22" s="60">
        <v>2.0833333333333335</v>
      </c>
      <c r="BQ22" s="60">
        <v>2.5</v>
      </c>
      <c r="BR22" s="60">
        <v>2.0333333333333332</v>
      </c>
      <c r="BS22" s="60">
        <v>2.2999999999999998</v>
      </c>
      <c r="BT22" s="60">
        <v>2.5</v>
      </c>
      <c r="BU22" s="60">
        <v>2.0333333333333332</v>
      </c>
      <c r="BV22" s="60">
        <v>2.0666666666666669</v>
      </c>
      <c r="BW22" s="60">
        <v>1.3833333333333333</v>
      </c>
      <c r="BX22" s="60">
        <v>1.8166666666666667</v>
      </c>
      <c r="BY22" s="60">
        <v>1.6666666666666667</v>
      </c>
      <c r="BZ22" s="60">
        <v>2.1166666666666667</v>
      </c>
      <c r="CB22" s="5" t="s">
        <v>537</v>
      </c>
      <c r="CC22" s="5">
        <v>500</v>
      </c>
      <c r="CD22" s="63">
        <v>7.5387799999999991E-2</v>
      </c>
      <c r="CE22" s="5">
        <v>5</v>
      </c>
      <c r="CG22" s="5">
        <v>69.39</v>
      </c>
      <c r="CH22" s="5">
        <v>102.03</v>
      </c>
      <c r="CI22" s="5">
        <v>84.36</v>
      </c>
      <c r="CJ22" s="5">
        <v>82.08</v>
      </c>
      <c r="CK22" s="5">
        <v>78.09</v>
      </c>
      <c r="CL22" s="5">
        <v>82.65</v>
      </c>
      <c r="CM22" s="5">
        <v>79.8</v>
      </c>
      <c r="CN22" s="5">
        <v>73.53</v>
      </c>
      <c r="CO22" s="5">
        <v>74.67</v>
      </c>
      <c r="CP22" s="5">
        <v>79.8</v>
      </c>
      <c r="CQ22" s="5">
        <v>84.36</v>
      </c>
      <c r="CR22" s="5">
        <v>90.63</v>
      </c>
      <c r="CS22" s="5">
        <v>75.81</v>
      </c>
      <c r="CT22" s="5">
        <v>92.34</v>
      </c>
      <c r="CU22" s="5">
        <v>83.79</v>
      </c>
      <c r="CV22" s="5">
        <v>88.35</v>
      </c>
      <c r="CW22" s="5">
        <v>95.19</v>
      </c>
      <c r="CX22" s="5">
        <v>91.2</v>
      </c>
      <c r="CY22" s="5">
        <v>89.49</v>
      </c>
      <c r="CZ22" s="5">
        <v>85.5</v>
      </c>
      <c r="DA22" s="5">
        <v>86.07</v>
      </c>
      <c r="DB22" s="5">
        <v>86.07</v>
      </c>
      <c r="DC22" s="5">
        <v>91.77</v>
      </c>
      <c r="DD22" s="5">
        <v>98.04</v>
      </c>
      <c r="DE22" s="5">
        <v>105.45</v>
      </c>
      <c r="DF22" s="5">
        <v>104.31</v>
      </c>
      <c r="DG22" s="5">
        <v>100.89</v>
      </c>
      <c r="DH22" s="5">
        <v>105.45</v>
      </c>
      <c r="DI22" s="5">
        <v>111.15</v>
      </c>
      <c r="DJ22" s="5">
        <v>105.45</v>
      </c>
      <c r="DK22" s="5">
        <v>105.45</v>
      </c>
      <c r="DL22" s="5">
        <v>105.45</v>
      </c>
      <c r="DM22" s="5">
        <v>104.31</v>
      </c>
      <c r="DN22" s="5">
        <v>107.16</v>
      </c>
      <c r="DO22" s="5">
        <v>113.43</v>
      </c>
      <c r="DP22" s="5">
        <v>99.75</v>
      </c>
      <c r="DQ22" s="5">
        <v>107.73</v>
      </c>
      <c r="DR22" s="5">
        <v>103.17</v>
      </c>
      <c r="DS22" s="5">
        <v>99.75</v>
      </c>
      <c r="DT22" s="5">
        <v>99.18</v>
      </c>
      <c r="DU22" s="5">
        <v>93.48</v>
      </c>
      <c r="DV22" s="5">
        <v>91.77</v>
      </c>
      <c r="DW22" s="5">
        <v>105.45</v>
      </c>
      <c r="DX22" s="5">
        <v>102.03</v>
      </c>
      <c r="DY22" s="5">
        <v>103.17</v>
      </c>
      <c r="DZ22" s="5">
        <v>99.18</v>
      </c>
      <c r="EA22" s="5">
        <v>100.32</v>
      </c>
      <c r="EB22" s="5">
        <v>94.05</v>
      </c>
      <c r="EC22" s="5">
        <v>96.9</v>
      </c>
      <c r="ED22" s="5">
        <v>96.33</v>
      </c>
      <c r="EE22" s="5">
        <v>76.38</v>
      </c>
      <c r="EF22" s="5">
        <v>91.2</v>
      </c>
      <c r="EG22" s="5">
        <v>74.099999999999994</v>
      </c>
      <c r="EH22" s="5">
        <v>84.36</v>
      </c>
      <c r="EI22" s="5">
        <v>91.2</v>
      </c>
      <c r="EJ22" s="5">
        <v>75.239999999999995</v>
      </c>
      <c r="EK22" s="5">
        <v>76.38</v>
      </c>
      <c r="EL22" s="5">
        <v>51.87</v>
      </c>
      <c r="EM22" s="5">
        <v>67.260000000000005</v>
      </c>
      <c r="EN22" s="5">
        <v>62.13</v>
      </c>
      <c r="EO22" s="5">
        <v>78.09</v>
      </c>
    </row>
    <row r="23" spans="1:145">
      <c r="A23" s="59">
        <v>21</v>
      </c>
      <c r="B23" s="13">
        <v>10</v>
      </c>
      <c r="C23" s="13">
        <v>10</v>
      </c>
      <c r="D23" s="13">
        <f t="shared" si="1"/>
        <v>100</v>
      </c>
      <c r="E23" s="5">
        <v>3</v>
      </c>
      <c r="F23" s="60">
        <v>30</v>
      </c>
      <c r="G23" s="60">
        <v>65</v>
      </c>
      <c r="H23" s="13">
        <v>10</v>
      </c>
      <c r="I23" s="5">
        <v>9</v>
      </c>
      <c r="J23" s="13">
        <f t="shared" si="2"/>
        <v>90</v>
      </c>
      <c r="K23" s="60">
        <v>2.6666666666666665</v>
      </c>
      <c r="L23" s="60">
        <v>29.629629629629626</v>
      </c>
      <c r="M23" s="60">
        <v>59.81481481481481</v>
      </c>
      <c r="N23" s="5">
        <f t="shared" si="0"/>
        <v>7229.73</v>
      </c>
      <c r="O23" s="5">
        <v>-66.821134900000004</v>
      </c>
      <c r="P23" s="5">
        <v>37.178865100000003</v>
      </c>
      <c r="Q23" s="5">
        <v>-63.034380666666671</v>
      </c>
      <c r="R23" s="5">
        <v>40.965619333333336</v>
      </c>
      <c r="T23" s="60">
        <v>3.2833333333333332</v>
      </c>
      <c r="U23" s="60">
        <v>3.1</v>
      </c>
      <c r="V23" s="60">
        <v>3.05</v>
      </c>
      <c r="W23" s="60">
        <v>3.1333333333333333</v>
      </c>
      <c r="X23" s="60">
        <v>2.9</v>
      </c>
      <c r="Y23" s="60">
        <v>2.8</v>
      </c>
      <c r="Z23" s="60">
        <v>2.8833333333333333</v>
      </c>
      <c r="AA23" s="60">
        <v>2.95</v>
      </c>
      <c r="AB23" s="60">
        <v>2.8833333333333333</v>
      </c>
      <c r="AC23" s="60">
        <v>2.9333333333333331</v>
      </c>
      <c r="AD23" s="60">
        <v>3.0166666666666666</v>
      </c>
      <c r="AE23" s="60">
        <v>2.7333333333333334</v>
      </c>
      <c r="AF23" s="60">
        <v>3.2333333333333334</v>
      </c>
      <c r="AG23" s="60">
        <v>3.2666666666666666</v>
      </c>
      <c r="AH23" s="60">
        <v>3.0833333333333335</v>
      </c>
      <c r="AI23" s="60">
        <v>3.3333333333333335</v>
      </c>
      <c r="AJ23" s="60">
        <v>3</v>
      </c>
      <c r="AK23" s="60">
        <v>3.1833333333333331</v>
      </c>
      <c r="AL23" s="60">
        <v>3.0166666666666666</v>
      </c>
      <c r="AM23" s="60">
        <v>3.2</v>
      </c>
      <c r="AN23" s="60">
        <v>3.3833333333333333</v>
      </c>
      <c r="AO23" s="60">
        <v>3.7166666666666668</v>
      </c>
      <c r="AP23" s="60">
        <v>3.75</v>
      </c>
      <c r="AQ23" s="60">
        <v>3.85</v>
      </c>
      <c r="AR23" s="60">
        <v>3.5666666666666669</v>
      </c>
      <c r="AS23" s="60">
        <v>3.8</v>
      </c>
      <c r="AT23" s="60">
        <v>3.6833333333333331</v>
      </c>
      <c r="AU23" s="60">
        <v>3.8166666666666669</v>
      </c>
      <c r="AV23" s="60">
        <v>3.8333333333333335</v>
      </c>
      <c r="AW23" s="60">
        <v>3.65</v>
      </c>
      <c r="AX23" s="60">
        <v>3.2666666666666666</v>
      </c>
      <c r="AY23" s="60">
        <v>3.8166666666666669</v>
      </c>
      <c r="AZ23" s="60">
        <v>3.8166666666666669</v>
      </c>
      <c r="BA23" s="60">
        <v>3.7333333333333334</v>
      </c>
      <c r="BB23" s="60">
        <v>3.7333333333333334</v>
      </c>
      <c r="BC23" s="60">
        <v>3.7666666666666666</v>
      </c>
      <c r="BD23" s="60">
        <v>3.5333333333333332</v>
      </c>
      <c r="BE23" s="60">
        <v>3.2666666666666666</v>
      </c>
      <c r="BF23" s="60">
        <v>3.4166666666666665</v>
      </c>
      <c r="BG23" s="60">
        <v>3.4666666666666668</v>
      </c>
      <c r="BH23" s="60">
        <v>3.5333333333333332</v>
      </c>
      <c r="BI23" s="60">
        <v>3.2833333333333332</v>
      </c>
      <c r="BJ23" s="60">
        <v>3.3833333333333333</v>
      </c>
      <c r="BK23" s="60">
        <v>3.6833333333333331</v>
      </c>
      <c r="BL23" s="60">
        <v>3.65</v>
      </c>
      <c r="BM23" s="60">
        <v>3.45</v>
      </c>
      <c r="BN23" s="60">
        <v>3.4666666666666668</v>
      </c>
      <c r="BO23" s="60">
        <v>3.45</v>
      </c>
      <c r="BP23" s="60">
        <v>3.0666666666666669</v>
      </c>
      <c r="BQ23" s="60">
        <v>3.3166666666666669</v>
      </c>
      <c r="BR23" s="60">
        <v>3.4833333333333334</v>
      </c>
      <c r="BS23" s="60">
        <v>3.15</v>
      </c>
      <c r="BT23" s="60">
        <v>3.1</v>
      </c>
      <c r="BU23" s="60">
        <v>2.9333333333333331</v>
      </c>
      <c r="BV23" s="60">
        <v>2.9666666666666668</v>
      </c>
      <c r="BW23" s="60">
        <v>2.9166666666666665</v>
      </c>
      <c r="BX23" s="60">
        <v>2.75</v>
      </c>
      <c r="BY23" s="60">
        <v>2.8333333333333335</v>
      </c>
      <c r="BZ23" s="60">
        <v>3.0166666666666666</v>
      </c>
      <c r="CB23" s="5" t="s">
        <v>538</v>
      </c>
      <c r="CC23" s="5">
        <v>500</v>
      </c>
      <c r="CD23" s="63">
        <v>7.6708666666666661E-2</v>
      </c>
      <c r="CE23" s="5">
        <v>7</v>
      </c>
      <c r="CG23" s="5">
        <v>98.46</v>
      </c>
      <c r="CH23" s="5">
        <v>119.13</v>
      </c>
      <c r="CI23" s="5">
        <v>117.99</v>
      </c>
      <c r="CJ23" s="5">
        <v>111.72</v>
      </c>
      <c r="CK23" s="5">
        <v>110.01</v>
      </c>
      <c r="CL23" s="5">
        <v>112.86</v>
      </c>
      <c r="CM23" s="5">
        <v>104.88</v>
      </c>
      <c r="CN23" s="5">
        <v>101.46</v>
      </c>
      <c r="CO23" s="5">
        <v>104.31</v>
      </c>
      <c r="CP23" s="5">
        <v>106.59</v>
      </c>
      <c r="CQ23" s="5">
        <v>104.31</v>
      </c>
      <c r="CR23" s="5">
        <v>106.02</v>
      </c>
      <c r="CS23" s="5">
        <v>108.87</v>
      </c>
      <c r="CT23" s="5">
        <v>98.61</v>
      </c>
      <c r="CU23" s="5">
        <v>116.28</v>
      </c>
      <c r="CV23" s="5">
        <v>117.42</v>
      </c>
      <c r="CW23" s="5">
        <v>110.58</v>
      </c>
      <c r="CX23" s="5">
        <v>119.7</v>
      </c>
      <c r="CY23" s="5">
        <v>107.73</v>
      </c>
      <c r="CZ23" s="5">
        <v>114.57</v>
      </c>
      <c r="DA23" s="5">
        <v>108.87</v>
      </c>
      <c r="DB23" s="5">
        <v>115.14</v>
      </c>
      <c r="DC23" s="5">
        <v>121.41</v>
      </c>
      <c r="DD23" s="5">
        <v>132.81</v>
      </c>
      <c r="DE23" s="5">
        <v>133.94999999999999</v>
      </c>
      <c r="DF23" s="5">
        <v>137.37</v>
      </c>
      <c r="DG23" s="5">
        <v>127.68</v>
      </c>
      <c r="DH23" s="5">
        <v>135.66</v>
      </c>
      <c r="DI23" s="5">
        <v>131.66999999999999</v>
      </c>
      <c r="DJ23" s="5">
        <v>136.22999999999999</v>
      </c>
      <c r="DK23" s="5">
        <v>136.80000000000001</v>
      </c>
      <c r="DL23" s="5">
        <v>130.53</v>
      </c>
      <c r="DM23" s="5">
        <v>116.85</v>
      </c>
      <c r="DN23" s="5">
        <v>136.22999999999999</v>
      </c>
      <c r="DO23" s="5">
        <v>136.22999999999999</v>
      </c>
      <c r="DP23" s="5">
        <v>133.38</v>
      </c>
      <c r="DQ23" s="5">
        <v>133.38</v>
      </c>
      <c r="DR23" s="5">
        <v>134.52000000000001</v>
      </c>
      <c r="DS23" s="5">
        <v>126.54</v>
      </c>
      <c r="DT23" s="5">
        <v>117.42</v>
      </c>
      <c r="DU23" s="5">
        <v>122.55</v>
      </c>
      <c r="DV23" s="5">
        <v>124.26</v>
      </c>
      <c r="DW23" s="5">
        <v>126.54</v>
      </c>
      <c r="DX23" s="5">
        <v>117.42</v>
      </c>
      <c r="DY23" s="5">
        <v>121.41</v>
      </c>
      <c r="DZ23" s="5">
        <v>131.66999999999999</v>
      </c>
      <c r="EA23" s="5">
        <v>130.53</v>
      </c>
      <c r="EB23" s="5">
        <v>123.69</v>
      </c>
      <c r="EC23" s="5">
        <v>124.26</v>
      </c>
      <c r="ED23" s="5">
        <v>123.69</v>
      </c>
      <c r="EE23" s="5">
        <v>110.58</v>
      </c>
      <c r="EF23" s="5">
        <v>119.13</v>
      </c>
      <c r="EG23" s="5">
        <v>124.83</v>
      </c>
      <c r="EH23" s="5">
        <v>113.43</v>
      </c>
      <c r="EI23" s="5">
        <v>111.72</v>
      </c>
      <c r="EJ23" s="5">
        <v>106.02</v>
      </c>
      <c r="EK23" s="5">
        <v>107.16</v>
      </c>
      <c r="EL23" s="5">
        <v>105.45</v>
      </c>
      <c r="EM23" s="5">
        <v>99.75</v>
      </c>
      <c r="EN23" s="5">
        <v>102.6</v>
      </c>
      <c r="EO23" s="5">
        <v>108.87</v>
      </c>
    </row>
    <row r="24" spans="1:145">
      <c r="A24" s="59">
        <v>22</v>
      </c>
      <c r="B24" s="13">
        <v>10</v>
      </c>
      <c r="C24" s="13">
        <v>7</v>
      </c>
      <c r="D24" s="13">
        <f t="shared" si="1"/>
        <v>70</v>
      </c>
      <c r="E24" s="5">
        <v>2</v>
      </c>
      <c r="F24" s="60">
        <v>20</v>
      </c>
      <c r="G24" s="60">
        <v>60</v>
      </c>
      <c r="H24" s="13">
        <v>10</v>
      </c>
      <c r="I24" s="5">
        <v>10</v>
      </c>
      <c r="J24" s="13">
        <f t="shared" si="2"/>
        <v>100</v>
      </c>
      <c r="K24" s="60">
        <v>2.6166666666666667</v>
      </c>
      <c r="L24" s="60">
        <v>26.166666666666664</v>
      </c>
      <c r="M24" s="60">
        <v>63.083333333333329</v>
      </c>
      <c r="N24" s="5">
        <f t="shared" si="0"/>
        <v>6799.3799999999992</v>
      </c>
      <c r="O24" s="5">
        <v>-63.825019100000006</v>
      </c>
      <c r="P24" s="5">
        <v>40.174980899999994</v>
      </c>
      <c r="Q24" s="5">
        <v>-64.344458099999997</v>
      </c>
      <c r="R24" s="5">
        <v>39.655541900000003</v>
      </c>
      <c r="T24" s="60">
        <v>3.1166666666666667</v>
      </c>
      <c r="U24" s="60">
        <v>3.2166666666666668</v>
      </c>
      <c r="V24" s="60">
        <v>3</v>
      </c>
      <c r="W24" s="60">
        <v>3.0166666666666666</v>
      </c>
      <c r="X24" s="60">
        <v>2.9166666666666665</v>
      </c>
      <c r="Y24" s="60">
        <v>2.65</v>
      </c>
      <c r="Z24" s="60">
        <v>2.5666666666666669</v>
      </c>
      <c r="AA24" s="60">
        <v>2.7333333333333334</v>
      </c>
      <c r="AB24" s="60">
        <v>3.0666666666666669</v>
      </c>
      <c r="AC24" s="60">
        <v>3.0333333333333332</v>
      </c>
      <c r="AD24" s="60">
        <v>3.1166666666666667</v>
      </c>
      <c r="AE24" s="60">
        <v>3.05</v>
      </c>
      <c r="AF24" s="60">
        <v>3.0333333333333332</v>
      </c>
      <c r="AG24" s="60">
        <v>3.1833333333333331</v>
      </c>
      <c r="AH24" s="60">
        <v>3.2666666666666666</v>
      </c>
      <c r="AI24" s="60">
        <v>2.7833333333333332</v>
      </c>
      <c r="AJ24" s="60">
        <v>3.1</v>
      </c>
      <c r="AK24" s="60">
        <v>2.9333333333333331</v>
      </c>
      <c r="AL24" s="60">
        <v>3</v>
      </c>
      <c r="AM24" s="60">
        <v>3.3333333333333335</v>
      </c>
      <c r="AN24" s="60">
        <v>2.8666666666666667</v>
      </c>
      <c r="AO24" s="60">
        <v>3.3166666666666669</v>
      </c>
      <c r="AP24" s="60">
        <v>3.05</v>
      </c>
      <c r="AQ24" s="60">
        <v>3.2666666666666666</v>
      </c>
      <c r="AR24" s="60">
        <v>3.3333333333333335</v>
      </c>
      <c r="AS24" s="60">
        <v>3.3166666666666669</v>
      </c>
      <c r="AT24" s="60">
        <v>3.4333333333333331</v>
      </c>
      <c r="AU24" s="60">
        <v>3.35</v>
      </c>
      <c r="AV24" s="60">
        <v>3.4666666666666668</v>
      </c>
      <c r="AW24" s="60">
        <v>3.4666666666666668</v>
      </c>
      <c r="AX24" s="60">
        <v>3.2</v>
      </c>
      <c r="AY24" s="60">
        <v>3.4333333333333331</v>
      </c>
      <c r="AZ24" s="60">
        <v>3.5333333333333332</v>
      </c>
      <c r="BA24" s="60">
        <v>3.4333333333333331</v>
      </c>
      <c r="BB24" s="60">
        <v>3.4666666666666668</v>
      </c>
      <c r="BC24" s="60">
        <v>3.4333333333333331</v>
      </c>
      <c r="BD24" s="60">
        <v>3.1333333333333333</v>
      </c>
      <c r="BE24" s="60">
        <v>3.0166666666666666</v>
      </c>
      <c r="BF24" s="60">
        <v>2.9166666666666665</v>
      </c>
      <c r="BG24" s="60">
        <v>3.15</v>
      </c>
      <c r="BH24" s="60">
        <v>3.35</v>
      </c>
      <c r="BI24" s="60">
        <v>3.45</v>
      </c>
      <c r="BJ24" s="60">
        <v>3.2833333333333332</v>
      </c>
      <c r="BK24" s="60">
        <v>3.0833333333333335</v>
      </c>
      <c r="BL24" s="60">
        <v>3.1666666666666665</v>
      </c>
      <c r="BM24" s="60">
        <v>3.1833333333333331</v>
      </c>
      <c r="BN24" s="60">
        <v>3.1666666666666665</v>
      </c>
      <c r="BO24" s="60">
        <v>3.1833333333333331</v>
      </c>
      <c r="BP24" s="60">
        <v>2.85</v>
      </c>
      <c r="BQ24" s="60">
        <v>3.2333333333333334</v>
      </c>
      <c r="BR24" s="60">
        <v>2.7333333333333334</v>
      </c>
      <c r="BS24" s="60">
        <v>2.7666666666666666</v>
      </c>
      <c r="BT24" s="60">
        <v>3.0166666666666666</v>
      </c>
      <c r="BU24" s="60">
        <v>2.6</v>
      </c>
      <c r="BV24" s="60">
        <v>2.8333333333333335</v>
      </c>
      <c r="BW24" s="60">
        <v>2.8166666666666669</v>
      </c>
      <c r="BX24" s="60">
        <v>2.6666666666666665</v>
      </c>
      <c r="BY24" s="60">
        <v>2.7833333333333332</v>
      </c>
      <c r="BZ24" s="60">
        <v>2.8</v>
      </c>
      <c r="CB24" s="5" t="s">
        <v>539</v>
      </c>
      <c r="CC24" s="5">
        <v>500</v>
      </c>
      <c r="CD24" s="63">
        <v>7.8229500000000007E-2</v>
      </c>
      <c r="CE24" s="5">
        <v>8</v>
      </c>
      <c r="CG24" s="5">
        <v>96.75</v>
      </c>
      <c r="CH24" s="5">
        <v>124.83</v>
      </c>
      <c r="CI24" s="5">
        <v>112.29</v>
      </c>
      <c r="CJ24" s="5">
        <v>115.71</v>
      </c>
      <c r="CK24" s="5">
        <v>108.3</v>
      </c>
      <c r="CL24" s="5">
        <v>108.87</v>
      </c>
      <c r="CM24" s="5">
        <v>105.45</v>
      </c>
      <c r="CN24" s="5">
        <v>96.33</v>
      </c>
      <c r="CO24" s="5">
        <v>93.48</v>
      </c>
      <c r="CP24" s="5">
        <v>99.18</v>
      </c>
      <c r="CQ24" s="5">
        <v>110.58</v>
      </c>
      <c r="CR24" s="5">
        <v>109.44</v>
      </c>
      <c r="CS24" s="5">
        <v>112.29</v>
      </c>
      <c r="CT24" s="5">
        <v>110.01</v>
      </c>
      <c r="CU24" s="5">
        <v>109.44</v>
      </c>
      <c r="CV24" s="5">
        <v>114.57</v>
      </c>
      <c r="CW24" s="5">
        <v>117.42</v>
      </c>
      <c r="CX24" s="5">
        <v>100.32</v>
      </c>
      <c r="CY24" s="5">
        <v>111.72</v>
      </c>
      <c r="CZ24" s="5">
        <v>106.02</v>
      </c>
      <c r="DA24" s="5">
        <v>108.3</v>
      </c>
      <c r="DB24" s="5">
        <v>119.7</v>
      </c>
      <c r="DC24" s="5">
        <v>103.17</v>
      </c>
      <c r="DD24" s="5">
        <v>119.13</v>
      </c>
      <c r="DE24" s="5">
        <v>109.44</v>
      </c>
      <c r="DF24" s="5">
        <v>116.85</v>
      </c>
      <c r="DG24" s="5">
        <v>119.7</v>
      </c>
      <c r="DH24" s="5">
        <v>119.13</v>
      </c>
      <c r="DI24" s="5">
        <v>123.12</v>
      </c>
      <c r="DJ24" s="5">
        <v>120.27</v>
      </c>
      <c r="DK24" s="5">
        <v>124.26</v>
      </c>
      <c r="DL24" s="5">
        <v>124.26</v>
      </c>
      <c r="DM24" s="5">
        <v>115.14</v>
      </c>
      <c r="DN24" s="5">
        <v>123.12</v>
      </c>
      <c r="DO24" s="5">
        <v>126.54</v>
      </c>
      <c r="DP24" s="5">
        <v>123.12</v>
      </c>
      <c r="DQ24" s="5">
        <v>124.26</v>
      </c>
      <c r="DR24" s="5">
        <v>123.12</v>
      </c>
      <c r="DS24" s="5">
        <v>112.29</v>
      </c>
      <c r="DT24" s="5">
        <v>108.3</v>
      </c>
      <c r="DU24" s="5">
        <v>104.88</v>
      </c>
      <c r="DV24" s="5">
        <v>113.43</v>
      </c>
      <c r="DW24" s="5">
        <v>120.27</v>
      </c>
      <c r="DX24" s="5">
        <v>123.69</v>
      </c>
      <c r="DY24" s="5">
        <v>117.99</v>
      </c>
      <c r="DZ24" s="5">
        <v>111.15</v>
      </c>
      <c r="EA24" s="5">
        <v>114</v>
      </c>
      <c r="EB24" s="5">
        <v>114.57</v>
      </c>
      <c r="EC24" s="5">
        <v>114</v>
      </c>
      <c r="ED24" s="5">
        <v>114.57</v>
      </c>
      <c r="EE24" s="5">
        <v>103.17</v>
      </c>
      <c r="EF24" s="5">
        <v>116.28</v>
      </c>
      <c r="EG24" s="5">
        <v>98.61</v>
      </c>
      <c r="EH24" s="5">
        <v>99.75</v>
      </c>
      <c r="EI24" s="5">
        <v>108.87</v>
      </c>
      <c r="EJ24" s="5">
        <v>94.05</v>
      </c>
      <c r="EK24" s="5">
        <v>102.6</v>
      </c>
      <c r="EL24" s="5">
        <v>102.03</v>
      </c>
      <c r="EM24" s="5">
        <v>96.9</v>
      </c>
      <c r="EN24" s="5">
        <v>100.89</v>
      </c>
      <c r="EO24" s="5">
        <v>101.46</v>
      </c>
    </row>
    <row r="25" spans="1:145">
      <c r="A25" s="59">
        <v>23</v>
      </c>
      <c r="B25" s="13">
        <v>10</v>
      </c>
      <c r="C25" s="13">
        <v>10</v>
      </c>
      <c r="D25" s="13">
        <f t="shared" si="1"/>
        <v>100</v>
      </c>
      <c r="E25" s="5">
        <v>1</v>
      </c>
      <c r="F25" s="60">
        <v>10</v>
      </c>
      <c r="G25" s="60">
        <v>55</v>
      </c>
      <c r="H25" s="13">
        <v>10</v>
      </c>
      <c r="I25" s="5">
        <v>10</v>
      </c>
      <c r="J25" s="13">
        <f t="shared" si="2"/>
        <v>100</v>
      </c>
      <c r="K25" s="60">
        <v>2.3666666666666667</v>
      </c>
      <c r="L25" s="60">
        <v>23.666666666666668</v>
      </c>
      <c r="M25" s="60">
        <v>61.833333333333336</v>
      </c>
      <c r="N25" s="5">
        <f t="shared" si="0"/>
        <v>6662.58</v>
      </c>
      <c r="O25" s="5">
        <v>-63.165632499999994</v>
      </c>
      <c r="P25" s="5">
        <v>40.834367499999999</v>
      </c>
      <c r="Q25" s="5">
        <v>-66.236628199999998</v>
      </c>
      <c r="R25" s="5">
        <v>37.763371800000002</v>
      </c>
      <c r="T25" s="60">
        <v>3.3833333333333333</v>
      </c>
      <c r="U25" s="60">
        <v>3.2666666666666666</v>
      </c>
      <c r="V25" s="60">
        <v>2.8333333333333335</v>
      </c>
      <c r="W25" s="60">
        <v>3</v>
      </c>
      <c r="X25" s="60">
        <v>2.9</v>
      </c>
      <c r="Y25" s="60">
        <v>2.0166666666666666</v>
      </c>
      <c r="Z25" s="60">
        <v>2.4</v>
      </c>
      <c r="AA25" s="60">
        <v>2.4333333333333331</v>
      </c>
      <c r="AB25" s="60">
        <v>2.4333333333333331</v>
      </c>
      <c r="AC25" s="60">
        <v>2.65</v>
      </c>
      <c r="AD25" s="60">
        <v>2.75</v>
      </c>
      <c r="AE25" s="60">
        <v>2.8166666666666669</v>
      </c>
      <c r="AF25" s="60">
        <v>2.8</v>
      </c>
      <c r="AG25" s="60">
        <v>2.7333333333333334</v>
      </c>
      <c r="AH25" s="60">
        <v>2.75</v>
      </c>
      <c r="AI25" s="60">
        <v>2.8166666666666669</v>
      </c>
      <c r="AJ25" s="60">
        <v>2.8333333333333335</v>
      </c>
      <c r="AK25" s="60">
        <v>2.8</v>
      </c>
      <c r="AL25" s="60">
        <v>2.65</v>
      </c>
      <c r="AM25" s="60">
        <v>3.2666666666666666</v>
      </c>
      <c r="AN25" s="60">
        <v>3.1666666666666665</v>
      </c>
      <c r="AO25" s="60">
        <v>3.55</v>
      </c>
      <c r="AP25" s="60">
        <v>3.4166666666666665</v>
      </c>
      <c r="AQ25" s="60">
        <v>3.6</v>
      </c>
      <c r="AR25" s="60">
        <v>3.5166666666666666</v>
      </c>
      <c r="AS25" s="60">
        <v>3.7</v>
      </c>
      <c r="AT25" s="60">
        <v>3.5</v>
      </c>
      <c r="AU25" s="60">
        <v>3.6</v>
      </c>
      <c r="AV25" s="60">
        <v>3.5833333333333335</v>
      </c>
      <c r="AW25" s="60">
        <v>3.8</v>
      </c>
      <c r="AX25" s="60">
        <v>3.7</v>
      </c>
      <c r="AY25" s="60">
        <v>3.7333333333333334</v>
      </c>
      <c r="AZ25" s="60">
        <v>3.5666666666666669</v>
      </c>
      <c r="BA25" s="60">
        <v>3.6166666666666667</v>
      </c>
      <c r="BB25" s="60">
        <v>3.6</v>
      </c>
      <c r="BC25" s="60">
        <v>3.0166666666666666</v>
      </c>
      <c r="BD25" s="60">
        <v>3.35</v>
      </c>
      <c r="BE25" s="60">
        <v>3.1333333333333333</v>
      </c>
      <c r="BF25" s="60">
        <v>3.0666666666666669</v>
      </c>
      <c r="BG25" s="60">
        <v>2.9666666666666668</v>
      </c>
      <c r="BH25" s="60">
        <v>3.75</v>
      </c>
      <c r="BI25" s="60">
        <v>3.5166666666666666</v>
      </c>
      <c r="BJ25" s="60">
        <v>3.2</v>
      </c>
      <c r="BK25" s="60">
        <v>3.1</v>
      </c>
      <c r="BL25" s="60">
        <v>2.9833333333333334</v>
      </c>
      <c r="BM25" s="60">
        <v>3.1333333333333333</v>
      </c>
      <c r="BN25" s="60">
        <v>3.0166666666666666</v>
      </c>
      <c r="BO25" s="60">
        <v>2.9666666666666668</v>
      </c>
      <c r="BP25" s="60">
        <v>2.8</v>
      </c>
      <c r="BQ25" s="60">
        <v>2.8333333333333335</v>
      </c>
      <c r="BR25" s="60">
        <v>2.95</v>
      </c>
      <c r="BS25" s="60">
        <v>2.6</v>
      </c>
      <c r="BT25" s="60">
        <v>2.4833333333333334</v>
      </c>
      <c r="BU25" s="60">
        <v>2.4833333333333334</v>
      </c>
      <c r="BV25" s="60">
        <v>2.5</v>
      </c>
      <c r="BW25" s="60">
        <v>2.5</v>
      </c>
      <c r="BX25" s="60">
        <v>2.35</v>
      </c>
      <c r="BY25" s="60">
        <v>2.4333333333333331</v>
      </c>
      <c r="BZ25" s="60">
        <v>2.3833333333333333</v>
      </c>
      <c r="CB25" s="5" t="s">
        <v>540</v>
      </c>
      <c r="CC25" s="5">
        <v>500</v>
      </c>
      <c r="CD25" s="63">
        <v>7.7838000000000004E-2</v>
      </c>
      <c r="CE25" s="5">
        <v>9</v>
      </c>
      <c r="CG25" s="5">
        <v>88.2</v>
      </c>
      <c r="CH25" s="5">
        <v>129.96</v>
      </c>
      <c r="CI25" s="5">
        <v>121.41</v>
      </c>
      <c r="CJ25" s="5">
        <v>117.42</v>
      </c>
      <c r="CK25" s="5">
        <v>102.6</v>
      </c>
      <c r="CL25" s="5">
        <v>108.3</v>
      </c>
      <c r="CM25" s="5">
        <v>104.88</v>
      </c>
      <c r="CN25" s="5">
        <v>74.099999999999994</v>
      </c>
      <c r="CO25" s="5">
        <v>87.78</v>
      </c>
      <c r="CP25" s="5">
        <v>88.92</v>
      </c>
      <c r="CQ25" s="5">
        <v>88.92</v>
      </c>
      <c r="CR25" s="5">
        <v>96.33</v>
      </c>
      <c r="CS25" s="5">
        <v>99.75</v>
      </c>
      <c r="CT25" s="5">
        <v>102.03</v>
      </c>
      <c r="CU25" s="5">
        <v>101.46</v>
      </c>
      <c r="CV25" s="5">
        <v>99.18</v>
      </c>
      <c r="CW25" s="5">
        <v>99.75</v>
      </c>
      <c r="CX25" s="5">
        <v>102.03</v>
      </c>
      <c r="CY25" s="5">
        <v>102.6</v>
      </c>
      <c r="CZ25" s="5">
        <v>101.46</v>
      </c>
      <c r="DA25" s="5">
        <v>96.33</v>
      </c>
      <c r="DB25" s="5">
        <v>117.42</v>
      </c>
      <c r="DC25" s="5">
        <v>113.43</v>
      </c>
      <c r="DD25" s="5">
        <v>127.11</v>
      </c>
      <c r="DE25" s="5">
        <v>122.55</v>
      </c>
      <c r="DF25" s="5">
        <v>128.82</v>
      </c>
      <c r="DG25" s="5">
        <v>125.97</v>
      </c>
      <c r="DH25" s="5">
        <v>132.24</v>
      </c>
      <c r="DI25" s="5">
        <v>125.4</v>
      </c>
      <c r="DJ25" s="5">
        <v>128.82</v>
      </c>
      <c r="DK25" s="5">
        <v>128.25</v>
      </c>
      <c r="DL25" s="5">
        <v>135.66</v>
      </c>
      <c r="DM25" s="5">
        <v>132.24</v>
      </c>
      <c r="DN25" s="5">
        <v>133.38</v>
      </c>
      <c r="DO25" s="5">
        <v>127.68</v>
      </c>
      <c r="DP25" s="5">
        <v>129.38999999999999</v>
      </c>
      <c r="DQ25" s="5">
        <v>128.82</v>
      </c>
      <c r="DR25" s="5">
        <v>108.3</v>
      </c>
      <c r="DS25" s="5">
        <v>120.27</v>
      </c>
      <c r="DT25" s="5">
        <v>112.86</v>
      </c>
      <c r="DU25" s="5">
        <v>110.58</v>
      </c>
      <c r="DV25" s="5">
        <v>107.16</v>
      </c>
      <c r="DW25" s="5">
        <v>133.94999999999999</v>
      </c>
      <c r="DX25" s="5">
        <v>125.97</v>
      </c>
      <c r="DY25" s="5">
        <v>115.14</v>
      </c>
      <c r="DZ25" s="5">
        <v>111.72</v>
      </c>
      <c r="EA25" s="5">
        <v>107.73</v>
      </c>
      <c r="EB25" s="5">
        <v>112.86</v>
      </c>
      <c r="EC25" s="5">
        <v>108.87</v>
      </c>
      <c r="ED25" s="5">
        <v>107.16</v>
      </c>
      <c r="EE25" s="5">
        <v>101.46</v>
      </c>
      <c r="EF25" s="5">
        <v>102.6</v>
      </c>
      <c r="EG25" s="5">
        <v>106.59</v>
      </c>
      <c r="EH25" s="5">
        <v>94.62</v>
      </c>
      <c r="EI25" s="5">
        <v>90.06</v>
      </c>
      <c r="EJ25" s="5">
        <v>90.06</v>
      </c>
      <c r="EK25" s="5">
        <v>91.2</v>
      </c>
      <c r="EL25" s="5">
        <v>90.63</v>
      </c>
      <c r="EM25" s="5">
        <v>86.07</v>
      </c>
      <c r="EN25" s="5">
        <v>88.92</v>
      </c>
      <c r="EO25" s="5">
        <v>87.21</v>
      </c>
    </row>
    <row r="26" spans="1:145">
      <c r="A26" s="59">
        <v>24</v>
      </c>
      <c r="B26" s="13">
        <v>10</v>
      </c>
      <c r="C26" s="13">
        <v>10</v>
      </c>
      <c r="D26" s="13">
        <f t="shared" si="1"/>
        <v>100</v>
      </c>
      <c r="E26" s="5">
        <v>5</v>
      </c>
      <c r="F26" s="60">
        <v>50</v>
      </c>
      <c r="G26" s="60">
        <v>75</v>
      </c>
      <c r="H26" s="13">
        <v>10</v>
      </c>
      <c r="I26" s="5">
        <v>10</v>
      </c>
      <c r="J26" s="13">
        <f t="shared" si="2"/>
        <v>100</v>
      </c>
      <c r="K26" s="60">
        <v>2.0833333333333335</v>
      </c>
      <c r="L26" s="60">
        <v>20.833333333333336</v>
      </c>
      <c r="M26" s="60">
        <v>60.416666666666671</v>
      </c>
      <c r="N26" s="5">
        <f t="shared" si="0"/>
        <v>6178.6499999999978</v>
      </c>
      <c r="O26" s="5">
        <v>-70.027382500000016</v>
      </c>
      <c r="P26" s="5">
        <v>33.972617499999998</v>
      </c>
      <c r="Q26" s="5">
        <v>-66.491123799999997</v>
      </c>
      <c r="R26" s="5">
        <v>37.508876199999996</v>
      </c>
      <c r="T26" s="60">
        <v>3.15</v>
      </c>
      <c r="U26" s="60">
        <v>3</v>
      </c>
      <c r="V26" s="60">
        <v>2.8</v>
      </c>
      <c r="W26" s="60">
        <v>2.7666666666666666</v>
      </c>
      <c r="X26" s="60">
        <v>2.7833333333333332</v>
      </c>
      <c r="Y26" s="60">
        <v>2.3666666666666667</v>
      </c>
      <c r="Z26" s="60">
        <v>2.3833333333333333</v>
      </c>
      <c r="AA26" s="60">
        <v>2.2999999999999998</v>
      </c>
      <c r="AB26" s="60">
        <v>2.5499999999999998</v>
      </c>
      <c r="AC26" s="60">
        <v>2.5</v>
      </c>
      <c r="AD26" s="60">
        <v>2.3666666666666667</v>
      </c>
      <c r="AE26" s="60">
        <v>2.7</v>
      </c>
      <c r="AF26" s="60">
        <v>2.7166666666666668</v>
      </c>
      <c r="AG26" s="60">
        <v>2.6833333333333331</v>
      </c>
      <c r="AH26" s="60">
        <v>2.5833333333333335</v>
      </c>
      <c r="AI26" s="60">
        <v>2</v>
      </c>
      <c r="AJ26" s="60">
        <v>2.5333333333333332</v>
      </c>
      <c r="AK26" s="60">
        <v>2.8</v>
      </c>
      <c r="AL26" s="60">
        <v>2.5666666666666669</v>
      </c>
      <c r="AM26" s="60">
        <v>3.2333333333333334</v>
      </c>
      <c r="AN26" s="60">
        <v>3.1666666666666665</v>
      </c>
      <c r="AO26" s="60">
        <v>3.3</v>
      </c>
      <c r="AP26" s="60">
        <v>3.2333333333333334</v>
      </c>
      <c r="AQ26" s="60">
        <v>3.2333333333333334</v>
      </c>
      <c r="AR26" s="60">
        <v>3.1666666666666665</v>
      </c>
      <c r="AS26" s="60">
        <v>3.2166666666666668</v>
      </c>
      <c r="AT26" s="60">
        <v>3.3333333333333335</v>
      </c>
      <c r="AU26" s="60">
        <v>3.1833333333333331</v>
      </c>
      <c r="AV26" s="60">
        <v>3.3166666666666669</v>
      </c>
      <c r="AW26" s="60">
        <v>3.1833333333333331</v>
      </c>
      <c r="AX26" s="60">
        <v>3.3166666666666669</v>
      </c>
      <c r="AY26" s="60">
        <v>3.3</v>
      </c>
      <c r="AZ26" s="60">
        <v>3.5333333333333332</v>
      </c>
      <c r="BA26" s="60">
        <v>3.3</v>
      </c>
      <c r="BB26" s="60">
        <v>3.1166666666666667</v>
      </c>
      <c r="BC26" s="60">
        <v>3.05</v>
      </c>
      <c r="BD26" s="60">
        <v>3.0666666666666669</v>
      </c>
      <c r="BE26" s="60">
        <v>2.8833333333333333</v>
      </c>
      <c r="BF26" s="60">
        <v>2.9</v>
      </c>
      <c r="BG26" s="60">
        <v>2.9333333333333331</v>
      </c>
      <c r="BH26" s="60">
        <v>3.3166666666666669</v>
      </c>
      <c r="BI26" s="60">
        <v>3.0833333333333335</v>
      </c>
      <c r="BJ26" s="60">
        <v>3</v>
      </c>
      <c r="BK26" s="60">
        <v>2.8666666666666667</v>
      </c>
      <c r="BL26" s="60">
        <v>2.9833333333333334</v>
      </c>
      <c r="BM26" s="60">
        <v>2.5833333333333335</v>
      </c>
      <c r="BN26" s="60">
        <v>2.6666666666666665</v>
      </c>
      <c r="BO26" s="60">
        <v>2.8166666666666669</v>
      </c>
      <c r="BP26" s="60">
        <v>2.3166666666666669</v>
      </c>
      <c r="BQ26" s="60">
        <v>2.7333333333333334</v>
      </c>
      <c r="BR26" s="60">
        <v>2.7666666666666666</v>
      </c>
      <c r="BS26" s="60">
        <v>2.2166666666666668</v>
      </c>
      <c r="BT26" s="60">
        <v>2.5499999999999998</v>
      </c>
      <c r="BU26" s="60">
        <v>2.2666666666666666</v>
      </c>
      <c r="BV26" s="60">
        <v>2.0166666666666666</v>
      </c>
      <c r="BW26" s="60">
        <v>2.4333333333333331</v>
      </c>
      <c r="BX26" s="60">
        <v>2.2000000000000002</v>
      </c>
      <c r="BY26" s="60">
        <v>2.2333333333333334</v>
      </c>
      <c r="BZ26" s="60">
        <v>1.8</v>
      </c>
      <c r="CB26" s="5" t="s">
        <v>541</v>
      </c>
      <c r="CC26" s="5">
        <v>500</v>
      </c>
      <c r="CD26" s="63">
        <v>7.4088999999999988E-2</v>
      </c>
      <c r="CE26" s="5">
        <v>5</v>
      </c>
      <c r="CG26" s="5">
        <v>78.510000000000005</v>
      </c>
      <c r="CH26" s="5">
        <v>114</v>
      </c>
      <c r="CI26" s="5">
        <v>113.43</v>
      </c>
      <c r="CJ26" s="5">
        <v>108.3</v>
      </c>
      <c r="CK26" s="5">
        <v>101.46</v>
      </c>
      <c r="CL26" s="5">
        <v>100.32</v>
      </c>
      <c r="CM26" s="5">
        <v>100.89</v>
      </c>
      <c r="CN26" s="5">
        <v>86.64</v>
      </c>
      <c r="CO26" s="5">
        <v>87.21</v>
      </c>
      <c r="CP26" s="5">
        <v>84.36</v>
      </c>
      <c r="CQ26" s="5">
        <v>92.91</v>
      </c>
      <c r="CR26" s="5">
        <v>91.2</v>
      </c>
      <c r="CS26" s="5">
        <v>86.07</v>
      </c>
      <c r="CT26" s="5">
        <v>98.04</v>
      </c>
      <c r="CU26" s="5">
        <v>98.61</v>
      </c>
      <c r="CV26" s="5">
        <v>97.47</v>
      </c>
      <c r="CW26" s="5">
        <v>94.05</v>
      </c>
      <c r="CX26" s="5">
        <v>73.53</v>
      </c>
      <c r="CY26" s="5">
        <v>91.77</v>
      </c>
      <c r="CZ26" s="5">
        <v>101.46</v>
      </c>
      <c r="DA26" s="5">
        <v>93.48</v>
      </c>
      <c r="DB26" s="5">
        <v>116.28</v>
      </c>
      <c r="DC26" s="5">
        <v>114</v>
      </c>
      <c r="DD26" s="5">
        <v>118.56</v>
      </c>
      <c r="DE26" s="5">
        <v>116.28</v>
      </c>
      <c r="DF26" s="5">
        <v>116.28</v>
      </c>
      <c r="DG26" s="5">
        <v>114</v>
      </c>
      <c r="DH26" s="5">
        <v>115.71</v>
      </c>
      <c r="DI26" s="5">
        <v>119.7</v>
      </c>
      <c r="DJ26" s="5">
        <v>114.57</v>
      </c>
      <c r="DK26" s="5">
        <v>119.13</v>
      </c>
      <c r="DL26" s="5">
        <v>114.57</v>
      </c>
      <c r="DM26" s="5">
        <v>119.13</v>
      </c>
      <c r="DN26" s="5">
        <v>118.56</v>
      </c>
      <c r="DO26" s="5">
        <v>126.54</v>
      </c>
      <c r="DP26" s="5">
        <v>118.56</v>
      </c>
      <c r="DQ26" s="5">
        <v>112.29</v>
      </c>
      <c r="DR26" s="5">
        <v>110.01</v>
      </c>
      <c r="DS26" s="5">
        <v>110.58</v>
      </c>
      <c r="DT26" s="5">
        <v>104.31</v>
      </c>
      <c r="DU26" s="5">
        <v>104.88</v>
      </c>
      <c r="DV26" s="5">
        <v>106.02</v>
      </c>
      <c r="DW26" s="5">
        <v>119.13</v>
      </c>
      <c r="DX26" s="5">
        <v>111.15</v>
      </c>
      <c r="DY26" s="5">
        <v>108.3</v>
      </c>
      <c r="DZ26" s="5">
        <v>103.74</v>
      </c>
      <c r="EA26" s="5">
        <v>107.73</v>
      </c>
      <c r="EB26" s="5">
        <v>93.48</v>
      </c>
      <c r="EC26" s="5">
        <v>96.33</v>
      </c>
      <c r="ED26" s="5">
        <v>102.03</v>
      </c>
      <c r="EE26" s="5">
        <v>84.36</v>
      </c>
      <c r="EF26" s="5">
        <v>99.18</v>
      </c>
      <c r="EG26" s="5">
        <v>100.32</v>
      </c>
      <c r="EH26" s="5">
        <v>80.94</v>
      </c>
      <c r="EI26" s="5">
        <v>92.91</v>
      </c>
      <c r="EJ26" s="5">
        <v>83.22</v>
      </c>
      <c r="EK26" s="5">
        <v>73.53</v>
      </c>
      <c r="EL26" s="5">
        <v>88.92</v>
      </c>
      <c r="EM26" s="5">
        <v>80.94</v>
      </c>
      <c r="EN26" s="5">
        <v>82.08</v>
      </c>
      <c r="EO26" s="5">
        <v>66.69</v>
      </c>
    </row>
    <row r="27" spans="1:145">
      <c r="A27" s="59">
        <v>25</v>
      </c>
      <c r="B27" s="13">
        <v>10</v>
      </c>
      <c r="C27" s="13">
        <v>10</v>
      </c>
      <c r="D27" s="13">
        <f t="shared" si="1"/>
        <v>100</v>
      </c>
      <c r="E27" s="5">
        <v>3</v>
      </c>
      <c r="F27" s="60">
        <v>30</v>
      </c>
      <c r="G27" s="60">
        <v>65</v>
      </c>
      <c r="H27" s="13">
        <v>10</v>
      </c>
      <c r="I27" s="5">
        <v>9</v>
      </c>
      <c r="J27" s="13">
        <f t="shared" si="2"/>
        <v>90</v>
      </c>
      <c r="K27" s="60">
        <v>2.7666666666666666</v>
      </c>
      <c r="L27" s="60">
        <v>30.74074074074074</v>
      </c>
      <c r="M27" s="60">
        <v>60.370370370370367</v>
      </c>
      <c r="N27" s="5">
        <f t="shared" si="0"/>
        <v>7321.5000000000018</v>
      </c>
      <c r="O27" s="5">
        <v>-66.098343599999993</v>
      </c>
      <c r="P27" s="5">
        <v>37.9016564</v>
      </c>
      <c r="Q27" s="5">
        <v>-66.490407400000009</v>
      </c>
      <c r="R27" s="5">
        <v>37.509592599999998</v>
      </c>
      <c r="T27" s="60">
        <v>3.95</v>
      </c>
      <c r="U27" s="60">
        <v>3.9333333333333331</v>
      </c>
      <c r="V27" s="60">
        <v>3.6</v>
      </c>
      <c r="W27" s="60">
        <v>3.7833333333333332</v>
      </c>
      <c r="X27" s="60">
        <v>3.55</v>
      </c>
      <c r="Y27" s="60">
        <v>3</v>
      </c>
      <c r="Z27" s="60">
        <v>2.7333333333333334</v>
      </c>
      <c r="AA27" s="60">
        <v>2.8333333333333335</v>
      </c>
      <c r="AB27" s="60">
        <v>2.95</v>
      </c>
      <c r="AC27" s="60">
        <v>2.9</v>
      </c>
      <c r="AD27" s="60">
        <v>3.0333333333333332</v>
      </c>
      <c r="AE27" s="60">
        <v>3.15</v>
      </c>
      <c r="AF27" s="60">
        <v>3.0833333333333335</v>
      </c>
      <c r="AG27" s="60">
        <v>3.3166666666666669</v>
      </c>
      <c r="AH27" s="60">
        <v>3.1333333333333333</v>
      </c>
      <c r="AI27" s="60">
        <v>3.2333333333333334</v>
      </c>
      <c r="AJ27" s="60">
        <v>3.1333333333333333</v>
      </c>
      <c r="AK27" s="60">
        <v>3.1</v>
      </c>
      <c r="AL27" s="60">
        <v>3.1</v>
      </c>
      <c r="AM27" s="60">
        <v>3.9</v>
      </c>
      <c r="AN27" s="60">
        <v>3.95</v>
      </c>
      <c r="AO27" s="60">
        <v>3.9833333333333334</v>
      </c>
      <c r="AP27" s="60">
        <v>3.7666666666666666</v>
      </c>
      <c r="AQ27" s="60">
        <v>3.95</v>
      </c>
      <c r="AR27" s="60">
        <v>3.8166666666666669</v>
      </c>
      <c r="AS27" s="60">
        <v>3.8833333333333333</v>
      </c>
      <c r="AT27" s="60">
        <v>3.7666666666666666</v>
      </c>
      <c r="AU27" s="60">
        <v>3.9166666666666665</v>
      </c>
      <c r="AV27" s="60">
        <v>3.9833333333333334</v>
      </c>
      <c r="AW27" s="60">
        <v>3.8</v>
      </c>
      <c r="AX27" s="60">
        <v>3.65</v>
      </c>
      <c r="AY27" s="60">
        <v>3.9</v>
      </c>
      <c r="AZ27" s="60">
        <v>3.8833333333333333</v>
      </c>
      <c r="BA27" s="60">
        <v>3.9833333333333334</v>
      </c>
      <c r="BB27" s="60">
        <v>3.7333333333333334</v>
      </c>
      <c r="BC27" s="60">
        <v>3.4166666666666665</v>
      </c>
      <c r="BD27" s="60">
        <v>3.6333333333333333</v>
      </c>
      <c r="BE27" s="60">
        <v>3.1666666666666665</v>
      </c>
      <c r="BF27" s="60">
        <v>3.4666666666666668</v>
      </c>
      <c r="BG27" s="60">
        <v>3.4166666666666665</v>
      </c>
      <c r="BH27" s="60">
        <v>3.8833333333333333</v>
      </c>
      <c r="BI27" s="60">
        <v>3.6</v>
      </c>
      <c r="BJ27" s="60">
        <v>3.3833333333333333</v>
      </c>
      <c r="BK27" s="60">
        <v>2.7</v>
      </c>
      <c r="BL27" s="60">
        <v>3.5166666666666666</v>
      </c>
      <c r="BM27" s="60">
        <v>3.55</v>
      </c>
      <c r="BN27" s="60">
        <v>3.3333333333333335</v>
      </c>
      <c r="BO27" s="60">
        <v>3.1833333333333331</v>
      </c>
      <c r="BP27" s="60">
        <v>3.1</v>
      </c>
      <c r="BQ27" s="60">
        <v>3.1</v>
      </c>
      <c r="BR27" s="60">
        <v>3.0333333333333332</v>
      </c>
      <c r="BS27" s="60">
        <v>3</v>
      </c>
      <c r="BT27" s="60">
        <v>2.4333333333333331</v>
      </c>
      <c r="BU27" s="60">
        <v>2.7166666666666668</v>
      </c>
      <c r="BV27" s="60">
        <v>2.1333333333333333</v>
      </c>
      <c r="BW27" s="60">
        <v>2.8333333333333335</v>
      </c>
      <c r="BX27" s="60">
        <v>2.6</v>
      </c>
      <c r="BY27" s="60">
        <v>2.8</v>
      </c>
      <c r="BZ27" s="60">
        <v>2.3833333333333333</v>
      </c>
      <c r="CB27" s="5" t="s">
        <v>542</v>
      </c>
      <c r="CC27" s="5">
        <v>500</v>
      </c>
      <c r="CD27" s="63">
        <v>7.5699333333333341E-2</v>
      </c>
      <c r="CE27" s="5">
        <v>7</v>
      </c>
      <c r="CG27" s="5">
        <v>101.88</v>
      </c>
      <c r="CH27" s="5">
        <v>123.12</v>
      </c>
      <c r="CI27" s="5">
        <v>140.79</v>
      </c>
      <c r="CJ27" s="5">
        <v>140.22</v>
      </c>
      <c r="CK27" s="5">
        <v>128.82</v>
      </c>
      <c r="CL27" s="5">
        <v>135.09</v>
      </c>
      <c r="CM27" s="5">
        <v>127.11</v>
      </c>
      <c r="CN27" s="5">
        <v>108.3</v>
      </c>
      <c r="CO27" s="5">
        <v>99.18</v>
      </c>
      <c r="CP27" s="5">
        <v>102.6</v>
      </c>
      <c r="CQ27" s="5">
        <v>106.59</v>
      </c>
      <c r="CR27" s="5">
        <v>104.88</v>
      </c>
      <c r="CS27" s="5">
        <v>109.44</v>
      </c>
      <c r="CT27" s="5">
        <v>113.43</v>
      </c>
      <c r="CU27" s="5">
        <v>111.15</v>
      </c>
      <c r="CV27" s="5">
        <v>119.13</v>
      </c>
      <c r="CW27" s="5">
        <v>112.86</v>
      </c>
      <c r="CX27" s="5">
        <v>116.28</v>
      </c>
      <c r="CY27" s="5">
        <v>112.86</v>
      </c>
      <c r="CZ27" s="5">
        <v>111.72</v>
      </c>
      <c r="DA27" s="5">
        <v>111.72</v>
      </c>
      <c r="DB27" s="5">
        <v>139.08000000000001</v>
      </c>
      <c r="DC27" s="5">
        <v>140.79</v>
      </c>
      <c r="DD27" s="5">
        <v>141.93</v>
      </c>
      <c r="DE27" s="5">
        <v>134.52000000000001</v>
      </c>
      <c r="DF27" s="5">
        <v>140.79</v>
      </c>
      <c r="DG27" s="5">
        <v>136.22999999999999</v>
      </c>
      <c r="DH27" s="5">
        <v>138.51</v>
      </c>
      <c r="DI27" s="5">
        <v>134.52000000000001</v>
      </c>
      <c r="DJ27" s="5">
        <v>139.65</v>
      </c>
      <c r="DK27" s="5">
        <v>141.93</v>
      </c>
      <c r="DL27" s="5">
        <v>135.09</v>
      </c>
      <c r="DM27" s="5">
        <v>130.53</v>
      </c>
      <c r="DN27" s="5">
        <v>139.08000000000001</v>
      </c>
      <c r="DO27" s="5">
        <v>138.51</v>
      </c>
      <c r="DP27" s="5">
        <v>141.93</v>
      </c>
      <c r="DQ27" s="5">
        <v>133.38</v>
      </c>
      <c r="DR27" s="5">
        <v>122.55</v>
      </c>
      <c r="DS27" s="5">
        <v>129.96</v>
      </c>
      <c r="DT27" s="5">
        <v>114</v>
      </c>
      <c r="DU27" s="5">
        <v>124.26</v>
      </c>
      <c r="DV27" s="5">
        <v>122.55</v>
      </c>
      <c r="DW27" s="5">
        <v>138.51</v>
      </c>
      <c r="DX27" s="5">
        <v>128.82</v>
      </c>
      <c r="DY27" s="5">
        <v>121.41</v>
      </c>
      <c r="DZ27" s="5">
        <v>97.47</v>
      </c>
      <c r="EA27" s="5">
        <v>125.97</v>
      </c>
      <c r="EB27" s="5">
        <v>127.11</v>
      </c>
      <c r="EC27" s="5">
        <v>119.7</v>
      </c>
      <c r="ED27" s="5">
        <v>114.57</v>
      </c>
      <c r="EE27" s="5">
        <v>111.72</v>
      </c>
      <c r="EF27" s="5">
        <v>111.72</v>
      </c>
      <c r="EG27" s="5">
        <v>109.44</v>
      </c>
      <c r="EH27" s="5">
        <v>108.3</v>
      </c>
      <c r="EI27" s="5">
        <v>88.35</v>
      </c>
      <c r="EJ27" s="5">
        <v>98.61</v>
      </c>
      <c r="EK27" s="5">
        <v>77.52</v>
      </c>
      <c r="EL27" s="5">
        <v>102.6</v>
      </c>
      <c r="EM27" s="5">
        <v>94.62</v>
      </c>
      <c r="EN27" s="5">
        <v>101.46</v>
      </c>
      <c r="EO27" s="5">
        <v>86.64</v>
      </c>
    </row>
    <row r="28" spans="1:145">
      <c r="A28" s="59">
        <v>26</v>
      </c>
      <c r="B28" s="13">
        <v>10</v>
      </c>
      <c r="C28" s="13">
        <v>8</v>
      </c>
      <c r="D28" s="13">
        <f t="shared" si="1"/>
        <v>80</v>
      </c>
      <c r="E28" s="5">
        <v>2</v>
      </c>
      <c r="F28" s="60">
        <v>20</v>
      </c>
      <c r="G28" s="60">
        <v>60</v>
      </c>
      <c r="H28" s="13">
        <v>10</v>
      </c>
      <c r="I28" s="5">
        <v>10</v>
      </c>
      <c r="J28" s="13">
        <f t="shared" si="2"/>
        <v>100</v>
      </c>
      <c r="K28" s="60">
        <v>2.2166666666666668</v>
      </c>
      <c r="L28" s="60">
        <v>22.166666666666668</v>
      </c>
      <c r="M28" s="60">
        <v>61.083333333333336</v>
      </c>
      <c r="N28" s="5">
        <f t="shared" si="0"/>
        <v>6179.7900000000027</v>
      </c>
      <c r="O28" s="5">
        <v>-67.190942199999995</v>
      </c>
      <c r="P28" s="5">
        <v>36.809057799999998</v>
      </c>
      <c r="Q28" s="5">
        <v>-69.189811700000007</v>
      </c>
      <c r="R28" s="5">
        <v>34.810188300000007</v>
      </c>
      <c r="T28" s="60">
        <v>3.5</v>
      </c>
      <c r="U28" s="60">
        <v>3.2166666666666668</v>
      </c>
      <c r="V28" s="60">
        <v>2.9</v>
      </c>
      <c r="W28" s="60">
        <v>3.1666666666666665</v>
      </c>
      <c r="X28" s="60">
        <v>3.25</v>
      </c>
      <c r="Y28" s="60">
        <v>2.3666666666666667</v>
      </c>
      <c r="Z28" s="60">
        <v>2.4</v>
      </c>
      <c r="AA28" s="60">
        <v>2.25</v>
      </c>
      <c r="AB28" s="60">
        <v>2.2666666666666666</v>
      </c>
      <c r="AC28" s="60">
        <v>2.5166666666666666</v>
      </c>
      <c r="AD28" s="60">
        <v>2.5166666666666666</v>
      </c>
      <c r="AE28" s="60">
        <v>2.65</v>
      </c>
      <c r="AF28" s="60">
        <v>2.6666666666666665</v>
      </c>
      <c r="AG28" s="60">
        <v>2.75</v>
      </c>
      <c r="AH28" s="60">
        <v>2.6333333333333333</v>
      </c>
      <c r="AI28" s="60">
        <v>2.6166666666666667</v>
      </c>
      <c r="AJ28" s="60">
        <v>2.65</v>
      </c>
      <c r="AK28" s="60">
        <v>2.6</v>
      </c>
      <c r="AL28" s="60">
        <v>2.1166666666666667</v>
      </c>
      <c r="AM28" s="60">
        <v>3.5</v>
      </c>
      <c r="AN28" s="60">
        <v>3.2166666666666668</v>
      </c>
      <c r="AO28" s="60">
        <v>3.45</v>
      </c>
      <c r="AP28" s="60">
        <v>3.2833333333333332</v>
      </c>
      <c r="AQ28" s="60">
        <v>3.3666666666666667</v>
      </c>
      <c r="AR28" s="60">
        <v>3.4</v>
      </c>
      <c r="AS28" s="60">
        <v>3.3833333333333333</v>
      </c>
      <c r="AT28" s="60">
        <v>3.3666666666666667</v>
      </c>
      <c r="AU28" s="60">
        <v>3.35</v>
      </c>
      <c r="AV28" s="60">
        <v>3.5166666666666666</v>
      </c>
      <c r="AW28" s="60">
        <v>3.2333333333333334</v>
      </c>
      <c r="AX28" s="60">
        <v>3.1666666666666665</v>
      </c>
      <c r="AY28" s="60">
        <v>3.3166666666666669</v>
      </c>
      <c r="AZ28" s="60">
        <v>3.3666666666666667</v>
      </c>
      <c r="BA28" s="60">
        <v>3.1833333333333331</v>
      </c>
      <c r="BB28" s="60">
        <v>3.05</v>
      </c>
      <c r="BC28" s="60">
        <v>3</v>
      </c>
      <c r="BD28" s="60">
        <v>2.8833333333333333</v>
      </c>
      <c r="BE28" s="60">
        <v>2.9666666666666668</v>
      </c>
      <c r="BF28" s="60">
        <v>2.65</v>
      </c>
      <c r="BG28" s="60">
        <v>2.6666666666666665</v>
      </c>
      <c r="BH28" s="60">
        <v>3.35</v>
      </c>
      <c r="BI28" s="60">
        <v>3.0166666666666666</v>
      </c>
      <c r="BJ28" s="60">
        <v>2.6666666666666665</v>
      </c>
      <c r="BK28" s="60">
        <v>2.75</v>
      </c>
      <c r="BL28" s="60">
        <v>2.7166666666666668</v>
      </c>
      <c r="BM28" s="60">
        <v>2.3333333333333335</v>
      </c>
      <c r="BN28" s="60">
        <v>2.7333333333333334</v>
      </c>
      <c r="BO28" s="60">
        <v>2.85</v>
      </c>
      <c r="BP28" s="60">
        <v>2.1</v>
      </c>
      <c r="BQ28" s="60">
        <v>2.7</v>
      </c>
      <c r="BR28" s="60">
        <v>1.9333333333333333</v>
      </c>
      <c r="BS28" s="60">
        <v>2.3666666666666667</v>
      </c>
      <c r="BT28" s="60">
        <v>1.8666666666666667</v>
      </c>
      <c r="BU28" s="60">
        <v>2.4166666666666665</v>
      </c>
      <c r="BV28" s="60">
        <v>2.3833333333333333</v>
      </c>
      <c r="BW28" s="60">
        <v>2.2999999999999998</v>
      </c>
      <c r="BX28" s="60">
        <v>2.0499999999999998</v>
      </c>
      <c r="BY28" s="60">
        <v>2.1166666666666667</v>
      </c>
      <c r="BZ28" s="60">
        <v>2.0666666666666669</v>
      </c>
      <c r="CB28" s="5" t="s">
        <v>543</v>
      </c>
      <c r="CC28" s="5">
        <v>500</v>
      </c>
      <c r="CD28" s="63">
        <v>7.1983500000000006E-2</v>
      </c>
      <c r="CE28" s="5">
        <v>8</v>
      </c>
      <c r="CG28" s="5">
        <v>83.07</v>
      </c>
      <c r="CH28" s="5">
        <v>121.41</v>
      </c>
      <c r="CI28" s="5">
        <v>125.4</v>
      </c>
      <c r="CJ28" s="5">
        <v>115.71</v>
      </c>
      <c r="CK28" s="5">
        <v>104.31</v>
      </c>
      <c r="CL28" s="5">
        <v>114</v>
      </c>
      <c r="CM28" s="5">
        <v>116.85</v>
      </c>
      <c r="CN28" s="5">
        <v>86.64</v>
      </c>
      <c r="CO28" s="5">
        <v>87.78</v>
      </c>
      <c r="CP28" s="5">
        <v>82.65</v>
      </c>
      <c r="CQ28" s="5">
        <v>83.22</v>
      </c>
      <c r="CR28" s="5">
        <v>91.77</v>
      </c>
      <c r="CS28" s="5">
        <v>91.77</v>
      </c>
      <c r="CT28" s="5">
        <v>96.33</v>
      </c>
      <c r="CU28" s="5">
        <v>96.9</v>
      </c>
      <c r="CV28" s="5">
        <v>99.75</v>
      </c>
      <c r="CW28" s="5">
        <v>95.76</v>
      </c>
      <c r="CX28" s="5">
        <v>95.19</v>
      </c>
      <c r="CY28" s="5">
        <v>96.33</v>
      </c>
      <c r="CZ28" s="5">
        <v>94.62</v>
      </c>
      <c r="DA28" s="5">
        <v>77.52</v>
      </c>
      <c r="DB28" s="5">
        <v>125.4</v>
      </c>
      <c r="DC28" s="5">
        <v>115.71</v>
      </c>
      <c r="DD28" s="5">
        <v>123.69</v>
      </c>
      <c r="DE28" s="5">
        <v>117.99</v>
      </c>
      <c r="DF28" s="5">
        <v>120.84</v>
      </c>
      <c r="DG28" s="5">
        <v>121.98</v>
      </c>
      <c r="DH28" s="5">
        <v>121.41</v>
      </c>
      <c r="DI28" s="5">
        <v>120.84</v>
      </c>
      <c r="DJ28" s="5">
        <v>120.27</v>
      </c>
      <c r="DK28" s="5">
        <v>125.97</v>
      </c>
      <c r="DL28" s="5">
        <v>115.71</v>
      </c>
      <c r="DM28" s="5">
        <v>114</v>
      </c>
      <c r="DN28" s="5">
        <v>119.13</v>
      </c>
      <c r="DO28" s="5">
        <v>120.84</v>
      </c>
      <c r="DP28" s="5">
        <v>114.57</v>
      </c>
      <c r="DQ28" s="5">
        <v>109.44</v>
      </c>
      <c r="DR28" s="5">
        <v>108.3</v>
      </c>
      <c r="DS28" s="5">
        <v>104.31</v>
      </c>
      <c r="DT28" s="5">
        <v>107.16</v>
      </c>
      <c r="DU28" s="5">
        <v>95.76</v>
      </c>
      <c r="DV28" s="5">
        <v>96.9</v>
      </c>
      <c r="DW28" s="5">
        <v>120.27</v>
      </c>
      <c r="DX28" s="5">
        <v>108.87</v>
      </c>
      <c r="DY28" s="5">
        <v>96.33</v>
      </c>
      <c r="DZ28" s="5">
        <v>99.75</v>
      </c>
      <c r="EA28" s="5">
        <v>98.61</v>
      </c>
      <c r="EB28" s="5">
        <v>84.93</v>
      </c>
      <c r="EC28" s="5">
        <v>99.18</v>
      </c>
      <c r="ED28" s="5">
        <v>103.17</v>
      </c>
      <c r="EE28" s="5">
        <v>76.95</v>
      </c>
      <c r="EF28" s="5">
        <v>98.04</v>
      </c>
      <c r="EG28" s="5">
        <v>71.25</v>
      </c>
      <c r="EH28" s="5">
        <v>86.64</v>
      </c>
      <c r="EI28" s="5">
        <v>68.97</v>
      </c>
      <c r="EJ28" s="5">
        <v>88.35</v>
      </c>
      <c r="EK28" s="5">
        <v>87.21</v>
      </c>
      <c r="EL28" s="5">
        <v>84.36</v>
      </c>
      <c r="EM28" s="5">
        <v>75.81</v>
      </c>
      <c r="EN28" s="5">
        <v>78.09</v>
      </c>
      <c r="EO28" s="5">
        <v>75.81</v>
      </c>
    </row>
    <row r="29" spans="1:145">
      <c r="A29" s="59">
        <v>27</v>
      </c>
      <c r="B29" s="13">
        <v>10</v>
      </c>
      <c r="C29" s="13">
        <v>10</v>
      </c>
      <c r="D29" s="13">
        <f t="shared" si="1"/>
        <v>100</v>
      </c>
      <c r="E29" s="5">
        <v>1</v>
      </c>
      <c r="F29" s="60">
        <v>10</v>
      </c>
      <c r="G29" s="60">
        <v>55</v>
      </c>
      <c r="H29" s="13">
        <v>10</v>
      </c>
      <c r="I29" s="5">
        <v>8</v>
      </c>
      <c r="J29" s="13">
        <f t="shared" si="2"/>
        <v>80</v>
      </c>
      <c r="K29" s="60">
        <v>3.0333333333333332</v>
      </c>
      <c r="L29" s="60">
        <v>30.333333333333336</v>
      </c>
      <c r="M29" s="60">
        <v>65.166666666666671</v>
      </c>
      <c r="N29" s="5">
        <f t="shared" si="0"/>
        <v>7425.8099999999995</v>
      </c>
      <c r="O29" s="5">
        <v>-69.909962400000012</v>
      </c>
      <c r="P29" s="5">
        <v>34.090037599999995</v>
      </c>
      <c r="Q29" s="5">
        <v>-70.483304333333336</v>
      </c>
      <c r="R29" s="5">
        <v>33.516695666666664</v>
      </c>
      <c r="T29" s="60">
        <v>3.85</v>
      </c>
      <c r="U29" s="60">
        <v>3.6333333333333333</v>
      </c>
      <c r="V29" s="60">
        <v>3.6333333333333333</v>
      </c>
      <c r="W29" s="60">
        <v>3.6833333333333331</v>
      </c>
      <c r="X29" s="60">
        <v>3.8333333333333335</v>
      </c>
      <c r="Y29" s="60">
        <v>3.1166666666666667</v>
      </c>
      <c r="Z29" s="60">
        <v>3.0333333333333332</v>
      </c>
      <c r="AA29" s="60">
        <v>3.0166666666666666</v>
      </c>
      <c r="AB29" s="60">
        <v>3.2166666666666668</v>
      </c>
      <c r="AC29" s="60">
        <v>3.1833333333333331</v>
      </c>
      <c r="AD29" s="60">
        <v>3.1833333333333331</v>
      </c>
      <c r="AE29" s="60">
        <v>3.3</v>
      </c>
      <c r="AF29" s="60">
        <v>3.5666666666666669</v>
      </c>
      <c r="AG29" s="60">
        <v>3.35</v>
      </c>
      <c r="AH29" s="60">
        <v>2.9666666666666668</v>
      </c>
      <c r="AI29" s="60">
        <v>3.4166666666666665</v>
      </c>
      <c r="AJ29" s="60">
        <v>3.3333333333333335</v>
      </c>
      <c r="AK29" s="60">
        <v>3.4833333333333334</v>
      </c>
      <c r="AL29" s="60">
        <v>3.2333333333333334</v>
      </c>
      <c r="AM29" s="60">
        <v>3.8666666666666667</v>
      </c>
      <c r="AN29" s="60">
        <v>3.75</v>
      </c>
      <c r="AO29" s="60">
        <v>3.9666666666666668</v>
      </c>
      <c r="AP29" s="60">
        <v>3.6666666666666665</v>
      </c>
      <c r="AQ29" s="60">
        <v>3.65</v>
      </c>
      <c r="AR29" s="60">
        <v>3.7833333333333332</v>
      </c>
      <c r="AS29" s="60">
        <v>3.8833333333333333</v>
      </c>
      <c r="AT29" s="60">
        <v>3.8666666666666667</v>
      </c>
      <c r="AU29" s="60">
        <v>3.75</v>
      </c>
      <c r="AV29" s="60">
        <v>3.85</v>
      </c>
      <c r="AW29" s="60">
        <v>3.7666666666666666</v>
      </c>
      <c r="AX29" s="60">
        <v>3.3833333333333333</v>
      </c>
      <c r="AY29" s="60">
        <v>3.8166666666666669</v>
      </c>
      <c r="AZ29" s="60">
        <v>3.9166666666666665</v>
      </c>
      <c r="BA29" s="60">
        <v>3.7166666666666668</v>
      </c>
      <c r="BB29" s="60">
        <v>3.75</v>
      </c>
      <c r="BC29" s="60">
        <v>3.4333333333333331</v>
      </c>
      <c r="BD29" s="60">
        <v>3.35</v>
      </c>
      <c r="BE29" s="60">
        <v>3.2833333333333332</v>
      </c>
      <c r="BF29" s="60">
        <v>3.45</v>
      </c>
      <c r="BG29" s="60">
        <v>3.5666666666666669</v>
      </c>
      <c r="BH29" s="60">
        <v>3.7666666666666666</v>
      </c>
      <c r="BI29" s="60">
        <v>3.5333333333333332</v>
      </c>
      <c r="BJ29" s="60">
        <v>3.4</v>
      </c>
      <c r="BK29" s="60">
        <v>3.0666666666666669</v>
      </c>
      <c r="BL29" s="60">
        <v>3.55</v>
      </c>
      <c r="BM29" s="60">
        <v>3.4666666666666668</v>
      </c>
      <c r="BN29" s="60">
        <v>3.5333333333333332</v>
      </c>
      <c r="BO29" s="60">
        <v>3.4833333333333334</v>
      </c>
      <c r="BP29" s="60">
        <v>2.4166666666666665</v>
      </c>
      <c r="BQ29" s="60">
        <v>3.3166666666666669</v>
      </c>
      <c r="BR29" s="60">
        <v>3.0833333333333335</v>
      </c>
      <c r="BS29" s="60">
        <v>2.9166666666666665</v>
      </c>
      <c r="BT29" s="60">
        <v>2.85</v>
      </c>
      <c r="BU29" s="60">
        <v>2.9</v>
      </c>
      <c r="BV29" s="60">
        <v>2.6166666666666667</v>
      </c>
      <c r="BW29" s="60">
        <v>3.0333333333333332</v>
      </c>
      <c r="BX29" s="60">
        <v>2.7333333333333334</v>
      </c>
      <c r="BY29" s="60">
        <v>2.25</v>
      </c>
      <c r="BZ29" s="60">
        <v>2.8833333333333333</v>
      </c>
      <c r="CB29" s="5" t="s">
        <v>544</v>
      </c>
      <c r="CC29" s="5">
        <v>500</v>
      </c>
      <c r="CD29" s="63">
        <v>6.7754999999999996E-2</v>
      </c>
      <c r="CE29" s="5">
        <v>9</v>
      </c>
      <c r="CG29" s="5">
        <v>111</v>
      </c>
      <c r="CH29" s="5">
        <v>132.81</v>
      </c>
      <c r="CI29" s="5">
        <v>137.37</v>
      </c>
      <c r="CJ29" s="5">
        <v>129.96</v>
      </c>
      <c r="CK29" s="5">
        <v>129.96</v>
      </c>
      <c r="CL29" s="5">
        <v>131.66999999999999</v>
      </c>
      <c r="CM29" s="5">
        <v>136.80000000000001</v>
      </c>
      <c r="CN29" s="5">
        <v>112.29</v>
      </c>
      <c r="CO29" s="5">
        <v>109.44</v>
      </c>
      <c r="CP29" s="5">
        <v>108.87</v>
      </c>
      <c r="CQ29" s="5">
        <v>115.71</v>
      </c>
      <c r="CR29" s="5">
        <v>114.57</v>
      </c>
      <c r="CS29" s="5">
        <v>114.57</v>
      </c>
      <c r="CT29" s="5">
        <v>118.56</v>
      </c>
      <c r="CU29" s="5">
        <v>127.68</v>
      </c>
      <c r="CV29" s="5">
        <v>120.27</v>
      </c>
      <c r="CW29" s="5">
        <v>106.59</v>
      </c>
      <c r="CX29" s="5">
        <v>122.55</v>
      </c>
      <c r="CY29" s="5">
        <v>119.7</v>
      </c>
      <c r="CZ29" s="5">
        <v>124.83</v>
      </c>
      <c r="DA29" s="5">
        <v>116.28</v>
      </c>
      <c r="DB29" s="5">
        <v>137.94</v>
      </c>
      <c r="DC29" s="5">
        <v>133.94999999999999</v>
      </c>
      <c r="DD29" s="5">
        <v>141.36000000000001</v>
      </c>
      <c r="DE29" s="5">
        <v>131.1</v>
      </c>
      <c r="DF29" s="5">
        <v>130.53</v>
      </c>
      <c r="DG29" s="5">
        <v>135.09</v>
      </c>
      <c r="DH29" s="5">
        <v>138.51</v>
      </c>
      <c r="DI29" s="5">
        <v>137.94</v>
      </c>
      <c r="DJ29" s="5">
        <v>133.94999999999999</v>
      </c>
      <c r="DK29" s="5">
        <v>137.37</v>
      </c>
      <c r="DL29" s="5">
        <v>134.52000000000001</v>
      </c>
      <c r="DM29" s="5">
        <v>120.84</v>
      </c>
      <c r="DN29" s="5">
        <v>136.22999999999999</v>
      </c>
      <c r="DO29" s="5">
        <v>139.65</v>
      </c>
      <c r="DP29" s="5">
        <v>132.81</v>
      </c>
      <c r="DQ29" s="5">
        <v>133.94999999999999</v>
      </c>
      <c r="DR29" s="5">
        <v>123.12</v>
      </c>
      <c r="DS29" s="5">
        <v>120.27</v>
      </c>
      <c r="DT29" s="5">
        <v>117.99</v>
      </c>
      <c r="DU29" s="5">
        <v>123.69</v>
      </c>
      <c r="DV29" s="5">
        <v>127.68</v>
      </c>
      <c r="DW29" s="5">
        <v>134.52000000000001</v>
      </c>
      <c r="DX29" s="5">
        <v>126.54</v>
      </c>
      <c r="DY29" s="5">
        <v>121.98</v>
      </c>
      <c r="DZ29" s="5">
        <v>110.01</v>
      </c>
      <c r="EA29" s="5">
        <v>127.11</v>
      </c>
      <c r="EB29" s="5">
        <v>124.26</v>
      </c>
      <c r="EC29" s="5">
        <v>126.54</v>
      </c>
      <c r="ED29" s="5">
        <v>124.83</v>
      </c>
      <c r="EE29" s="5">
        <v>87.21</v>
      </c>
      <c r="EF29" s="5">
        <v>119.13</v>
      </c>
      <c r="EG29" s="5">
        <v>111.15</v>
      </c>
      <c r="EH29" s="5">
        <v>105.45</v>
      </c>
      <c r="EI29" s="5">
        <v>103.17</v>
      </c>
      <c r="EJ29" s="5">
        <v>104.31</v>
      </c>
      <c r="EK29" s="5">
        <v>94.62</v>
      </c>
      <c r="EL29" s="5">
        <v>109.44</v>
      </c>
      <c r="EM29" s="5">
        <v>99.18</v>
      </c>
      <c r="EN29" s="5">
        <v>82.08</v>
      </c>
      <c r="EO29" s="5">
        <v>104.31</v>
      </c>
    </row>
    <row r="30" spans="1:145">
      <c r="A30" s="59">
        <v>28</v>
      </c>
      <c r="B30" s="13">
        <v>10</v>
      </c>
      <c r="C30" s="13">
        <v>10</v>
      </c>
      <c r="D30" s="13">
        <f t="shared" si="1"/>
        <v>100</v>
      </c>
      <c r="E30" s="5">
        <v>4</v>
      </c>
      <c r="F30" s="60">
        <v>40</v>
      </c>
      <c r="G30" s="60">
        <v>70</v>
      </c>
      <c r="H30" s="13">
        <v>10</v>
      </c>
      <c r="I30" s="5">
        <v>9</v>
      </c>
      <c r="J30" s="13">
        <f t="shared" si="2"/>
        <v>90</v>
      </c>
      <c r="K30" s="60">
        <v>2.2000000000000002</v>
      </c>
      <c r="L30" s="60">
        <v>22.000000000000004</v>
      </c>
      <c r="M30" s="60">
        <v>61</v>
      </c>
      <c r="N30" s="5">
        <f t="shared" si="0"/>
        <v>6381.5700000000015</v>
      </c>
      <c r="O30" s="5">
        <v>-69.524512600000008</v>
      </c>
      <c r="P30" s="5">
        <v>34.475487399999999</v>
      </c>
      <c r="Q30" s="5">
        <v>-67.859963199999996</v>
      </c>
      <c r="R30" s="5">
        <v>36.140036799999997</v>
      </c>
      <c r="T30" s="60">
        <v>3.55</v>
      </c>
      <c r="U30" s="60">
        <v>3.5666666666666669</v>
      </c>
      <c r="V30" s="60">
        <v>3.4333333333333331</v>
      </c>
      <c r="W30" s="60">
        <v>3.3833333333333333</v>
      </c>
      <c r="X30" s="60">
        <v>3.45</v>
      </c>
      <c r="Y30" s="60">
        <v>2.4166666666666665</v>
      </c>
      <c r="Z30" s="60">
        <v>2.4166666666666665</v>
      </c>
      <c r="AA30" s="60">
        <v>2.4833333333333334</v>
      </c>
      <c r="AB30" s="60">
        <v>2.4166666666666665</v>
      </c>
      <c r="AC30" s="60">
        <v>2.3333333333333335</v>
      </c>
      <c r="AD30" s="60">
        <v>2.5</v>
      </c>
      <c r="AE30" s="60">
        <v>2.6166666666666667</v>
      </c>
      <c r="AF30" s="60">
        <v>2.5333333333333332</v>
      </c>
      <c r="AG30" s="60">
        <v>2.6833333333333331</v>
      </c>
      <c r="AH30" s="60">
        <v>2.6166666666666667</v>
      </c>
      <c r="AI30" s="60">
        <v>2.8333333333333335</v>
      </c>
      <c r="AJ30" s="60">
        <v>2.7166666666666668</v>
      </c>
      <c r="AK30" s="60">
        <v>2.7666666666666666</v>
      </c>
      <c r="AL30" s="60">
        <v>2.85</v>
      </c>
      <c r="AM30" s="60">
        <v>3.4166666666666665</v>
      </c>
      <c r="AN30" s="60">
        <v>3.4333333333333331</v>
      </c>
      <c r="AO30" s="60">
        <v>3.5333333333333332</v>
      </c>
      <c r="AP30" s="60">
        <v>3.35</v>
      </c>
      <c r="AQ30" s="60">
        <v>2.8833333333333333</v>
      </c>
      <c r="AR30" s="60">
        <v>3.45</v>
      </c>
      <c r="AS30" s="60">
        <v>3.4</v>
      </c>
      <c r="AT30" s="60">
        <v>3.45</v>
      </c>
      <c r="AU30" s="60">
        <v>3.4166666666666665</v>
      </c>
      <c r="AV30" s="60">
        <v>3.5833333333333335</v>
      </c>
      <c r="AW30" s="60">
        <v>3.35</v>
      </c>
      <c r="AX30" s="60">
        <v>2.6333333333333333</v>
      </c>
      <c r="AY30" s="60">
        <v>3.5</v>
      </c>
      <c r="AZ30" s="60">
        <v>3.4</v>
      </c>
      <c r="BA30" s="60">
        <v>3.3166666666666669</v>
      </c>
      <c r="BB30" s="60">
        <v>3.5333333333333332</v>
      </c>
      <c r="BC30" s="60">
        <v>3.1</v>
      </c>
      <c r="BD30" s="60">
        <v>2.9</v>
      </c>
      <c r="BE30" s="60">
        <v>2.8333333333333335</v>
      </c>
      <c r="BF30" s="60">
        <v>2.5333333333333332</v>
      </c>
      <c r="BG30" s="60">
        <v>3.0666666666666669</v>
      </c>
      <c r="BH30" s="60">
        <v>3.4166666666666665</v>
      </c>
      <c r="BI30" s="60">
        <v>2.8833333333333333</v>
      </c>
      <c r="BJ30" s="60">
        <v>2.9333333333333331</v>
      </c>
      <c r="BK30" s="60">
        <v>2.4833333333333334</v>
      </c>
      <c r="BL30" s="60">
        <v>2.7166666666666668</v>
      </c>
      <c r="BM30" s="60">
        <v>2.95</v>
      </c>
      <c r="BN30" s="60">
        <v>2.95</v>
      </c>
      <c r="BO30" s="60">
        <v>2.9166666666666665</v>
      </c>
      <c r="BP30" s="60">
        <v>2.25</v>
      </c>
      <c r="BQ30" s="60">
        <v>2.8833333333333333</v>
      </c>
      <c r="BR30" s="60">
        <v>2.2999999999999998</v>
      </c>
      <c r="BS30" s="60">
        <v>2.4500000000000002</v>
      </c>
      <c r="BT30" s="60">
        <v>2.35</v>
      </c>
      <c r="BU30" s="60">
        <v>2.3333333333333335</v>
      </c>
      <c r="BV30" s="60">
        <v>2.3666666666666667</v>
      </c>
      <c r="BW30" s="60">
        <v>2.2999999999999998</v>
      </c>
      <c r="BX30" s="60">
        <v>2.0666666666666669</v>
      </c>
      <c r="BY30" s="60">
        <v>2.2166666666666668</v>
      </c>
      <c r="BZ30" s="60">
        <v>2.4500000000000002</v>
      </c>
      <c r="CB30" s="5" t="s">
        <v>545</v>
      </c>
      <c r="CC30" s="5">
        <v>500</v>
      </c>
      <c r="CD30" s="63">
        <v>6.3019500000000006E-2</v>
      </c>
      <c r="CE30" s="5">
        <v>6</v>
      </c>
      <c r="CG30" s="5">
        <v>82.5</v>
      </c>
      <c r="CH30" s="5">
        <v>123.69</v>
      </c>
      <c r="CI30" s="5">
        <v>127.11</v>
      </c>
      <c r="CJ30" s="5">
        <v>127.68</v>
      </c>
      <c r="CK30" s="5">
        <v>123.12</v>
      </c>
      <c r="CL30" s="5">
        <v>121.41</v>
      </c>
      <c r="CM30" s="5">
        <v>123.69</v>
      </c>
      <c r="CN30" s="5">
        <v>88.35</v>
      </c>
      <c r="CO30" s="5">
        <v>88.35</v>
      </c>
      <c r="CP30" s="5">
        <v>90.63</v>
      </c>
      <c r="CQ30" s="5">
        <v>88.35</v>
      </c>
      <c r="CR30" s="5">
        <v>85.5</v>
      </c>
      <c r="CS30" s="5">
        <v>91.2</v>
      </c>
      <c r="CT30" s="5">
        <v>95.19</v>
      </c>
      <c r="CU30" s="5">
        <v>92.34</v>
      </c>
      <c r="CV30" s="5">
        <v>97.47</v>
      </c>
      <c r="CW30" s="5">
        <v>95.19</v>
      </c>
      <c r="CX30" s="5">
        <v>102.6</v>
      </c>
      <c r="CY30" s="5">
        <v>98.61</v>
      </c>
      <c r="CZ30" s="5">
        <v>100.32</v>
      </c>
      <c r="DA30" s="5">
        <v>103.17</v>
      </c>
      <c r="DB30" s="5">
        <v>122.55</v>
      </c>
      <c r="DC30" s="5">
        <v>123.12</v>
      </c>
      <c r="DD30" s="5">
        <v>126.54</v>
      </c>
      <c r="DE30" s="5">
        <v>120.27</v>
      </c>
      <c r="DF30" s="5">
        <v>103.74</v>
      </c>
      <c r="DG30" s="5">
        <v>123.69</v>
      </c>
      <c r="DH30" s="5">
        <v>121.98</v>
      </c>
      <c r="DI30" s="5">
        <v>123.69</v>
      </c>
      <c r="DJ30" s="5">
        <v>122.55</v>
      </c>
      <c r="DK30" s="5">
        <v>128.25</v>
      </c>
      <c r="DL30" s="5">
        <v>120.27</v>
      </c>
      <c r="DM30" s="5">
        <v>95.19</v>
      </c>
      <c r="DN30" s="5">
        <v>125.4</v>
      </c>
      <c r="DO30" s="5">
        <v>121.98</v>
      </c>
      <c r="DP30" s="5">
        <v>119.13</v>
      </c>
      <c r="DQ30" s="5">
        <v>126.54</v>
      </c>
      <c r="DR30" s="5">
        <v>111.72</v>
      </c>
      <c r="DS30" s="5">
        <v>104.88</v>
      </c>
      <c r="DT30" s="5">
        <v>102.6</v>
      </c>
      <c r="DU30" s="5">
        <v>91.77</v>
      </c>
      <c r="DV30" s="5">
        <v>110.58</v>
      </c>
      <c r="DW30" s="5">
        <v>122.55</v>
      </c>
      <c r="DX30" s="5">
        <v>104.31</v>
      </c>
      <c r="DY30" s="5">
        <v>106.02</v>
      </c>
      <c r="DZ30" s="5">
        <v>89.49</v>
      </c>
      <c r="EA30" s="5">
        <v>98.61</v>
      </c>
      <c r="EB30" s="5">
        <v>106.59</v>
      </c>
      <c r="EC30" s="5">
        <v>106.59</v>
      </c>
      <c r="ED30" s="5">
        <v>105.45</v>
      </c>
      <c r="EE30" s="5">
        <v>82.08</v>
      </c>
      <c r="EF30" s="5">
        <v>104.31</v>
      </c>
      <c r="EG30" s="5">
        <v>84.36</v>
      </c>
      <c r="EH30" s="5">
        <v>89.49</v>
      </c>
      <c r="EI30" s="5">
        <v>86.07</v>
      </c>
      <c r="EJ30" s="5">
        <v>85.5</v>
      </c>
      <c r="EK30" s="5">
        <v>86.64</v>
      </c>
      <c r="EL30" s="5">
        <v>83.79</v>
      </c>
      <c r="EM30" s="5">
        <v>75.81</v>
      </c>
      <c r="EN30" s="5">
        <v>81.510000000000005</v>
      </c>
      <c r="EO30" s="5">
        <v>89.49</v>
      </c>
    </row>
    <row r="31" spans="1:145">
      <c r="A31" s="59">
        <v>29</v>
      </c>
      <c r="B31" s="13">
        <v>10</v>
      </c>
      <c r="C31" s="13">
        <v>10</v>
      </c>
      <c r="D31" s="13">
        <f t="shared" si="1"/>
        <v>100</v>
      </c>
      <c r="E31" s="5">
        <v>4</v>
      </c>
      <c r="F31" s="60">
        <v>40</v>
      </c>
      <c r="G31" s="60">
        <v>70</v>
      </c>
      <c r="H31" s="13">
        <v>10</v>
      </c>
      <c r="I31" s="5">
        <v>10</v>
      </c>
      <c r="J31" s="13">
        <f t="shared" si="2"/>
        <v>100</v>
      </c>
      <c r="K31" s="60">
        <v>2.2999999999999998</v>
      </c>
      <c r="L31" s="60">
        <v>23</v>
      </c>
      <c r="M31" s="60">
        <v>61.5</v>
      </c>
      <c r="N31" s="5">
        <f t="shared" si="0"/>
        <v>6575.94</v>
      </c>
      <c r="O31" s="5">
        <v>-63.696475000000007</v>
      </c>
      <c r="P31" s="5">
        <v>40.303524999999993</v>
      </c>
      <c r="Q31" s="5">
        <v>-65.234536800000001</v>
      </c>
      <c r="R31" s="5">
        <v>38.765463200000013</v>
      </c>
      <c r="T31" s="60">
        <v>3.2666666666666666</v>
      </c>
      <c r="U31" s="60">
        <v>3.75</v>
      </c>
      <c r="V31" s="60">
        <v>3.6666666666666665</v>
      </c>
      <c r="W31" s="60">
        <v>3.6833333333333331</v>
      </c>
      <c r="X31" s="60">
        <v>3.6833333333333331</v>
      </c>
      <c r="Y31" s="60">
        <v>2.6</v>
      </c>
      <c r="Z31" s="60">
        <v>2.5333333333333332</v>
      </c>
      <c r="AA31" s="60">
        <v>2.4500000000000002</v>
      </c>
      <c r="AB31" s="60">
        <v>2.5666666666666669</v>
      </c>
      <c r="AC31" s="60">
        <v>2.65</v>
      </c>
      <c r="AD31" s="60">
        <v>2.7333333333333334</v>
      </c>
      <c r="AE31" s="60">
        <v>2.7666666666666666</v>
      </c>
      <c r="AF31" s="60">
        <v>2.7666666666666666</v>
      </c>
      <c r="AG31" s="60">
        <v>2.4333333333333331</v>
      </c>
      <c r="AH31" s="60">
        <v>2.75</v>
      </c>
      <c r="AI31" s="60">
        <v>2.8166666666666669</v>
      </c>
      <c r="AJ31" s="60">
        <v>2.65</v>
      </c>
      <c r="AK31" s="60">
        <v>2.7</v>
      </c>
      <c r="AL31" s="60">
        <v>2.7166666666666668</v>
      </c>
      <c r="AM31" s="60">
        <v>3.4833333333333334</v>
      </c>
      <c r="AN31" s="60">
        <v>3.3666666666666667</v>
      </c>
      <c r="AO31" s="60">
        <v>3.7666666666666666</v>
      </c>
      <c r="AP31" s="60">
        <v>3.1666666666666665</v>
      </c>
      <c r="AQ31" s="60">
        <v>3.5666666666666669</v>
      </c>
      <c r="AR31" s="60">
        <v>3.5666666666666669</v>
      </c>
      <c r="AS31" s="60">
        <v>3.7833333333333332</v>
      </c>
      <c r="AT31" s="60">
        <v>3.5666666666666669</v>
      </c>
      <c r="AU31" s="60">
        <v>3.4833333333333334</v>
      </c>
      <c r="AV31" s="60">
        <v>3.65</v>
      </c>
      <c r="AW31" s="60">
        <v>3.4333333333333331</v>
      </c>
      <c r="AX31" s="60">
        <v>2.8666666666666667</v>
      </c>
      <c r="AY31" s="60">
        <v>3.5666666666666669</v>
      </c>
      <c r="AZ31" s="60">
        <v>3.5166666666666666</v>
      </c>
      <c r="BA31" s="60">
        <v>3.2833333333333332</v>
      </c>
      <c r="BB31" s="60">
        <v>3.55</v>
      </c>
      <c r="BC31" s="60">
        <v>2.9</v>
      </c>
      <c r="BD31" s="60">
        <v>2.9166666666666665</v>
      </c>
      <c r="BE31" s="60">
        <v>2.8833333333333333</v>
      </c>
      <c r="BF31" s="60">
        <v>2.9</v>
      </c>
      <c r="BG31" s="60">
        <v>2.8833333333333333</v>
      </c>
      <c r="BH31" s="60">
        <v>3.6</v>
      </c>
      <c r="BI31" s="60">
        <v>3.0333333333333332</v>
      </c>
      <c r="BJ31" s="60">
        <v>3.05</v>
      </c>
      <c r="BK31" s="60">
        <v>3.0666666666666669</v>
      </c>
      <c r="BL31" s="60">
        <v>3.1333333333333333</v>
      </c>
      <c r="BM31" s="60">
        <v>2.9666666666666668</v>
      </c>
      <c r="BN31" s="60">
        <v>3.05</v>
      </c>
      <c r="BO31" s="60">
        <v>3.0833333333333335</v>
      </c>
      <c r="BP31" s="60">
        <v>2.6833333333333331</v>
      </c>
      <c r="BQ31" s="60">
        <v>2.7</v>
      </c>
      <c r="BR31" s="60">
        <v>2.1166666666666667</v>
      </c>
      <c r="BS31" s="60">
        <v>2.4500000000000002</v>
      </c>
      <c r="BT31" s="60">
        <v>2.1666666666666665</v>
      </c>
      <c r="BU31" s="60">
        <v>2.3833333333333333</v>
      </c>
      <c r="BV31" s="60">
        <v>2.1833333333333331</v>
      </c>
      <c r="BW31" s="60">
        <v>2.6166666666666667</v>
      </c>
      <c r="BX31" s="60">
        <v>2.3666666666666667</v>
      </c>
      <c r="BY31" s="60">
        <v>2.3666666666666667</v>
      </c>
      <c r="BZ31" s="60">
        <v>2.1166666666666667</v>
      </c>
      <c r="CB31" s="5" t="s">
        <v>546</v>
      </c>
      <c r="CC31" s="5">
        <v>500</v>
      </c>
      <c r="CD31" s="63">
        <v>7.4917499999999998E-2</v>
      </c>
      <c r="CE31" s="5">
        <v>6</v>
      </c>
      <c r="CG31" s="5">
        <v>85.92</v>
      </c>
      <c r="CH31" s="5">
        <v>125.4</v>
      </c>
      <c r="CI31" s="5">
        <v>116.85</v>
      </c>
      <c r="CJ31" s="5">
        <v>133.94999999999999</v>
      </c>
      <c r="CK31" s="5">
        <v>131.1</v>
      </c>
      <c r="CL31" s="5">
        <v>131.66999999999999</v>
      </c>
      <c r="CM31" s="5">
        <v>131.66999999999999</v>
      </c>
      <c r="CN31" s="5">
        <v>94.62</v>
      </c>
      <c r="CO31" s="5">
        <v>92.34</v>
      </c>
      <c r="CP31" s="5">
        <v>89.49</v>
      </c>
      <c r="CQ31" s="5">
        <v>93.48</v>
      </c>
      <c r="CR31" s="5">
        <v>96.33</v>
      </c>
      <c r="CS31" s="5">
        <v>99.18</v>
      </c>
      <c r="CT31" s="5">
        <v>100.32</v>
      </c>
      <c r="CU31" s="5">
        <v>100.32</v>
      </c>
      <c r="CV31" s="5">
        <v>88.35</v>
      </c>
      <c r="CW31" s="5">
        <v>99.75</v>
      </c>
      <c r="CX31" s="5">
        <v>102.03</v>
      </c>
      <c r="CY31" s="5">
        <v>96.33</v>
      </c>
      <c r="CZ31" s="5">
        <v>98.04</v>
      </c>
      <c r="DA31" s="5">
        <v>98.61</v>
      </c>
      <c r="DB31" s="5">
        <v>124.83</v>
      </c>
      <c r="DC31" s="5">
        <v>120.84</v>
      </c>
      <c r="DD31" s="5">
        <v>134.52000000000001</v>
      </c>
      <c r="DE31" s="5">
        <v>114</v>
      </c>
      <c r="DF31" s="5">
        <v>127.68</v>
      </c>
      <c r="DG31" s="5">
        <v>127.68</v>
      </c>
      <c r="DH31" s="5">
        <v>135.09</v>
      </c>
      <c r="DI31" s="5">
        <v>127.68</v>
      </c>
      <c r="DJ31" s="5">
        <v>124.83</v>
      </c>
      <c r="DK31" s="5">
        <v>130.53</v>
      </c>
      <c r="DL31" s="5">
        <v>123.12</v>
      </c>
      <c r="DM31" s="5">
        <v>103.17</v>
      </c>
      <c r="DN31" s="5">
        <v>127.68</v>
      </c>
      <c r="DO31" s="5">
        <v>125.97</v>
      </c>
      <c r="DP31" s="5">
        <v>117.99</v>
      </c>
      <c r="DQ31" s="5">
        <v>127.11</v>
      </c>
      <c r="DR31" s="5">
        <v>104.88</v>
      </c>
      <c r="DS31" s="5">
        <v>105.45</v>
      </c>
      <c r="DT31" s="5">
        <v>104.31</v>
      </c>
      <c r="DU31" s="5">
        <v>104.31</v>
      </c>
      <c r="DV31" s="5">
        <v>104.31</v>
      </c>
      <c r="DW31" s="5">
        <v>128.82</v>
      </c>
      <c r="DX31" s="5">
        <v>109.44</v>
      </c>
      <c r="DY31" s="5">
        <v>110.01</v>
      </c>
      <c r="DZ31" s="5">
        <v>110.58</v>
      </c>
      <c r="EA31" s="5">
        <v>112.86</v>
      </c>
      <c r="EB31" s="5">
        <v>107.16</v>
      </c>
      <c r="EC31" s="5">
        <v>110.01</v>
      </c>
      <c r="ED31" s="5">
        <v>111.15</v>
      </c>
      <c r="EE31" s="5">
        <v>97.47</v>
      </c>
      <c r="EF31" s="5">
        <v>97.47</v>
      </c>
      <c r="EG31" s="5">
        <v>77.52</v>
      </c>
      <c r="EH31" s="5">
        <v>89.49</v>
      </c>
      <c r="EI31" s="5">
        <v>79.23</v>
      </c>
      <c r="EJ31" s="5">
        <v>87.21</v>
      </c>
      <c r="EK31" s="5">
        <v>79.8</v>
      </c>
      <c r="EL31" s="5">
        <v>95.19</v>
      </c>
      <c r="EM31" s="5">
        <v>86.64</v>
      </c>
      <c r="EN31" s="5">
        <v>86.64</v>
      </c>
      <c r="EO31" s="5">
        <v>77.52</v>
      </c>
    </row>
    <row r="32" spans="1:145">
      <c r="A32" s="59">
        <v>30</v>
      </c>
      <c r="B32" s="13">
        <v>10</v>
      </c>
      <c r="C32" s="13">
        <v>10</v>
      </c>
      <c r="D32" s="13">
        <f t="shared" si="1"/>
        <v>100</v>
      </c>
      <c r="E32" s="5">
        <v>5</v>
      </c>
      <c r="F32" s="60">
        <v>50</v>
      </c>
      <c r="G32" s="60">
        <v>75</v>
      </c>
      <c r="H32" s="13">
        <v>10</v>
      </c>
      <c r="I32" s="5">
        <v>10</v>
      </c>
      <c r="J32" s="13">
        <f t="shared" si="2"/>
        <v>100</v>
      </c>
      <c r="K32" s="60">
        <v>0</v>
      </c>
      <c r="L32" s="60">
        <f>K32/I32*100</f>
        <v>0</v>
      </c>
      <c r="M32" s="60">
        <v>0</v>
      </c>
      <c r="N32" s="5">
        <f t="shared" si="0"/>
        <v>7960.47</v>
      </c>
      <c r="O32" s="5">
        <v>-63.347886000000003</v>
      </c>
      <c r="P32" s="5">
        <v>40.652113999999997</v>
      </c>
      <c r="Q32" s="5">
        <v>0</v>
      </c>
      <c r="R32" s="5">
        <v>0</v>
      </c>
      <c r="T32" s="60">
        <v>4.0666666666666664</v>
      </c>
      <c r="U32" s="60">
        <v>4.0666666666666664</v>
      </c>
      <c r="V32" s="60">
        <v>4.2333333333333334</v>
      </c>
      <c r="W32" s="60">
        <v>3.9</v>
      </c>
      <c r="X32" s="60">
        <v>4.2166666666666668</v>
      </c>
      <c r="Y32" s="60">
        <v>3.3166666666666669</v>
      </c>
      <c r="Z32" s="60">
        <v>3.2333333333333334</v>
      </c>
      <c r="AA32" s="60">
        <v>3.1</v>
      </c>
      <c r="AB32" s="60">
        <v>3.0833333333333335</v>
      </c>
      <c r="AC32" s="60">
        <v>3.2833333333333332</v>
      </c>
      <c r="AD32" s="60">
        <v>3.3166666666666669</v>
      </c>
      <c r="AE32" s="60">
        <v>3.3666666666666667</v>
      </c>
      <c r="AF32" s="60">
        <v>3.3166666666666669</v>
      </c>
      <c r="AG32" s="60">
        <v>3.35</v>
      </c>
      <c r="AH32" s="60">
        <v>3.25</v>
      </c>
      <c r="AI32" s="60">
        <v>3.3833333333333333</v>
      </c>
      <c r="AJ32" s="60">
        <v>3.3833333333333333</v>
      </c>
      <c r="AK32" s="60">
        <v>3.4333333333333331</v>
      </c>
      <c r="AL32" s="60">
        <v>3.2666666666666666</v>
      </c>
      <c r="AM32" s="60">
        <v>4.0666666666666664</v>
      </c>
      <c r="AN32" s="60">
        <v>4.0999999999999996</v>
      </c>
      <c r="AO32" s="60">
        <v>4.2833333333333332</v>
      </c>
      <c r="AP32" s="60">
        <v>4.1500000000000004</v>
      </c>
      <c r="AQ32" s="60">
        <v>4.05</v>
      </c>
      <c r="AR32" s="60">
        <v>4</v>
      </c>
      <c r="AS32" s="60">
        <v>4.2333333333333334</v>
      </c>
      <c r="AT32" s="60">
        <v>4.2</v>
      </c>
      <c r="AU32" s="60">
        <v>4.1500000000000004</v>
      </c>
      <c r="AV32" s="60">
        <v>4.1166666666666663</v>
      </c>
      <c r="AW32" s="60">
        <v>3.9</v>
      </c>
      <c r="AX32" s="60">
        <v>3.7666666666666666</v>
      </c>
      <c r="AY32" s="60">
        <v>3.9833333333333334</v>
      </c>
      <c r="AZ32" s="60">
        <v>4.1500000000000004</v>
      </c>
      <c r="BA32" s="60">
        <v>3.8166666666666669</v>
      </c>
      <c r="BB32" s="60">
        <v>4.2</v>
      </c>
      <c r="BC32" s="60">
        <v>3.3166666666666669</v>
      </c>
      <c r="BD32" s="60">
        <v>3.6166666666666667</v>
      </c>
      <c r="BE32" s="60">
        <v>3.8166666666666669</v>
      </c>
      <c r="BF32" s="60">
        <v>3.9666666666666668</v>
      </c>
      <c r="BG32" s="60">
        <v>3.7833333333333332</v>
      </c>
      <c r="BH32" s="60">
        <v>4.2833333333333332</v>
      </c>
      <c r="BI32" s="60">
        <v>3.9</v>
      </c>
      <c r="BJ32" s="60">
        <v>3.7833333333333332</v>
      </c>
      <c r="BK32" s="60">
        <v>3.8333333333333335</v>
      </c>
      <c r="BL32" s="60">
        <v>3.2333333333333334</v>
      </c>
      <c r="BM32" s="60">
        <v>3.8</v>
      </c>
      <c r="BN32" s="60">
        <v>3.8666666666666667</v>
      </c>
      <c r="BO32" s="60">
        <v>3.4833333333333334</v>
      </c>
      <c r="BP32" s="60">
        <v>3.2166666666666668</v>
      </c>
      <c r="BQ32" s="60">
        <v>3.6333333333333333</v>
      </c>
      <c r="BR32" s="60">
        <v>3.2333333333333334</v>
      </c>
      <c r="BS32" s="60">
        <v>3.1333333333333333</v>
      </c>
      <c r="BT32" s="60">
        <v>3.15</v>
      </c>
      <c r="BU32" s="60">
        <v>3.25</v>
      </c>
      <c r="BV32" s="60">
        <v>3.2333333333333334</v>
      </c>
      <c r="BW32" s="60">
        <v>3.1833333333333331</v>
      </c>
      <c r="BX32" s="60">
        <v>3</v>
      </c>
      <c r="BY32" s="60">
        <v>3</v>
      </c>
      <c r="BZ32" s="60">
        <v>3.0666666666666669</v>
      </c>
      <c r="CB32" s="5" t="s">
        <v>547</v>
      </c>
      <c r="CC32" s="5">
        <v>500</v>
      </c>
      <c r="CD32" s="63">
        <v>6.5733749999999994E-2</v>
      </c>
      <c r="CE32" s="5">
        <v>5</v>
      </c>
      <c r="CG32" s="5">
        <v>111.57</v>
      </c>
      <c r="CH32" s="5">
        <v>144.21</v>
      </c>
      <c r="CI32" s="5">
        <v>144.78</v>
      </c>
      <c r="CJ32" s="5">
        <v>144.78</v>
      </c>
      <c r="CK32" s="5">
        <v>150.47999999999999</v>
      </c>
      <c r="CL32" s="5">
        <v>139.08000000000001</v>
      </c>
      <c r="CM32" s="5">
        <v>149.91</v>
      </c>
      <c r="CN32" s="5">
        <v>119.13</v>
      </c>
      <c r="CO32" s="5">
        <v>116.28</v>
      </c>
      <c r="CP32" s="5">
        <v>111.72</v>
      </c>
      <c r="CQ32" s="5">
        <v>111.15</v>
      </c>
      <c r="CR32" s="5">
        <v>117.99</v>
      </c>
      <c r="CS32" s="5">
        <v>119.13</v>
      </c>
      <c r="CT32" s="5">
        <v>120.84</v>
      </c>
      <c r="CU32" s="5">
        <v>119.13</v>
      </c>
      <c r="CV32" s="5">
        <v>120.27</v>
      </c>
      <c r="CW32" s="5">
        <v>116.85</v>
      </c>
      <c r="CX32" s="5">
        <v>121.41</v>
      </c>
      <c r="CY32" s="5">
        <v>121.41</v>
      </c>
      <c r="CZ32" s="5">
        <v>123.12</v>
      </c>
      <c r="DA32" s="5">
        <v>117.42</v>
      </c>
      <c r="DB32" s="5">
        <v>144.78</v>
      </c>
      <c r="DC32" s="5">
        <v>145.91999999999999</v>
      </c>
      <c r="DD32" s="5">
        <v>152.19</v>
      </c>
      <c r="DE32" s="5">
        <v>147.63</v>
      </c>
      <c r="DF32" s="5">
        <v>144.21</v>
      </c>
      <c r="DG32" s="5">
        <v>142.5</v>
      </c>
      <c r="DH32" s="5">
        <v>150.47999999999999</v>
      </c>
      <c r="DI32" s="5">
        <v>149.34</v>
      </c>
      <c r="DJ32" s="5">
        <v>147.63</v>
      </c>
      <c r="DK32" s="5">
        <v>146.49</v>
      </c>
      <c r="DL32" s="5">
        <v>139.08000000000001</v>
      </c>
      <c r="DM32" s="5">
        <v>134.52000000000001</v>
      </c>
      <c r="DN32" s="5">
        <v>141.93</v>
      </c>
      <c r="DO32" s="5">
        <v>147.63</v>
      </c>
      <c r="DP32" s="5">
        <v>136.22999999999999</v>
      </c>
      <c r="DQ32" s="5">
        <v>149.34</v>
      </c>
      <c r="DR32" s="5">
        <v>118.56</v>
      </c>
      <c r="DS32" s="5">
        <v>129.38999999999999</v>
      </c>
      <c r="DT32" s="5">
        <v>136.22999999999999</v>
      </c>
      <c r="DU32" s="5">
        <v>141.36000000000001</v>
      </c>
      <c r="DV32" s="5">
        <v>135.09</v>
      </c>
      <c r="DW32" s="5">
        <v>152.19</v>
      </c>
      <c r="DX32" s="5">
        <v>139.08000000000001</v>
      </c>
      <c r="DY32" s="5">
        <v>135.09</v>
      </c>
      <c r="DZ32" s="5">
        <v>136.80000000000001</v>
      </c>
      <c r="EA32" s="5">
        <v>115.14</v>
      </c>
      <c r="EB32" s="5">
        <v>135.66</v>
      </c>
      <c r="EC32" s="5">
        <v>137.94</v>
      </c>
      <c r="ED32" s="5">
        <v>124.26</v>
      </c>
      <c r="EE32" s="5">
        <v>115.71</v>
      </c>
      <c r="EF32" s="5">
        <v>129.96</v>
      </c>
      <c r="EG32" s="5">
        <v>116.28</v>
      </c>
      <c r="EH32" s="5">
        <v>112.86</v>
      </c>
      <c r="EI32" s="5">
        <v>113.43</v>
      </c>
      <c r="EJ32" s="5">
        <v>116.85</v>
      </c>
      <c r="EK32" s="5">
        <v>116.28</v>
      </c>
      <c r="EL32" s="5">
        <v>114.57</v>
      </c>
      <c r="EM32" s="5">
        <v>108.3</v>
      </c>
      <c r="EN32" s="5">
        <v>108.3</v>
      </c>
      <c r="EO32" s="5">
        <v>110.58</v>
      </c>
    </row>
    <row r="33" spans="6:90">
      <c r="F33" s="76">
        <f>AVERAGE(F4:F32)</f>
        <v>36.015325670498079</v>
      </c>
      <c r="G33" s="76">
        <f>AVERAGE(G4:G32)</f>
        <v>67.835249042145591</v>
      </c>
      <c r="L33" s="76">
        <f>AVERAGE(L4:L31)</f>
        <v>21.974206349206352</v>
      </c>
      <c r="M33" s="76">
        <f>AVERAGE(M4:M31)</f>
        <v>60.451388888888879</v>
      </c>
    </row>
    <row r="37" spans="6:90">
      <c r="CC37" s="90" t="s">
        <v>785</v>
      </c>
      <c r="CD37" s="90"/>
      <c r="CE37" s="90"/>
      <c r="CF37" s="90"/>
      <c r="CJ37" s="5" t="s">
        <v>1069</v>
      </c>
      <c r="CK37" s="5" t="s">
        <v>887</v>
      </c>
      <c r="CL37" s="5" t="s">
        <v>885</v>
      </c>
    </row>
    <row r="38" spans="6:90">
      <c r="CC38" s="61" t="s">
        <v>808</v>
      </c>
      <c r="CD38" s="61" t="s">
        <v>929</v>
      </c>
      <c r="CE38" s="61" t="s">
        <v>930</v>
      </c>
      <c r="CF38" s="61" t="s">
        <v>931</v>
      </c>
      <c r="CG38" s="61" t="s">
        <v>932</v>
      </c>
      <c r="CH38" s="61" t="s">
        <v>933</v>
      </c>
      <c r="CJ38" s="5" t="s">
        <v>1070</v>
      </c>
      <c r="CK38" s="5">
        <v>0</v>
      </c>
      <c r="CL38" s="5">
        <v>10</v>
      </c>
    </row>
    <row r="39" spans="6:90">
      <c r="CC39" s="5" t="s">
        <v>934</v>
      </c>
      <c r="CD39" s="5">
        <v>14</v>
      </c>
      <c r="CE39" s="5" t="s">
        <v>935</v>
      </c>
      <c r="CF39" s="5" t="s">
        <v>936</v>
      </c>
      <c r="CG39" s="5">
        <v>7.6133999999999993E-2</v>
      </c>
      <c r="CH39" s="5" t="s">
        <v>806</v>
      </c>
      <c r="CJ39" s="62" t="s">
        <v>519</v>
      </c>
      <c r="CK39" s="5">
        <f>AVERAGE(CG39,CG41,CG42,CG44)</f>
        <v>7.3228749999999995E-2</v>
      </c>
      <c r="CL39" s="5">
        <v>6</v>
      </c>
    </row>
    <row r="40" spans="6:90">
      <c r="CC40" s="61" t="s">
        <v>808</v>
      </c>
      <c r="CD40" s="61" t="s">
        <v>929</v>
      </c>
      <c r="CE40" s="61" t="s">
        <v>937</v>
      </c>
      <c r="CF40" s="61" t="s">
        <v>938</v>
      </c>
      <c r="CG40" s="61" t="s">
        <v>939</v>
      </c>
      <c r="CH40" s="61" t="s">
        <v>940</v>
      </c>
      <c r="CJ40" s="62" t="s">
        <v>520</v>
      </c>
      <c r="CK40" s="5">
        <f>AVERAGE(CG46,CG48,CG50,CG51)</f>
        <v>6.9471000000000005E-2</v>
      </c>
      <c r="CL40" s="5">
        <v>6</v>
      </c>
    </row>
    <row r="41" spans="6:90">
      <c r="CC41" s="5" t="s">
        <v>934</v>
      </c>
      <c r="CD41" s="5">
        <v>17</v>
      </c>
      <c r="CE41" s="5" t="s">
        <v>935</v>
      </c>
      <c r="CF41" s="5" t="s">
        <v>936</v>
      </c>
      <c r="CG41" s="5">
        <v>6.9862999999999995E-2</v>
      </c>
      <c r="CH41" s="5" t="s">
        <v>806</v>
      </c>
      <c r="CJ41" s="62" t="s">
        <v>521</v>
      </c>
      <c r="CK41" s="5">
        <f>AVERAGE(CG53:CG57)</f>
        <v>7.5561199999999995E-2</v>
      </c>
      <c r="CL41" s="5">
        <v>5</v>
      </c>
    </row>
    <row r="42" spans="6:90">
      <c r="CC42" s="5" t="s">
        <v>934</v>
      </c>
      <c r="CD42" s="5">
        <v>18</v>
      </c>
      <c r="CE42" s="5" t="s">
        <v>935</v>
      </c>
      <c r="CF42" s="5" t="s">
        <v>936</v>
      </c>
      <c r="CG42" s="5">
        <v>6.7977999999999997E-2</v>
      </c>
      <c r="CH42" s="5" t="s">
        <v>806</v>
      </c>
      <c r="CJ42" s="62" t="s">
        <v>522</v>
      </c>
      <c r="CK42" s="5">
        <f>AVERAGE(CG59,CG61)</f>
        <v>6.8121000000000001E-2</v>
      </c>
      <c r="CL42" s="5">
        <v>8</v>
      </c>
    </row>
    <row r="43" spans="6:90">
      <c r="CC43" s="61" t="s">
        <v>808</v>
      </c>
      <c r="CD43" s="61" t="s">
        <v>929</v>
      </c>
      <c r="CE43" s="61" t="s">
        <v>941</v>
      </c>
      <c r="CF43" s="61" t="s">
        <v>938</v>
      </c>
      <c r="CG43" s="61" t="s">
        <v>942</v>
      </c>
      <c r="CH43" s="61" t="s">
        <v>940</v>
      </c>
      <c r="CJ43" s="5" t="s">
        <v>523</v>
      </c>
      <c r="CK43" s="5">
        <f>AVERAGE(CG69,CG67,CG65,CG63)</f>
        <v>6.3866249999999999E-2</v>
      </c>
      <c r="CL43" s="5">
        <v>6</v>
      </c>
    </row>
    <row r="44" spans="6:90">
      <c r="CC44" s="5" t="s">
        <v>934</v>
      </c>
      <c r="CD44" s="5">
        <v>20</v>
      </c>
      <c r="CE44" s="5" t="s">
        <v>935</v>
      </c>
      <c r="CF44" s="5" t="s">
        <v>936</v>
      </c>
      <c r="CG44" s="5">
        <v>7.8939999999999996E-2</v>
      </c>
      <c r="CH44" s="5" t="s">
        <v>806</v>
      </c>
      <c r="CJ44" s="5" t="s">
        <v>524</v>
      </c>
      <c r="CK44" s="5">
        <f>AVERAGE(CG72:CG73,CG70)</f>
        <v>6.7653333333333329E-2</v>
      </c>
      <c r="CL44" s="5">
        <v>7</v>
      </c>
    </row>
    <row r="45" spans="6:90">
      <c r="CC45" s="61" t="s">
        <v>808</v>
      </c>
      <c r="CD45" s="61" t="s">
        <v>929</v>
      </c>
      <c r="CE45" s="61" t="s">
        <v>943</v>
      </c>
      <c r="CF45" s="61" t="s">
        <v>938</v>
      </c>
      <c r="CG45" s="61" t="s">
        <v>944</v>
      </c>
      <c r="CH45" s="61" t="s">
        <v>940</v>
      </c>
      <c r="CJ45" s="5" t="s">
        <v>525</v>
      </c>
      <c r="CK45" s="5">
        <f>AVERAGE(CG75,CG77,CG79)</f>
        <v>7.0648000000000002E-2</v>
      </c>
      <c r="CL45" s="5">
        <v>7</v>
      </c>
    </row>
    <row r="46" spans="6:90">
      <c r="CC46" s="5" t="s">
        <v>934</v>
      </c>
      <c r="CD46" s="5">
        <v>24</v>
      </c>
      <c r="CE46" s="5" t="s">
        <v>935</v>
      </c>
      <c r="CF46" s="5" t="s">
        <v>936</v>
      </c>
      <c r="CG46" s="5">
        <v>7.3443999999999995E-2</v>
      </c>
      <c r="CH46" s="5" t="s">
        <v>806</v>
      </c>
      <c r="CJ46" s="5" t="s">
        <v>526</v>
      </c>
      <c r="CK46" s="5">
        <f>AVERAGE(CG80,CG82,CG84)</f>
        <v>6.9281999999999996E-2</v>
      </c>
      <c r="CL46" s="5">
        <v>7</v>
      </c>
    </row>
    <row r="47" spans="6:90">
      <c r="CC47" s="61" t="s">
        <v>808</v>
      </c>
      <c r="CD47" s="61" t="s">
        <v>929</v>
      </c>
      <c r="CE47" s="61" t="s">
        <v>945</v>
      </c>
      <c r="CF47" s="61" t="s">
        <v>946</v>
      </c>
      <c r="CG47" s="61" t="s">
        <v>947</v>
      </c>
      <c r="CH47" s="61" t="s">
        <v>940</v>
      </c>
      <c r="CJ47" s="5" t="s">
        <v>527</v>
      </c>
      <c r="CK47" s="5">
        <f>AVERAGE(CG88,CG86)</f>
        <v>5.3982000000000002E-2</v>
      </c>
      <c r="CL47" s="5">
        <v>8</v>
      </c>
    </row>
    <row r="48" spans="6:90">
      <c r="CC48" s="5" t="s">
        <v>934</v>
      </c>
      <c r="CD48" s="5">
        <v>26</v>
      </c>
      <c r="CE48" s="5" t="s">
        <v>935</v>
      </c>
      <c r="CF48" s="5" t="s">
        <v>936</v>
      </c>
      <c r="CG48" s="5">
        <v>7.6271000000000005E-2</v>
      </c>
      <c r="CH48" s="5" t="s">
        <v>806</v>
      </c>
      <c r="CJ48" s="5" t="s">
        <v>528</v>
      </c>
      <c r="CK48" s="5">
        <f>AVERAGE(CG90,CG92,CG94:CG96)</f>
        <v>7.0026600000000008E-2</v>
      </c>
      <c r="CL48" s="5">
        <v>5</v>
      </c>
    </row>
    <row r="49" spans="81:90">
      <c r="CC49" s="61" t="s">
        <v>808</v>
      </c>
      <c r="CD49" s="61" t="s">
        <v>929</v>
      </c>
      <c r="CE49" s="61" t="s">
        <v>948</v>
      </c>
      <c r="CF49" s="61" t="s">
        <v>946</v>
      </c>
      <c r="CG49" s="61" t="s">
        <v>949</v>
      </c>
      <c r="CH49" s="61" t="s">
        <v>940</v>
      </c>
      <c r="CJ49" s="5" t="s">
        <v>529</v>
      </c>
      <c r="CK49" s="5">
        <f>AVERAGE(CG98,CG100,CG102)</f>
        <v>6.9976999999999998E-2</v>
      </c>
      <c r="CL49" s="5">
        <v>7</v>
      </c>
    </row>
    <row r="50" spans="81:90">
      <c r="CC50" s="5" t="s">
        <v>934</v>
      </c>
      <c r="CD50" s="5">
        <v>29</v>
      </c>
      <c r="CE50" s="5" t="s">
        <v>935</v>
      </c>
      <c r="CF50" s="5" t="s">
        <v>936</v>
      </c>
      <c r="CG50" s="5">
        <v>7.5518000000000002E-2</v>
      </c>
      <c r="CH50" s="5" t="s">
        <v>806</v>
      </c>
      <c r="CJ50" s="5" t="s">
        <v>530</v>
      </c>
      <c r="CK50" s="5">
        <f>AVERAGE(CG104:CG107)</f>
        <v>6.9954500000000003E-2</v>
      </c>
      <c r="CL50" s="5">
        <v>6</v>
      </c>
    </row>
    <row r="51" spans="81:90">
      <c r="CC51" s="5" t="s">
        <v>934</v>
      </c>
      <c r="CD51" s="5">
        <v>30</v>
      </c>
      <c r="CE51" s="5" t="s">
        <v>935</v>
      </c>
      <c r="CF51" s="5" t="s">
        <v>936</v>
      </c>
      <c r="CG51" s="5">
        <v>5.2651000000000003E-2</v>
      </c>
      <c r="CH51" s="5" t="s">
        <v>806</v>
      </c>
      <c r="CJ51" s="5" t="s">
        <v>531</v>
      </c>
      <c r="CK51" s="5">
        <f>AVERAGE(CG109:CG113,CG115)</f>
        <v>6.4841833333333335E-2</v>
      </c>
      <c r="CL51" s="5">
        <v>4</v>
      </c>
    </row>
    <row r="52" spans="81:90">
      <c r="CC52" s="61" t="s">
        <v>808</v>
      </c>
      <c r="CD52" s="61" t="s">
        <v>929</v>
      </c>
      <c r="CE52" s="61" t="s">
        <v>950</v>
      </c>
      <c r="CF52" s="61" t="s">
        <v>946</v>
      </c>
      <c r="CG52" s="61" t="s">
        <v>939</v>
      </c>
      <c r="CH52" s="61" t="s">
        <v>940</v>
      </c>
      <c r="CJ52" s="5" t="s">
        <v>532</v>
      </c>
      <c r="CK52" s="5">
        <f>AVERAGE(CG117)</f>
        <v>7.3071999999999998E-2</v>
      </c>
      <c r="CL52" s="5">
        <v>9</v>
      </c>
    </row>
    <row r="53" spans="81:90">
      <c r="CC53" s="5" t="s">
        <v>934</v>
      </c>
      <c r="CD53" s="5">
        <v>34</v>
      </c>
      <c r="CE53" s="5" t="s">
        <v>935</v>
      </c>
      <c r="CF53" s="5" t="s">
        <v>936</v>
      </c>
      <c r="CG53" s="5">
        <v>7.5167999999999999E-2</v>
      </c>
      <c r="CH53" s="5" t="s">
        <v>806</v>
      </c>
      <c r="CJ53" s="5" t="s">
        <v>533</v>
      </c>
      <c r="CK53" s="5">
        <f>AVERAGE(CG124,CG123,CG119:CG121)</f>
        <v>6.6062599999999999E-2</v>
      </c>
      <c r="CL53" s="5">
        <v>5</v>
      </c>
    </row>
    <row r="54" spans="81:90">
      <c r="CC54" s="5" t="s">
        <v>934</v>
      </c>
      <c r="CD54" s="5">
        <v>35</v>
      </c>
      <c r="CE54" s="5" t="s">
        <v>935</v>
      </c>
      <c r="CF54" s="5" t="s">
        <v>936</v>
      </c>
      <c r="CG54" s="5">
        <v>7.4319999999999997E-2</v>
      </c>
      <c r="CH54" s="5" t="s">
        <v>806</v>
      </c>
      <c r="CJ54" s="5" t="s">
        <v>534</v>
      </c>
      <c r="CK54" s="5">
        <f>AVERAGE(CG126,CG128:CG132,CG134)</f>
        <v>6.9904571428571427E-2</v>
      </c>
      <c r="CL54" s="5">
        <v>3</v>
      </c>
    </row>
    <row r="55" spans="81:90">
      <c r="CC55" s="5" t="s">
        <v>934</v>
      </c>
      <c r="CD55" s="5">
        <v>36</v>
      </c>
      <c r="CE55" s="5" t="s">
        <v>935</v>
      </c>
      <c r="CF55" s="5" t="s">
        <v>936</v>
      </c>
      <c r="CG55" s="5">
        <v>7.3373999999999995E-2</v>
      </c>
      <c r="CH55" s="5" t="s">
        <v>806</v>
      </c>
      <c r="CJ55" s="5" t="s">
        <v>535</v>
      </c>
      <c r="CK55" s="5">
        <f>AVERAGE(CG136,CG138,CG140:CG142)</f>
        <v>7.7556E-2</v>
      </c>
      <c r="CL55" s="5">
        <v>5</v>
      </c>
    </row>
    <row r="56" spans="81:90">
      <c r="CC56" s="5" t="s">
        <v>934</v>
      </c>
      <c r="CD56" s="5">
        <v>37</v>
      </c>
      <c r="CE56" s="5" t="s">
        <v>935</v>
      </c>
      <c r="CF56" s="5" t="s">
        <v>936</v>
      </c>
      <c r="CG56" s="5">
        <v>7.5984999999999997E-2</v>
      </c>
      <c r="CH56" s="5" t="s">
        <v>806</v>
      </c>
      <c r="CJ56" s="5" t="s">
        <v>536</v>
      </c>
      <c r="CK56" s="5">
        <f>AVERAGE(CG144,CG146,CG148)</f>
        <v>7.3125000000000009E-2</v>
      </c>
      <c r="CL56" s="5">
        <v>7</v>
      </c>
    </row>
    <row r="57" spans="81:90">
      <c r="CC57" s="5" t="s">
        <v>934</v>
      </c>
      <c r="CD57" s="5">
        <v>38</v>
      </c>
      <c r="CE57" s="5" t="s">
        <v>935</v>
      </c>
      <c r="CF57" s="5" t="s">
        <v>936</v>
      </c>
      <c r="CG57" s="5">
        <v>7.8959000000000001E-2</v>
      </c>
      <c r="CH57" s="5" t="s">
        <v>806</v>
      </c>
      <c r="CJ57" s="5" t="s">
        <v>537</v>
      </c>
      <c r="CK57" s="5">
        <f>AVERAGE(CG150,CG151,CG153,CG155,CG157)</f>
        <v>7.5387799999999991E-2</v>
      </c>
      <c r="CL57" s="5">
        <v>5</v>
      </c>
    </row>
    <row r="58" spans="81:90">
      <c r="CC58" s="61" t="s">
        <v>808</v>
      </c>
      <c r="CD58" s="61" t="s">
        <v>929</v>
      </c>
      <c r="CE58" s="61" t="s">
        <v>951</v>
      </c>
      <c r="CF58" s="61" t="s">
        <v>946</v>
      </c>
      <c r="CG58" s="61" t="s">
        <v>952</v>
      </c>
      <c r="CH58" s="61" t="s">
        <v>940</v>
      </c>
      <c r="CJ58" s="5" t="s">
        <v>538</v>
      </c>
      <c r="CK58" s="5">
        <f>AVERAGE(CG159:CG160,CG162)</f>
        <v>7.6708666666666661E-2</v>
      </c>
      <c r="CL58" s="5">
        <v>7</v>
      </c>
    </row>
    <row r="59" spans="81:90">
      <c r="CC59" s="5" t="s">
        <v>934</v>
      </c>
      <c r="CD59" s="5">
        <v>42</v>
      </c>
      <c r="CE59" s="5" t="s">
        <v>935</v>
      </c>
      <c r="CF59" s="5" t="s">
        <v>936</v>
      </c>
      <c r="CG59" s="5">
        <v>6.1714999999999999E-2</v>
      </c>
      <c r="CH59" s="5" t="s">
        <v>806</v>
      </c>
      <c r="CJ59" s="5" t="s">
        <v>539</v>
      </c>
      <c r="CK59" s="5">
        <f>AVERAGE(CG164,CG166)</f>
        <v>7.8229500000000007E-2</v>
      </c>
      <c r="CL59" s="5">
        <v>8</v>
      </c>
    </row>
    <row r="60" spans="81:90">
      <c r="CC60" s="61" t="s">
        <v>808</v>
      </c>
      <c r="CD60" s="61" t="s">
        <v>929</v>
      </c>
      <c r="CE60" s="61" t="s">
        <v>953</v>
      </c>
      <c r="CF60" s="61" t="s">
        <v>954</v>
      </c>
      <c r="CG60" s="61" t="s">
        <v>947</v>
      </c>
      <c r="CH60" s="61" t="s">
        <v>940</v>
      </c>
      <c r="CJ60" s="5" t="s">
        <v>540</v>
      </c>
      <c r="CK60" s="5">
        <f>AVERAGE(CG168)</f>
        <v>7.7838000000000004E-2</v>
      </c>
      <c r="CL60" s="5">
        <v>9</v>
      </c>
    </row>
    <row r="61" spans="81:90">
      <c r="CC61" s="5" t="s">
        <v>934</v>
      </c>
      <c r="CD61" s="5">
        <v>45</v>
      </c>
      <c r="CE61" s="5" t="s">
        <v>935</v>
      </c>
      <c r="CF61" s="5" t="s">
        <v>936</v>
      </c>
      <c r="CG61" s="5">
        <v>7.4526999999999996E-2</v>
      </c>
      <c r="CH61" s="5" t="s">
        <v>806</v>
      </c>
      <c r="CJ61" s="5" t="s">
        <v>541</v>
      </c>
      <c r="CK61" s="5">
        <f>AVERAGE(CG170:CG171,CG173,CG175:CG176)</f>
        <v>7.4088999999999988E-2</v>
      </c>
      <c r="CL61" s="5">
        <v>5</v>
      </c>
    </row>
    <row r="62" spans="81:90">
      <c r="CC62" s="61" t="s">
        <v>808</v>
      </c>
      <c r="CD62" s="61" t="s">
        <v>929</v>
      </c>
      <c r="CE62" s="61" t="s">
        <v>955</v>
      </c>
      <c r="CF62" s="61" t="s">
        <v>954</v>
      </c>
      <c r="CG62" s="61" t="s">
        <v>956</v>
      </c>
      <c r="CH62" s="61" t="s">
        <v>940</v>
      </c>
      <c r="CJ62" s="5" t="s">
        <v>542</v>
      </c>
      <c r="CK62" s="5">
        <f>AVERAGE(CG178,CG180,CG182)</f>
        <v>7.5699333333333341E-2</v>
      </c>
      <c r="CL62" s="5">
        <v>7</v>
      </c>
    </row>
    <row r="63" spans="81:90">
      <c r="CC63" s="5" t="s">
        <v>934</v>
      </c>
      <c r="CD63" s="5">
        <v>53</v>
      </c>
      <c r="CE63" s="5" t="s">
        <v>935</v>
      </c>
      <c r="CF63" s="5" t="s">
        <v>936</v>
      </c>
      <c r="CG63" s="5">
        <v>5.8975E-2</v>
      </c>
      <c r="CH63" s="5" t="s">
        <v>806</v>
      </c>
      <c r="CJ63" s="5" t="s">
        <v>543</v>
      </c>
      <c r="CK63" s="5">
        <f>AVERAGE(CG184,CG186)</f>
        <v>7.1983500000000006E-2</v>
      </c>
      <c r="CL63" s="5">
        <v>8</v>
      </c>
    </row>
    <row r="64" spans="81:90">
      <c r="CC64" s="61" t="s">
        <v>808</v>
      </c>
      <c r="CD64" s="61" t="s">
        <v>929</v>
      </c>
      <c r="CE64" s="61" t="s">
        <v>957</v>
      </c>
      <c r="CF64" s="61" t="s">
        <v>954</v>
      </c>
      <c r="CG64" s="61" t="s">
        <v>952</v>
      </c>
      <c r="CH64" s="61" t="s">
        <v>940</v>
      </c>
      <c r="CJ64" s="5" t="s">
        <v>544</v>
      </c>
      <c r="CK64" s="5">
        <f>AVERAGE(CG188)</f>
        <v>6.7754999999999996E-2</v>
      </c>
      <c r="CL64" s="5">
        <v>9</v>
      </c>
    </row>
    <row r="65" spans="81:90">
      <c r="CC65" s="5" t="s">
        <v>934</v>
      </c>
      <c r="CD65" s="5">
        <v>55</v>
      </c>
      <c r="CE65" s="5" t="s">
        <v>935</v>
      </c>
      <c r="CF65" s="5" t="s">
        <v>936</v>
      </c>
      <c r="CG65" s="5">
        <v>5.0866000000000001E-2</v>
      </c>
      <c r="CH65" s="5" t="s">
        <v>806</v>
      </c>
      <c r="CJ65" s="5" t="s">
        <v>545</v>
      </c>
      <c r="CK65" s="5">
        <f>AVERAGE(CG190,CG192:CG193,CG195)</f>
        <v>6.3019500000000006E-2</v>
      </c>
      <c r="CL65" s="5">
        <v>6</v>
      </c>
    </row>
    <row r="66" spans="81:90">
      <c r="CC66" s="61" t="s">
        <v>808</v>
      </c>
      <c r="CD66" s="61" t="s">
        <v>929</v>
      </c>
      <c r="CE66" s="61" t="s">
        <v>958</v>
      </c>
      <c r="CF66" s="61" t="s">
        <v>959</v>
      </c>
      <c r="CG66" s="61" t="s">
        <v>947</v>
      </c>
      <c r="CH66" s="61" t="s">
        <v>940</v>
      </c>
      <c r="CJ66" s="5" t="s">
        <v>546</v>
      </c>
      <c r="CK66" s="5">
        <f>AVERAGE(CG197,CG199:CG201)</f>
        <v>7.4917499999999998E-2</v>
      </c>
      <c r="CL66" s="5">
        <v>6</v>
      </c>
    </row>
    <row r="67" spans="81:90">
      <c r="CC67" s="5" t="s">
        <v>934</v>
      </c>
      <c r="CD67" s="5">
        <v>58</v>
      </c>
      <c r="CE67" s="5" t="s">
        <v>935</v>
      </c>
      <c r="CF67" s="5" t="s">
        <v>936</v>
      </c>
      <c r="CG67" s="5">
        <v>7.2720000000000007E-2</v>
      </c>
      <c r="CH67" s="5" t="s">
        <v>806</v>
      </c>
      <c r="CJ67" s="5" t="s">
        <v>547</v>
      </c>
      <c r="CK67" s="5">
        <f>AVERAGE(CG207:CG208,CG205,CG203)</f>
        <v>6.5733749999999994E-2</v>
      </c>
      <c r="CL67" s="5">
        <v>5</v>
      </c>
    </row>
    <row r="68" spans="81:90">
      <c r="CC68" s="61" t="s">
        <v>808</v>
      </c>
      <c r="CD68" s="61" t="s">
        <v>929</v>
      </c>
      <c r="CE68" s="61" t="s">
        <v>960</v>
      </c>
      <c r="CF68" s="61" t="s">
        <v>959</v>
      </c>
      <c r="CG68" s="61" t="s">
        <v>961</v>
      </c>
      <c r="CH68" s="61" t="s">
        <v>940</v>
      </c>
    </row>
    <row r="69" spans="81:90">
      <c r="CC69" s="5" t="s">
        <v>934</v>
      </c>
      <c r="CD69" s="5">
        <v>60</v>
      </c>
      <c r="CE69" s="5" t="s">
        <v>935</v>
      </c>
      <c r="CF69" s="5" t="s">
        <v>936</v>
      </c>
      <c r="CG69" s="5">
        <v>7.2903999999999997E-2</v>
      </c>
      <c r="CH69" s="5" t="s">
        <v>806</v>
      </c>
    </row>
    <row r="70" spans="81:90">
      <c r="CC70" s="5" t="s">
        <v>934</v>
      </c>
      <c r="CD70" s="5">
        <v>61</v>
      </c>
      <c r="CE70" s="5" t="s">
        <v>935</v>
      </c>
      <c r="CF70" s="5" t="s">
        <v>936</v>
      </c>
      <c r="CG70" s="5">
        <v>6.8778000000000006E-2</v>
      </c>
      <c r="CH70" s="5" t="s">
        <v>806</v>
      </c>
    </row>
    <row r="71" spans="81:90">
      <c r="CC71" s="61" t="s">
        <v>808</v>
      </c>
      <c r="CD71" s="61" t="s">
        <v>929</v>
      </c>
      <c r="CE71" s="61" t="s">
        <v>962</v>
      </c>
      <c r="CF71" s="61" t="s">
        <v>959</v>
      </c>
      <c r="CG71" s="61" t="s">
        <v>949</v>
      </c>
      <c r="CH71" s="61" t="s">
        <v>940</v>
      </c>
    </row>
    <row r="72" spans="81:90">
      <c r="CC72" s="5" t="s">
        <v>934</v>
      </c>
      <c r="CD72" s="5">
        <v>63</v>
      </c>
      <c r="CE72" s="5" t="s">
        <v>935</v>
      </c>
      <c r="CF72" s="5" t="s">
        <v>936</v>
      </c>
      <c r="CG72" s="5">
        <v>5.5327000000000001E-2</v>
      </c>
      <c r="CH72" s="5" t="s">
        <v>806</v>
      </c>
    </row>
    <row r="73" spans="81:90">
      <c r="CC73" s="5" t="s">
        <v>934</v>
      </c>
      <c r="CD73" s="5">
        <v>64</v>
      </c>
      <c r="CE73" s="5" t="s">
        <v>935</v>
      </c>
      <c r="CF73" s="5" t="s">
        <v>936</v>
      </c>
      <c r="CG73" s="5">
        <v>7.8854999999999995E-2</v>
      </c>
      <c r="CH73" s="5" t="s">
        <v>806</v>
      </c>
    </row>
    <row r="74" spans="81:90">
      <c r="CC74" s="61" t="s">
        <v>808</v>
      </c>
      <c r="CD74" s="61" t="s">
        <v>929</v>
      </c>
      <c r="CE74" s="61" t="s">
        <v>963</v>
      </c>
      <c r="CF74" s="61" t="s">
        <v>959</v>
      </c>
      <c r="CG74" s="61" t="s">
        <v>952</v>
      </c>
      <c r="CH74" s="61" t="s">
        <v>940</v>
      </c>
    </row>
    <row r="75" spans="81:90">
      <c r="CC75" s="5" t="s">
        <v>934</v>
      </c>
      <c r="CD75" s="5">
        <v>71</v>
      </c>
      <c r="CE75" s="5" t="s">
        <v>935</v>
      </c>
      <c r="CF75" s="5" t="s">
        <v>936</v>
      </c>
      <c r="CG75" s="5">
        <v>7.3470999999999995E-2</v>
      </c>
      <c r="CH75" s="5" t="s">
        <v>806</v>
      </c>
    </row>
    <row r="76" spans="81:90">
      <c r="CC76" s="61" t="s">
        <v>808</v>
      </c>
      <c r="CD76" s="61" t="s">
        <v>929</v>
      </c>
      <c r="CE76" s="61" t="s">
        <v>964</v>
      </c>
      <c r="CF76" s="61" t="s">
        <v>965</v>
      </c>
      <c r="CG76" s="61" t="s">
        <v>966</v>
      </c>
      <c r="CH76" s="61" t="s">
        <v>940</v>
      </c>
    </row>
    <row r="77" spans="81:90">
      <c r="CC77" s="5" t="s">
        <v>934</v>
      </c>
      <c r="CD77" s="5">
        <v>77</v>
      </c>
      <c r="CE77" s="5" t="s">
        <v>935</v>
      </c>
      <c r="CF77" s="5" t="s">
        <v>936</v>
      </c>
      <c r="CG77" s="5">
        <v>7.2263999999999995E-2</v>
      </c>
      <c r="CH77" s="5" t="s">
        <v>806</v>
      </c>
    </row>
    <row r="78" spans="81:90">
      <c r="CC78" s="61" t="s">
        <v>808</v>
      </c>
      <c r="CD78" s="61" t="s">
        <v>929</v>
      </c>
      <c r="CE78" s="61" t="s">
        <v>967</v>
      </c>
      <c r="CF78" s="61" t="s">
        <v>965</v>
      </c>
      <c r="CG78" s="61" t="s">
        <v>939</v>
      </c>
      <c r="CH78" s="61" t="s">
        <v>940</v>
      </c>
    </row>
    <row r="79" spans="81:90">
      <c r="CC79" s="5" t="s">
        <v>934</v>
      </c>
      <c r="CD79" s="5">
        <v>80</v>
      </c>
      <c r="CE79" s="5" t="s">
        <v>935</v>
      </c>
      <c r="CF79" s="5" t="s">
        <v>936</v>
      </c>
      <c r="CG79" s="5">
        <v>6.6209000000000004E-2</v>
      </c>
      <c r="CH79" s="5" t="s">
        <v>806</v>
      </c>
    </row>
    <row r="80" spans="81:90">
      <c r="CC80" s="5" t="s">
        <v>934</v>
      </c>
      <c r="CD80" s="5">
        <v>81</v>
      </c>
      <c r="CE80" s="5" t="s">
        <v>935</v>
      </c>
      <c r="CF80" s="5" t="s">
        <v>936</v>
      </c>
      <c r="CG80" s="5">
        <v>6.4948000000000006E-2</v>
      </c>
      <c r="CH80" s="5" t="s">
        <v>806</v>
      </c>
    </row>
    <row r="81" spans="81:86">
      <c r="CC81" s="61" t="s">
        <v>808</v>
      </c>
      <c r="CD81" s="61" t="s">
        <v>929</v>
      </c>
      <c r="CE81" s="61" t="s">
        <v>968</v>
      </c>
      <c r="CF81" s="61" t="s">
        <v>965</v>
      </c>
      <c r="CG81" s="61" t="s">
        <v>942</v>
      </c>
      <c r="CH81" s="61" t="s">
        <v>940</v>
      </c>
    </row>
    <row r="82" spans="81:86">
      <c r="CC82" s="5" t="s">
        <v>934</v>
      </c>
      <c r="CD82" s="5">
        <v>83</v>
      </c>
      <c r="CE82" s="5" t="s">
        <v>935</v>
      </c>
      <c r="CF82" s="5" t="s">
        <v>936</v>
      </c>
      <c r="CG82" s="5">
        <v>6.8794999999999995E-2</v>
      </c>
      <c r="CH82" s="5" t="s">
        <v>806</v>
      </c>
    </row>
    <row r="83" spans="81:86">
      <c r="CC83" s="61" t="s">
        <v>808</v>
      </c>
      <c r="CD83" s="61" t="s">
        <v>929</v>
      </c>
      <c r="CE83" s="61" t="s">
        <v>969</v>
      </c>
      <c r="CF83" s="61" t="s">
        <v>965</v>
      </c>
      <c r="CG83" s="61" t="s">
        <v>952</v>
      </c>
      <c r="CH83" s="61" t="s">
        <v>940</v>
      </c>
    </row>
    <row r="84" spans="81:86">
      <c r="CC84" s="5" t="s">
        <v>934</v>
      </c>
      <c r="CD84" s="5">
        <v>86</v>
      </c>
      <c r="CE84" s="5" t="s">
        <v>935</v>
      </c>
      <c r="CF84" s="5" t="s">
        <v>936</v>
      </c>
      <c r="CG84" s="5">
        <v>7.4103000000000002E-2</v>
      </c>
      <c r="CH84" s="5" t="s">
        <v>806</v>
      </c>
    </row>
    <row r="85" spans="81:86">
      <c r="CC85" s="61" t="s">
        <v>808</v>
      </c>
      <c r="CD85" s="61" t="s">
        <v>929</v>
      </c>
      <c r="CE85" s="61" t="s">
        <v>970</v>
      </c>
      <c r="CF85" s="61" t="s">
        <v>971</v>
      </c>
      <c r="CG85" s="61" t="s">
        <v>966</v>
      </c>
      <c r="CH85" s="61" t="s">
        <v>940</v>
      </c>
    </row>
    <row r="86" spans="81:86">
      <c r="CC86" s="5" t="s">
        <v>934</v>
      </c>
      <c r="CD86" s="5">
        <v>92</v>
      </c>
      <c r="CE86" s="5" t="s">
        <v>935</v>
      </c>
      <c r="CF86" s="5" t="s">
        <v>936</v>
      </c>
      <c r="CG86" s="5">
        <v>5.2650000000000002E-2</v>
      </c>
      <c r="CH86" s="5" t="s">
        <v>806</v>
      </c>
    </row>
    <row r="87" spans="81:86">
      <c r="CC87" s="61" t="s">
        <v>808</v>
      </c>
      <c r="CD87" s="61" t="s">
        <v>929</v>
      </c>
      <c r="CE87" s="61" t="s">
        <v>972</v>
      </c>
      <c r="CF87" s="61" t="s">
        <v>971</v>
      </c>
      <c r="CG87" s="61" t="s">
        <v>942</v>
      </c>
      <c r="CH87" s="61" t="s">
        <v>940</v>
      </c>
    </row>
    <row r="88" spans="81:86">
      <c r="CC88" s="5" t="s">
        <v>934</v>
      </c>
      <c r="CD88" s="5">
        <v>96</v>
      </c>
      <c r="CE88" s="5" t="s">
        <v>935</v>
      </c>
      <c r="CF88" s="5" t="s">
        <v>936</v>
      </c>
      <c r="CG88" s="5">
        <v>5.5314000000000002E-2</v>
      </c>
      <c r="CH88" s="5" t="s">
        <v>806</v>
      </c>
    </row>
    <row r="89" spans="81:86">
      <c r="CC89" s="61" t="s">
        <v>808</v>
      </c>
      <c r="CD89" s="61" t="s">
        <v>929</v>
      </c>
      <c r="CE89" s="61" t="s">
        <v>973</v>
      </c>
      <c r="CF89" s="61" t="s">
        <v>812</v>
      </c>
      <c r="CG89" s="61" t="s">
        <v>974</v>
      </c>
      <c r="CH89" s="61" t="s">
        <v>975</v>
      </c>
    </row>
    <row r="90" spans="81:86">
      <c r="CC90" s="5" t="s">
        <v>934</v>
      </c>
      <c r="CD90" s="5">
        <v>101</v>
      </c>
      <c r="CE90" s="5" t="s">
        <v>935</v>
      </c>
      <c r="CF90" s="5" t="s">
        <v>936</v>
      </c>
      <c r="CG90" s="5">
        <v>7.4497999999999995E-2</v>
      </c>
      <c r="CH90" s="5" t="s">
        <v>806</v>
      </c>
    </row>
    <row r="91" spans="81:86">
      <c r="CC91" s="61" t="s">
        <v>808</v>
      </c>
      <c r="CD91" s="61" t="s">
        <v>929</v>
      </c>
      <c r="CE91" s="61" t="s">
        <v>976</v>
      </c>
      <c r="CF91" s="61" t="s">
        <v>977</v>
      </c>
      <c r="CG91" s="61" t="s">
        <v>978</v>
      </c>
      <c r="CH91" s="61" t="s">
        <v>807</v>
      </c>
    </row>
    <row r="92" spans="81:86">
      <c r="CC92" s="5" t="s">
        <v>934</v>
      </c>
      <c r="CD92" s="5">
        <v>105</v>
      </c>
      <c r="CE92" s="5" t="s">
        <v>935</v>
      </c>
      <c r="CF92" s="5" t="s">
        <v>936</v>
      </c>
      <c r="CG92" s="5">
        <v>7.4541999999999997E-2</v>
      </c>
      <c r="CH92" s="5" t="s">
        <v>806</v>
      </c>
    </row>
    <row r="93" spans="81:86">
      <c r="CC93" s="61" t="s">
        <v>808</v>
      </c>
      <c r="CD93" s="61" t="s">
        <v>929</v>
      </c>
      <c r="CE93" s="61" t="s">
        <v>979</v>
      </c>
      <c r="CF93" s="61" t="s">
        <v>977</v>
      </c>
      <c r="CG93" s="61" t="s">
        <v>980</v>
      </c>
      <c r="CH93" s="61" t="s">
        <v>807</v>
      </c>
    </row>
    <row r="94" spans="81:86">
      <c r="CC94" s="5" t="s">
        <v>934</v>
      </c>
      <c r="CD94" s="5">
        <v>107</v>
      </c>
      <c r="CE94" s="5" t="s">
        <v>935</v>
      </c>
      <c r="CF94" s="5" t="s">
        <v>936</v>
      </c>
      <c r="CG94" s="5">
        <v>7.0712999999999998E-2</v>
      </c>
      <c r="CH94" s="5" t="s">
        <v>806</v>
      </c>
    </row>
    <row r="95" spans="81:86">
      <c r="CC95" s="5" t="s">
        <v>934</v>
      </c>
      <c r="CD95" s="5">
        <v>108</v>
      </c>
      <c r="CE95" s="5" t="s">
        <v>935</v>
      </c>
      <c r="CF95" s="5" t="s">
        <v>936</v>
      </c>
      <c r="CG95" s="5">
        <v>7.7742000000000006E-2</v>
      </c>
      <c r="CH95" s="5" t="s">
        <v>806</v>
      </c>
    </row>
    <row r="96" spans="81:86">
      <c r="CC96" s="5" t="s">
        <v>934</v>
      </c>
      <c r="CD96" s="5">
        <v>109</v>
      </c>
      <c r="CE96" s="5" t="s">
        <v>935</v>
      </c>
      <c r="CF96" s="5" t="s">
        <v>936</v>
      </c>
      <c r="CG96" s="5">
        <v>5.2637999999999997E-2</v>
      </c>
      <c r="CH96" s="5" t="s">
        <v>806</v>
      </c>
    </row>
    <row r="97" spans="81:86">
      <c r="CC97" s="61" t="s">
        <v>808</v>
      </c>
      <c r="CD97" s="61" t="s">
        <v>929</v>
      </c>
      <c r="CE97" s="61" t="s">
        <v>981</v>
      </c>
      <c r="CF97" s="61" t="s">
        <v>977</v>
      </c>
      <c r="CG97" s="61" t="s">
        <v>982</v>
      </c>
      <c r="CH97" s="61" t="s">
        <v>807</v>
      </c>
    </row>
    <row r="98" spans="81:86">
      <c r="CC98" s="5" t="s">
        <v>934</v>
      </c>
      <c r="CD98" s="5">
        <v>112</v>
      </c>
      <c r="CE98" s="5" t="s">
        <v>935</v>
      </c>
      <c r="CF98" s="5" t="s">
        <v>936</v>
      </c>
      <c r="CG98" s="5">
        <v>6.7783999999999997E-2</v>
      </c>
      <c r="CH98" s="5" t="s">
        <v>806</v>
      </c>
    </row>
    <row r="99" spans="81:86">
      <c r="CC99" s="61" t="s">
        <v>808</v>
      </c>
      <c r="CD99" s="61" t="s">
        <v>929</v>
      </c>
      <c r="CE99" s="61" t="s">
        <v>983</v>
      </c>
      <c r="CF99" s="61" t="s">
        <v>977</v>
      </c>
      <c r="CG99" s="61" t="s">
        <v>984</v>
      </c>
      <c r="CH99" s="61" t="s">
        <v>807</v>
      </c>
    </row>
    <row r="100" spans="81:86">
      <c r="CC100" s="5" t="s">
        <v>934</v>
      </c>
      <c r="CD100" s="5">
        <v>114</v>
      </c>
      <c r="CE100" s="5" t="s">
        <v>935</v>
      </c>
      <c r="CF100" s="5" t="s">
        <v>936</v>
      </c>
      <c r="CG100" s="5">
        <v>7.2826000000000002E-2</v>
      </c>
      <c r="CH100" s="5" t="s">
        <v>806</v>
      </c>
    </row>
    <row r="101" spans="81:86">
      <c r="CC101" s="61" t="s">
        <v>808</v>
      </c>
      <c r="CD101" s="61" t="s">
        <v>929</v>
      </c>
      <c r="CE101" s="61" t="s">
        <v>985</v>
      </c>
      <c r="CF101" s="61" t="s">
        <v>977</v>
      </c>
      <c r="CG101" s="61" t="s">
        <v>986</v>
      </c>
      <c r="CH101" s="61" t="s">
        <v>807</v>
      </c>
    </row>
    <row r="102" spans="81:86">
      <c r="CC102" s="5" t="s">
        <v>934</v>
      </c>
      <c r="CD102" s="5">
        <v>117</v>
      </c>
      <c r="CE102" s="5" t="s">
        <v>935</v>
      </c>
      <c r="CF102" s="5" t="s">
        <v>936</v>
      </c>
      <c r="CG102" s="5">
        <v>6.9320999999999994E-2</v>
      </c>
      <c r="CH102" s="5" t="s">
        <v>806</v>
      </c>
    </row>
    <row r="103" spans="81:86">
      <c r="CC103" s="61" t="s">
        <v>808</v>
      </c>
      <c r="CD103" s="61" t="s">
        <v>929</v>
      </c>
      <c r="CE103" s="61" t="s">
        <v>987</v>
      </c>
      <c r="CF103" s="61" t="s">
        <v>977</v>
      </c>
      <c r="CG103" s="61" t="s">
        <v>988</v>
      </c>
      <c r="CH103" s="61" t="s">
        <v>807</v>
      </c>
    </row>
    <row r="104" spans="81:86">
      <c r="CC104" s="5" t="s">
        <v>934</v>
      </c>
      <c r="CD104" s="5">
        <v>127</v>
      </c>
      <c r="CE104" s="5" t="s">
        <v>935</v>
      </c>
      <c r="CF104" s="5" t="s">
        <v>936</v>
      </c>
      <c r="CG104" s="5">
        <v>7.6599E-2</v>
      </c>
      <c r="CH104" s="5" t="s">
        <v>806</v>
      </c>
    </row>
    <row r="105" spans="81:86">
      <c r="CC105" s="5" t="s">
        <v>934</v>
      </c>
      <c r="CD105" s="5">
        <v>128</v>
      </c>
      <c r="CE105" s="5" t="s">
        <v>935</v>
      </c>
      <c r="CF105" s="5" t="s">
        <v>936</v>
      </c>
      <c r="CG105" s="5">
        <v>7.6152999999999998E-2</v>
      </c>
      <c r="CH105" s="5" t="s">
        <v>806</v>
      </c>
    </row>
    <row r="106" spans="81:86">
      <c r="CC106" s="5" t="s">
        <v>934</v>
      </c>
      <c r="CD106" s="5">
        <v>129</v>
      </c>
      <c r="CE106" s="5" t="s">
        <v>935</v>
      </c>
      <c r="CF106" s="5" t="s">
        <v>936</v>
      </c>
      <c r="CG106" s="5">
        <v>5.0866000000000001E-2</v>
      </c>
      <c r="CH106" s="5" t="s">
        <v>806</v>
      </c>
    </row>
    <row r="107" spans="81:86">
      <c r="CC107" s="5" t="s">
        <v>934</v>
      </c>
      <c r="CD107" s="5">
        <v>130</v>
      </c>
      <c r="CE107" s="5" t="s">
        <v>935</v>
      </c>
      <c r="CF107" s="5" t="s">
        <v>936</v>
      </c>
      <c r="CG107" s="5">
        <v>7.6200000000000004E-2</v>
      </c>
      <c r="CH107" s="5" t="s">
        <v>806</v>
      </c>
    </row>
    <row r="108" spans="81:86">
      <c r="CC108" s="61" t="s">
        <v>808</v>
      </c>
      <c r="CD108" s="61" t="s">
        <v>929</v>
      </c>
      <c r="CE108" s="61" t="s">
        <v>989</v>
      </c>
      <c r="CF108" s="61" t="s">
        <v>977</v>
      </c>
      <c r="CG108" s="61" t="s">
        <v>990</v>
      </c>
      <c r="CH108" s="61" t="s">
        <v>807</v>
      </c>
    </row>
    <row r="109" spans="81:86">
      <c r="CC109" s="5" t="s">
        <v>934</v>
      </c>
      <c r="CD109" s="5">
        <v>132</v>
      </c>
      <c r="CE109" s="5" t="s">
        <v>935</v>
      </c>
      <c r="CF109" s="5" t="s">
        <v>936</v>
      </c>
      <c r="CG109" s="5">
        <v>5.2637999999999997E-2</v>
      </c>
      <c r="CH109" s="5" t="s">
        <v>806</v>
      </c>
    </row>
    <row r="110" spans="81:86">
      <c r="CC110" s="5" t="s">
        <v>934</v>
      </c>
      <c r="CD110" s="5">
        <v>133</v>
      </c>
      <c r="CE110" s="5" t="s">
        <v>935</v>
      </c>
      <c r="CF110" s="5" t="s">
        <v>936</v>
      </c>
      <c r="CG110" s="5">
        <v>5.5307000000000002E-2</v>
      </c>
      <c r="CH110" s="5" t="s">
        <v>806</v>
      </c>
    </row>
    <row r="111" spans="81:86">
      <c r="CC111" s="5" t="s">
        <v>934</v>
      </c>
      <c r="CD111" s="5">
        <v>134</v>
      </c>
      <c r="CE111" s="5" t="s">
        <v>935</v>
      </c>
      <c r="CF111" s="5" t="s">
        <v>936</v>
      </c>
      <c r="CG111" s="5">
        <v>6.5546999999999994E-2</v>
      </c>
      <c r="CH111" s="5" t="s">
        <v>806</v>
      </c>
    </row>
    <row r="112" spans="81:86">
      <c r="CC112" s="5" t="s">
        <v>934</v>
      </c>
      <c r="CD112" s="5">
        <v>135</v>
      </c>
      <c r="CE112" s="5" t="s">
        <v>935</v>
      </c>
      <c r="CF112" s="5" t="s">
        <v>936</v>
      </c>
      <c r="CG112" s="5">
        <v>7.6183000000000001E-2</v>
      </c>
      <c r="CH112" s="5" t="s">
        <v>806</v>
      </c>
    </row>
    <row r="113" spans="81:86">
      <c r="CC113" s="5" t="s">
        <v>934</v>
      </c>
      <c r="CD113" s="5">
        <v>136</v>
      </c>
      <c r="CE113" s="5" t="s">
        <v>935</v>
      </c>
      <c r="CF113" s="5" t="s">
        <v>936</v>
      </c>
      <c r="CG113" s="5">
        <v>7.1180999999999994E-2</v>
      </c>
      <c r="CH113" s="5" t="s">
        <v>806</v>
      </c>
    </row>
    <row r="114" spans="81:86">
      <c r="CC114" s="61" t="s">
        <v>808</v>
      </c>
      <c r="CD114" s="61" t="s">
        <v>929</v>
      </c>
      <c r="CE114" s="61" t="s">
        <v>991</v>
      </c>
      <c r="CF114" s="61" t="s">
        <v>977</v>
      </c>
      <c r="CG114" s="61" t="s">
        <v>992</v>
      </c>
      <c r="CH114" s="61" t="s">
        <v>807</v>
      </c>
    </row>
    <row r="115" spans="81:86">
      <c r="CC115" s="5" t="s">
        <v>934</v>
      </c>
      <c r="CD115" s="5">
        <v>139</v>
      </c>
      <c r="CE115" s="5" t="s">
        <v>935</v>
      </c>
      <c r="CF115" s="5" t="s">
        <v>936</v>
      </c>
      <c r="CG115" s="5">
        <v>6.8195000000000006E-2</v>
      </c>
      <c r="CH115" s="5" t="s">
        <v>806</v>
      </c>
    </row>
    <row r="116" spans="81:86">
      <c r="CC116" s="61" t="s">
        <v>808</v>
      </c>
      <c r="CD116" s="61" t="s">
        <v>929</v>
      </c>
      <c r="CE116" s="61" t="s">
        <v>993</v>
      </c>
      <c r="CF116" s="61" t="s">
        <v>977</v>
      </c>
      <c r="CG116" s="61" t="s">
        <v>994</v>
      </c>
      <c r="CH116" s="61" t="s">
        <v>807</v>
      </c>
    </row>
    <row r="117" spans="81:86">
      <c r="CC117" s="5" t="s">
        <v>934</v>
      </c>
      <c r="CD117" s="5">
        <v>142</v>
      </c>
      <c r="CE117" s="5" t="s">
        <v>935</v>
      </c>
      <c r="CF117" s="5" t="s">
        <v>936</v>
      </c>
      <c r="CG117" s="5">
        <v>7.3071999999999998E-2</v>
      </c>
      <c r="CH117" s="5" t="s">
        <v>806</v>
      </c>
    </row>
    <row r="118" spans="81:86">
      <c r="CC118" s="61" t="s">
        <v>808</v>
      </c>
      <c r="CD118" s="61" t="s">
        <v>929</v>
      </c>
      <c r="CE118" s="61" t="s">
        <v>995</v>
      </c>
      <c r="CF118" s="61" t="s">
        <v>977</v>
      </c>
      <c r="CG118" s="61" t="s">
        <v>996</v>
      </c>
      <c r="CH118" s="61" t="s">
        <v>807</v>
      </c>
    </row>
    <row r="119" spans="81:86">
      <c r="CC119" s="5" t="s">
        <v>934</v>
      </c>
      <c r="CD119" s="5">
        <v>153</v>
      </c>
      <c r="CE119" s="5" t="s">
        <v>935</v>
      </c>
      <c r="CF119" s="5" t="s">
        <v>936</v>
      </c>
      <c r="CG119" s="5">
        <v>6.1756999999999999E-2</v>
      </c>
      <c r="CH119" s="5" t="s">
        <v>806</v>
      </c>
    </row>
    <row r="120" spans="81:86">
      <c r="CC120" s="5" t="s">
        <v>934</v>
      </c>
      <c r="CD120" s="5">
        <v>154</v>
      </c>
      <c r="CE120" s="5" t="s">
        <v>935</v>
      </c>
      <c r="CF120" s="5" t="s">
        <v>936</v>
      </c>
      <c r="CG120" s="5">
        <v>6.6476999999999994E-2</v>
      </c>
      <c r="CH120" s="5" t="s">
        <v>806</v>
      </c>
    </row>
    <row r="121" spans="81:86">
      <c r="CC121" s="5" t="s">
        <v>934</v>
      </c>
      <c r="CD121" s="5">
        <v>155</v>
      </c>
      <c r="CE121" s="5" t="s">
        <v>935</v>
      </c>
      <c r="CF121" s="5" t="s">
        <v>936</v>
      </c>
      <c r="CG121" s="5">
        <v>6.4407000000000006E-2</v>
      </c>
      <c r="CH121" s="5" t="s">
        <v>806</v>
      </c>
    </row>
    <row r="122" spans="81:86">
      <c r="CC122" s="61" t="s">
        <v>808</v>
      </c>
      <c r="CD122" s="61" t="s">
        <v>929</v>
      </c>
      <c r="CE122" s="61" t="s">
        <v>997</v>
      </c>
      <c r="CF122" s="61" t="s">
        <v>977</v>
      </c>
      <c r="CG122" s="61" t="s">
        <v>998</v>
      </c>
      <c r="CH122" s="61" t="s">
        <v>807</v>
      </c>
    </row>
    <row r="123" spans="81:86">
      <c r="CC123" s="5" t="s">
        <v>934</v>
      </c>
      <c r="CD123" s="5">
        <v>159</v>
      </c>
      <c r="CE123" s="5" t="s">
        <v>935</v>
      </c>
      <c r="CF123" s="5" t="s">
        <v>936</v>
      </c>
      <c r="CG123" s="5">
        <v>6.7079E-2</v>
      </c>
      <c r="CH123" s="5" t="s">
        <v>806</v>
      </c>
    </row>
    <row r="124" spans="81:86">
      <c r="CC124" s="5" t="s">
        <v>934</v>
      </c>
      <c r="CD124" s="5">
        <v>160</v>
      </c>
      <c r="CE124" s="5" t="s">
        <v>935</v>
      </c>
      <c r="CF124" s="5" t="s">
        <v>936</v>
      </c>
      <c r="CG124" s="5">
        <v>7.0593000000000003E-2</v>
      </c>
      <c r="CH124" s="5" t="s">
        <v>806</v>
      </c>
    </row>
    <row r="125" spans="81:86">
      <c r="CC125" s="61" t="s">
        <v>808</v>
      </c>
      <c r="CD125" s="61" t="s">
        <v>929</v>
      </c>
      <c r="CE125" s="61" t="s">
        <v>999</v>
      </c>
      <c r="CF125" s="61" t="s">
        <v>977</v>
      </c>
      <c r="CG125" s="61" t="s">
        <v>1000</v>
      </c>
      <c r="CH125" s="61" t="s">
        <v>807</v>
      </c>
    </row>
    <row r="126" spans="81:86">
      <c r="CC126" s="5" t="s">
        <v>934</v>
      </c>
      <c r="CD126" s="5">
        <v>162</v>
      </c>
      <c r="CE126" s="5" t="s">
        <v>935</v>
      </c>
      <c r="CF126" s="5" t="s">
        <v>936</v>
      </c>
      <c r="CG126" s="5">
        <v>6.8991999999999998E-2</v>
      </c>
      <c r="CH126" s="5" t="s">
        <v>806</v>
      </c>
    </row>
    <row r="127" spans="81:86">
      <c r="CC127" s="61" t="s">
        <v>808</v>
      </c>
      <c r="CD127" s="61" t="s">
        <v>929</v>
      </c>
      <c r="CE127" s="61" t="s">
        <v>1001</v>
      </c>
      <c r="CF127" s="61" t="s">
        <v>977</v>
      </c>
      <c r="CG127" s="61" t="s">
        <v>1002</v>
      </c>
      <c r="CH127" s="61" t="s">
        <v>807</v>
      </c>
    </row>
    <row r="128" spans="81:86">
      <c r="CC128" s="5" t="s">
        <v>934</v>
      </c>
      <c r="CD128" s="5">
        <v>164</v>
      </c>
      <c r="CE128" s="5" t="s">
        <v>935</v>
      </c>
      <c r="CF128" s="5" t="s">
        <v>936</v>
      </c>
      <c r="CG128" s="5">
        <v>6.6266000000000005E-2</v>
      </c>
      <c r="CH128" s="5" t="s">
        <v>806</v>
      </c>
    </row>
    <row r="129" spans="81:86">
      <c r="CC129" s="5" t="s">
        <v>934</v>
      </c>
      <c r="CD129" s="5">
        <v>165</v>
      </c>
      <c r="CE129" s="5" t="s">
        <v>935</v>
      </c>
      <c r="CF129" s="5" t="s">
        <v>936</v>
      </c>
      <c r="CG129" s="5">
        <v>6.6299999999999998E-2</v>
      </c>
      <c r="CH129" s="5" t="s">
        <v>806</v>
      </c>
    </row>
    <row r="130" spans="81:86">
      <c r="CC130" s="5" t="s">
        <v>934</v>
      </c>
      <c r="CD130" s="5">
        <v>166</v>
      </c>
      <c r="CE130" s="5" t="s">
        <v>935</v>
      </c>
      <c r="CF130" s="5" t="s">
        <v>936</v>
      </c>
      <c r="CG130" s="5">
        <v>7.9711000000000004E-2</v>
      </c>
      <c r="CH130" s="5" t="s">
        <v>806</v>
      </c>
    </row>
    <row r="131" spans="81:86">
      <c r="CC131" s="5" t="s">
        <v>934</v>
      </c>
      <c r="CD131" s="5">
        <v>167</v>
      </c>
      <c r="CE131" s="5" t="s">
        <v>935</v>
      </c>
      <c r="CF131" s="5" t="s">
        <v>936</v>
      </c>
      <c r="CG131" s="5">
        <v>7.4916999999999997E-2</v>
      </c>
      <c r="CH131" s="5" t="s">
        <v>806</v>
      </c>
    </row>
    <row r="132" spans="81:86">
      <c r="CC132" s="5" t="s">
        <v>934</v>
      </c>
      <c r="CD132" s="5">
        <v>168</v>
      </c>
      <c r="CE132" s="5" t="s">
        <v>935</v>
      </c>
      <c r="CF132" s="5" t="s">
        <v>936</v>
      </c>
      <c r="CG132" s="5">
        <v>7.3399000000000006E-2</v>
      </c>
      <c r="CH132" s="5" t="s">
        <v>806</v>
      </c>
    </row>
    <row r="133" spans="81:86">
      <c r="CC133" s="61" t="s">
        <v>808</v>
      </c>
      <c r="CD133" s="61" t="s">
        <v>929</v>
      </c>
      <c r="CE133" s="61" t="s">
        <v>1003</v>
      </c>
      <c r="CF133" s="61" t="s">
        <v>977</v>
      </c>
      <c r="CG133" s="61" t="s">
        <v>1004</v>
      </c>
      <c r="CH133" s="61" t="s">
        <v>807</v>
      </c>
    </row>
    <row r="134" spans="81:86">
      <c r="CC134" s="5" t="s">
        <v>934</v>
      </c>
      <c r="CD134" s="5">
        <v>170</v>
      </c>
      <c r="CE134" s="5" t="s">
        <v>935</v>
      </c>
      <c r="CF134" s="5" t="s">
        <v>936</v>
      </c>
      <c r="CG134" s="5">
        <v>5.9747000000000001E-2</v>
      </c>
      <c r="CH134" s="5" t="s">
        <v>806</v>
      </c>
    </row>
    <row r="135" spans="81:86">
      <c r="CC135" s="61" t="s">
        <v>808</v>
      </c>
      <c r="CD135" s="61" t="s">
        <v>929</v>
      </c>
      <c r="CE135" s="61" t="s">
        <v>1005</v>
      </c>
      <c r="CF135" s="61" t="s">
        <v>977</v>
      </c>
      <c r="CG135" s="61" t="s">
        <v>1006</v>
      </c>
      <c r="CH135" s="61" t="s">
        <v>807</v>
      </c>
    </row>
    <row r="136" spans="81:86">
      <c r="CC136" s="5" t="s">
        <v>934</v>
      </c>
      <c r="CD136" s="5">
        <v>172</v>
      </c>
      <c r="CE136" s="5" t="s">
        <v>935</v>
      </c>
      <c r="CF136" s="5" t="s">
        <v>936</v>
      </c>
      <c r="CG136" s="5">
        <v>7.7933000000000002E-2</v>
      </c>
      <c r="CH136" s="5" t="s">
        <v>806</v>
      </c>
    </row>
    <row r="137" spans="81:86">
      <c r="CC137" s="61" t="s">
        <v>808</v>
      </c>
      <c r="CD137" s="61" t="s">
        <v>929</v>
      </c>
      <c r="CE137" s="61" t="s">
        <v>1007</v>
      </c>
      <c r="CF137" s="61" t="s">
        <v>977</v>
      </c>
      <c r="CG137" s="61" t="s">
        <v>1008</v>
      </c>
      <c r="CH137" s="61" t="s">
        <v>807</v>
      </c>
    </row>
    <row r="138" spans="81:86">
      <c r="CC138" s="5" t="s">
        <v>934</v>
      </c>
      <c r="CD138" s="5">
        <v>175</v>
      </c>
      <c r="CE138" s="5" t="s">
        <v>935</v>
      </c>
      <c r="CF138" s="5" t="s">
        <v>936</v>
      </c>
      <c r="CG138" s="5">
        <v>8.1489000000000006E-2</v>
      </c>
      <c r="CH138" s="5" t="s">
        <v>806</v>
      </c>
    </row>
    <row r="139" spans="81:86">
      <c r="CC139" s="61" t="s">
        <v>808</v>
      </c>
      <c r="CD139" s="61" t="s">
        <v>929</v>
      </c>
      <c r="CE139" s="61" t="s">
        <v>1009</v>
      </c>
      <c r="CF139" s="61" t="s">
        <v>977</v>
      </c>
      <c r="CG139" s="61" t="s">
        <v>1010</v>
      </c>
      <c r="CH139" s="61" t="s">
        <v>807</v>
      </c>
    </row>
    <row r="140" spans="81:86">
      <c r="CC140" s="5" t="s">
        <v>934</v>
      </c>
      <c r="CD140" s="5">
        <v>178</v>
      </c>
      <c r="CE140" s="5" t="s">
        <v>935</v>
      </c>
      <c r="CF140" s="5" t="s">
        <v>936</v>
      </c>
      <c r="CG140" s="5">
        <v>7.5053999999999996E-2</v>
      </c>
      <c r="CH140" s="5" t="s">
        <v>806</v>
      </c>
    </row>
    <row r="141" spans="81:86">
      <c r="CC141" s="5" t="s">
        <v>934</v>
      </c>
      <c r="CD141" s="5">
        <v>179</v>
      </c>
      <c r="CE141" s="5" t="s">
        <v>935</v>
      </c>
      <c r="CF141" s="5" t="s">
        <v>936</v>
      </c>
      <c r="CG141" s="5">
        <v>7.4916999999999997E-2</v>
      </c>
      <c r="CH141" s="5" t="s">
        <v>806</v>
      </c>
    </row>
    <row r="142" spans="81:86">
      <c r="CC142" s="5" t="s">
        <v>934</v>
      </c>
      <c r="CD142" s="5">
        <v>180</v>
      </c>
      <c r="CE142" s="5" t="s">
        <v>935</v>
      </c>
      <c r="CF142" s="5" t="s">
        <v>936</v>
      </c>
      <c r="CG142" s="5">
        <v>7.8386999999999998E-2</v>
      </c>
      <c r="CH142" s="5" t="s">
        <v>806</v>
      </c>
    </row>
    <row r="143" spans="81:86">
      <c r="CC143" s="61" t="s">
        <v>808</v>
      </c>
      <c r="CD143" s="61" t="s">
        <v>929</v>
      </c>
      <c r="CE143" s="61" t="s">
        <v>1011</v>
      </c>
      <c r="CF143" s="61" t="s">
        <v>977</v>
      </c>
      <c r="CG143" s="61" t="s">
        <v>1012</v>
      </c>
      <c r="CH143" s="61" t="s">
        <v>807</v>
      </c>
    </row>
    <row r="144" spans="81:86">
      <c r="CC144" s="5" t="s">
        <v>934</v>
      </c>
      <c r="CD144" s="5">
        <v>183</v>
      </c>
      <c r="CE144" s="5" t="s">
        <v>935</v>
      </c>
      <c r="CF144" s="5" t="s">
        <v>936</v>
      </c>
      <c r="CG144" s="5">
        <v>8.1195000000000003E-2</v>
      </c>
      <c r="CH144" s="5" t="s">
        <v>806</v>
      </c>
    </row>
    <row r="145" spans="81:86">
      <c r="CC145" s="61" t="s">
        <v>808</v>
      </c>
      <c r="CD145" s="61" t="s">
        <v>929</v>
      </c>
      <c r="CE145" s="61" t="s">
        <v>1013</v>
      </c>
      <c r="CF145" s="61" t="s">
        <v>977</v>
      </c>
      <c r="CG145" s="61" t="s">
        <v>1014</v>
      </c>
      <c r="CH145" s="61" t="s">
        <v>807</v>
      </c>
    </row>
    <row r="146" spans="81:86">
      <c r="CC146" s="5" t="s">
        <v>934</v>
      </c>
      <c r="CD146" s="5">
        <v>185</v>
      </c>
      <c r="CE146" s="5" t="s">
        <v>935</v>
      </c>
      <c r="CF146" s="5" t="s">
        <v>936</v>
      </c>
      <c r="CG146" s="5">
        <v>8.0086000000000004E-2</v>
      </c>
      <c r="CH146" s="5" t="s">
        <v>806</v>
      </c>
    </row>
    <row r="147" spans="81:86">
      <c r="CC147" s="61" t="s">
        <v>808</v>
      </c>
      <c r="CD147" s="61" t="s">
        <v>929</v>
      </c>
      <c r="CE147" s="61" t="s">
        <v>1015</v>
      </c>
      <c r="CF147" s="61" t="s">
        <v>977</v>
      </c>
      <c r="CG147" s="61" t="s">
        <v>1016</v>
      </c>
      <c r="CH147" s="61" t="s">
        <v>807</v>
      </c>
    </row>
    <row r="148" spans="81:86">
      <c r="CC148" s="5" t="s">
        <v>934</v>
      </c>
      <c r="CD148" s="5">
        <v>189</v>
      </c>
      <c r="CE148" s="5" t="s">
        <v>935</v>
      </c>
      <c r="CF148" s="5" t="s">
        <v>936</v>
      </c>
      <c r="CG148" s="5">
        <v>5.8094E-2</v>
      </c>
      <c r="CH148" s="5" t="s">
        <v>806</v>
      </c>
    </row>
    <row r="149" spans="81:86">
      <c r="CC149" s="61" t="s">
        <v>808</v>
      </c>
      <c r="CD149" s="61" t="s">
        <v>929</v>
      </c>
      <c r="CE149" s="61" t="s">
        <v>1017</v>
      </c>
      <c r="CF149" s="61" t="s">
        <v>977</v>
      </c>
      <c r="CG149" s="61" t="s">
        <v>1018</v>
      </c>
      <c r="CH149" s="61" t="s">
        <v>807</v>
      </c>
    </row>
    <row r="150" spans="81:86">
      <c r="CC150" s="5" t="s">
        <v>934</v>
      </c>
      <c r="CD150" s="5">
        <v>191</v>
      </c>
      <c r="CE150" s="5" t="s">
        <v>935</v>
      </c>
      <c r="CF150" s="5" t="s">
        <v>936</v>
      </c>
      <c r="CG150" s="5">
        <v>7.3696999999999999E-2</v>
      </c>
      <c r="CH150" s="5" t="s">
        <v>806</v>
      </c>
    </row>
    <row r="151" spans="81:86">
      <c r="CC151" s="5" t="s">
        <v>934</v>
      </c>
      <c r="CD151" s="5">
        <v>192</v>
      </c>
      <c r="CE151" s="5" t="s">
        <v>935</v>
      </c>
      <c r="CF151" s="5" t="s">
        <v>936</v>
      </c>
      <c r="CG151" s="5">
        <v>8.4088999999999997E-2</v>
      </c>
      <c r="CH151" s="5" t="s">
        <v>806</v>
      </c>
    </row>
    <row r="152" spans="81:86">
      <c r="CC152" s="61" t="s">
        <v>808</v>
      </c>
      <c r="CD152" s="61" t="s">
        <v>929</v>
      </c>
      <c r="CE152" s="61" t="s">
        <v>1019</v>
      </c>
      <c r="CF152" s="61" t="s">
        <v>977</v>
      </c>
      <c r="CG152" s="61" t="s">
        <v>1020</v>
      </c>
      <c r="CH152" s="61" t="s">
        <v>807</v>
      </c>
    </row>
    <row r="153" spans="81:86">
      <c r="CC153" s="5" t="s">
        <v>934</v>
      </c>
      <c r="CD153" s="5">
        <v>195</v>
      </c>
      <c r="CE153" s="5" t="s">
        <v>935</v>
      </c>
      <c r="CF153" s="5" t="s">
        <v>936</v>
      </c>
      <c r="CG153" s="5">
        <v>7.2318999999999994E-2</v>
      </c>
      <c r="CH153" s="5" t="s">
        <v>806</v>
      </c>
    </row>
    <row r="154" spans="81:86">
      <c r="CC154" s="61" t="s">
        <v>808</v>
      </c>
      <c r="CD154" s="61" t="s">
        <v>929</v>
      </c>
      <c r="CE154" s="61" t="s">
        <v>1021</v>
      </c>
      <c r="CF154" s="61" t="s">
        <v>977</v>
      </c>
      <c r="CG154" s="61" t="s">
        <v>1022</v>
      </c>
      <c r="CH154" s="61" t="s">
        <v>807</v>
      </c>
    </row>
    <row r="155" spans="81:86">
      <c r="CC155" s="5" t="s">
        <v>934</v>
      </c>
      <c r="CD155" s="5">
        <v>198</v>
      </c>
      <c r="CE155" s="5" t="s">
        <v>935</v>
      </c>
      <c r="CF155" s="5" t="s">
        <v>936</v>
      </c>
      <c r="CG155" s="5">
        <v>7.5223999999999999E-2</v>
      </c>
      <c r="CH155" s="5" t="s">
        <v>806</v>
      </c>
    </row>
    <row r="156" spans="81:86">
      <c r="CC156" s="61" t="s">
        <v>808</v>
      </c>
      <c r="CD156" s="61" t="s">
        <v>929</v>
      </c>
      <c r="CE156" s="61" t="s">
        <v>1023</v>
      </c>
      <c r="CF156" s="61" t="s">
        <v>977</v>
      </c>
      <c r="CG156" s="61" t="s">
        <v>1024</v>
      </c>
      <c r="CH156" s="61" t="s">
        <v>807</v>
      </c>
    </row>
    <row r="157" spans="81:86">
      <c r="CC157" s="5" t="s">
        <v>934</v>
      </c>
      <c r="CD157" s="5">
        <v>200</v>
      </c>
      <c r="CE157" s="5" t="s">
        <v>935</v>
      </c>
      <c r="CF157" s="5" t="s">
        <v>936</v>
      </c>
      <c r="CG157" s="5">
        <v>7.1609999999999993E-2</v>
      </c>
      <c r="CH157" s="5" t="s">
        <v>806</v>
      </c>
    </row>
    <row r="158" spans="81:86">
      <c r="CC158" s="61" t="s">
        <v>808</v>
      </c>
      <c r="CD158" s="61" t="s">
        <v>929</v>
      </c>
      <c r="CE158" s="61" t="s">
        <v>1025</v>
      </c>
      <c r="CF158" s="61" t="s">
        <v>977</v>
      </c>
      <c r="CG158" s="61" t="s">
        <v>1026</v>
      </c>
      <c r="CH158" s="61" t="s">
        <v>807</v>
      </c>
    </row>
    <row r="159" spans="81:86">
      <c r="CC159" s="5" t="s">
        <v>934</v>
      </c>
      <c r="CD159" s="5">
        <v>205</v>
      </c>
      <c r="CE159" s="5" t="s">
        <v>935</v>
      </c>
      <c r="CF159" s="5" t="s">
        <v>936</v>
      </c>
      <c r="CG159" s="5">
        <v>7.7628000000000003E-2</v>
      </c>
      <c r="CH159" s="5" t="s">
        <v>806</v>
      </c>
    </row>
    <row r="160" spans="81:86">
      <c r="CC160" s="5" t="s">
        <v>934</v>
      </c>
      <c r="CD160" s="5">
        <v>206</v>
      </c>
      <c r="CE160" s="5" t="s">
        <v>935</v>
      </c>
      <c r="CF160" s="5" t="s">
        <v>936</v>
      </c>
      <c r="CG160" s="5">
        <v>7.3533000000000001E-2</v>
      </c>
      <c r="CH160" s="5" t="s">
        <v>806</v>
      </c>
    </row>
    <row r="161" spans="81:86">
      <c r="CC161" s="61" t="s">
        <v>808</v>
      </c>
      <c r="CD161" s="61" t="s">
        <v>929</v>
      </c>
      <c r="CE161" s="61" t="s">
        <v>1027</v>
      </c>
      <c r="CF161" s="61" t="s">
        <v>977</v>
      </c>
      <c r="CG161" s="61" t="s">
        <v>1028</v>
      </c>
      <c r="CH161" s="61" t="s">
        <v>807</v>
      </c>
    </row>
    <row r="162" spans="81:86">
      <c r="CC162" s="5" t="s">
        <v>934</v>
      </c>
      <c r="CD162" s="5">
        <v>208</v>
      </c>
      <c r="CE162" s="5" t="s">
        <v>935</v>
      </c>
      <c r="CF162" s="5" t="s">
        <v>936</v>
      </c>
      <c r="CG162" s="5">
        <v>7.8964999999999994E-2</v>
      </c>
      <c r="CH162" s="5" t="s">
        <v>806</v>
      </c>
    </row>
    <row r="163" spans="81:86">
      <c r="CC163" s="61" t="s">
        <v>808</v>
      </c>
      <c r="CD163" s="61" t="s">
        <v>929</v>
      </c>
      <c r="CE163" s="61" t="s">
        <v>1029</v>
      </c>
      <c r="CF163" s="61" t="s">
        <v>977</v>
      </c>
      <c r="CG163" s="61" t="s">
        <v>1030</v>
      </c>
      <c r="CH163" s="61" t="s">
        <v>807</v>
      </c>
    </row>
    <row r="164" spans="81:86">
      <c r="CC164" s="5" t="s">
        <v>934</v>
      </c>
      <c r="CD164" s="5">
        <v>211</v>
      </c>
      <c r="CE164" s="5" t="s">
        <v>935</v>
      </c>
      <c r="CF164" s="5" t="s">
        <v>936</v>
      </c>
      <c r="CG164" s="5">
        <v>8.3076999999999998E-2</v>
      </c>
      <c r="CH164" s="5" t="s">
        <v>806</v>
      </c>
    </row>
    <row r="165" spans="81:86">
      <c r="CC165" s="61" t="s">
        <v>808</v>
      </c>
      <c r="CD165" s="61" t="s">
        <v>929</v>
      </c>
      <c r="CE165" s="61" t="s">
        <v>1031</v>
      </c>
      <c r="CF165" s="61" t="s">
        <v>977</v>
      </c>
      <c r="CG165" s="61" t="s">
        <v>1032</v>
      </c>
      <c r="CH165" s="61" t="s">
        <v>807</v>
      </c>
    </row>
    <row r="166" spans="81:86">
      <c r="CC166" s="5" t="s">
        <v>934</v>
      </c>
      <c r="CD166" s="5">
        <v>217</v>
      </c>
      <c r="CE166" s="5" t="s">
        <v>935</v>
      </c>
      <c r="CF166" s="5" t="s">
        <v>936</v>
      </c>
      <c r="CG166" s="5">
        <v>7.3382000000000003E-2</v>
      </c>
      <c r="CH166" s="5" t="s">
        <v>806</v>
      </c>
    </row>
    <row r="167" spans="81:86">
      <c r="CC167" s="61" t="s">
        <v>808</v>
      </c>
      <c r="CD167" s="61" t="s">
        <v>929</v>
      </c>
      <c r="CE167" s="61" t="s">
        <v>1033</v>
      </c>
      <c r="CF167" s="61" t="s">
        <v>977</v>
      </c>
      <c r="CG167" s="61" t="s">
        <v>1034</v>
      </c>
      <c r="CH167" s="61" t="s">
        <v>807</v>
      </c>
    </row>
    <row r="168" spans="81:86">
      <c r="CC168" s="5" t="s">
        <v>934</v>
      </c>
      <c r="CD168" s="5">
        <v>226</v>
      </c>
      <c r="CE168" s="5" t="s">
        <v>935</v>
      </c>
      <c r="CF168" s="5" t="s">
        <v>936</v>
      </c>
      <c r="CG168" s="5">
        <v>7.7838000000000004E-2</v>
      </c>
      <c r="CH168" s="5" t="s">
        <v>806</v>
      </c>
    </row>
    <row r="169" spans="81:86">
      <c r="CC169" s="61" t="s">
        <v>808</v>
      </c>
      <c r="CD169" s="61" t="s">
        <v>929</v>
      </c>
      <c r="CE169" s="61" t="s">
        <v>1035</v>
      </c>
      <c r="CF169" s="61" t="s">
        <v>977</v>
      </c>
      <c r="CG169" s="61" t="s">
        <v>1036</v>
      </c>
      <c r="CH169" s="61" t="s">
        <v>807</v>
      </c>
    </row>
    <row r="170" spans="81:86">
      <c r="CC170" s="5" t="s">
        <v>934</v>
      </c>
      <c r="CD170" s="5">
        <v>231</v>
      </c>
      <c r="CE170" s="5" t="s">
        <v>935</v>
      </c>
      <c r="CF170" s="5" t="s">
        <v>936</v>
      </c>
      <c r="CG170" s="5">
        <v>7.2621000000000005E-2</v>
      </c>
      <c r="CH170" s="5" t="s">
        <v>806</v>
      </c>
    </row>
    <row r="171" spans="81:86">
      <c r="CC171" s="5" t="s">
        <v>934</v>
      </c>
      <c r="CD171" s="5">
        <v>232</v>
      </c>
      <c r="CE171" s="5" t="s">
        <v>935</v>
      </c>
      <c r="CF171" s="5" t="s">
        <v>936</v>
      </c>
      <c r="CG171" s="5">
        <v>7.7429999999999999E-2</v>
      </c>
      <c r="CH171" s="5" t="s">
        <v>806</v>
      </c>
    </row>
    <row r="172" spans="81:86">
      <c r="CC172" s="61" t="s">
        <v>808</v>
      </c>
      <c r="CD172" s="61" t="s">
        <v>929</v>
      </c>
      <c r="CE172" s="61" t="s">
        <v>1037</v>
      </c>
      <c r="CF172" s="61" t="s">
        <v>977</v>
      </c>
      <c r="CG172" s="61" t="s">
        <v>1038</v>
      </c>
      <c r="CH172" s="61" t="s">
        <v>807</v>
      </c>
    </row>
    <row r="173" spans="81:86">
      <c r="CC173" s="5" t="s">
        <v>934</v>
      </c>
      <c r="CD173" s="5">
        <v>234</v>
      </c>
      <c r="CE173" s="5" t="s">
        <v>935</v>
      </c>
      <c r="CF173" s="5" t="s">
        <v>936</v>
      </c>
      <c r="CG173" s="5">
        <v>7.2512999999999994E-2</v>
      </c>
      <c r="CH173" s="5" t="s">
        <v>806</v>
      </c>
    </row>
    <row r="174" spans="81:86">
      <c r="CC174" s="61" t="s">
        <v>808</v>
      </c>
      <c r="CD174" s="61" t="s">
        <v>929</v>
      </c>
      <c r="CE174" s="61" t="s">
        <v>1039</v>
      </c>
      <c r="CF174" s="61" t="s">
        <v>977</v>
      </c>
      <c r="CG174" s="61" t="s">
        <v>1040</v>
      </c>
      <c r="CH174" s="61" t="s">
        <v>807</v>
      </c>
    </row>
    <row r="175" spans="81:86">
      <c r="CC175" s="5" t="s">
        <v>934</v>
      </c>
      <c r="CD175" s="5">
        <v>239</v>
      </c>
      <c r="CE175" s="5" t="s">
        <v>935</v>
      </c>
      <c r="CF175" s="5" t="s">
        <v>936</v>
      </c>
      <c r="CG175" s="5">
        <v>6.8986000000000006E-2</v>
      </c>
      <c r="CH175" s="5" t="s">
        <v>806</v>
      </c>
    </row>
    <row r="176" spans="81:86">
      <c r="CC176" s="5" t="s">
        <v>934</v>
      </c>
      <c r="CD176" s="5">
        <v>240</v>
      </c>
      <c r="CE176" s="5" t="s">
        <v>935</v>
      </c>
      <c r="CF176" s="5" t="s">
        <v>936</v>
      </c>
      <c r="CG176" s="5">
        <v>7.8895000000000007E-2</v>
      </c>
      <c r="CH176" s="5" t="s">
        <v>806</v>
      </c>
    </row>
    <row r="177" spans="81:86">
      <c r="CC177" s="61" t="s">
        <v>808</v>
      </c>
      <c r="CD177" s="61" t="s">
        <v>929</v>
      </c>
      <c r="CE177" s="61" t="s">
        <v>1041</v>
      </c>
      <c r="CF177" s="61" t="s">
        <v>977</v>
      </c>
      <c r="CG177" s="61" t="s">
        <v>1042</v>
      </c>
      <c r="CH177" s="61" t="s">
        <v>807</v>
      </c>
    </row>
    <row r="178" spans="81:86">
      <c r="CC178" s="5" t="s">
        <v>934</v>
      </c>
      <c r="CD178" s="5">
        <v>242</v>
      </c>
      <c r="CE178" s="5" t="s">
        <v>935</v>
      </c>
      <c r="CF178" s="5" t="s">
        <v>936</v>
      </c>
      <c r="CG178" s="5">
        <v>7.1246000000000004E-2</v>
      </c>
      <c r="CH178" s="5" t="s">
        <v>806</v>
      </c>
    </row>
    <row r="179" spans="81:86">
      <c r="CC179" s="61" t="s">
        <v>808</v>
      </c>
      <c r="CD179" s="61" t="s">
        <v>929</v>
      </c>
      <c r="CE179" s="61" t="s">
        <v>1043</v>
      </c>
      <c r="CF179" s="61" t="s">
        <v>977</v>
      </c>
      <c r="CG179" s="61" t="s">
        <v>1044</v>
      </c>
      <c r="CH179" s="61" t="s">
        <v>807</v>
      </c>
    </row>
    <row r="180" spans="81:86">
      <c r="CC180" s="5" t="s">
        <v>934</v>
      </c>
      <c r="CD180" s="5">
        <v>244</v>
      </c>
      <c r="CE180" s="5" t="s">
        <v>935</v>
      </c>
      <c r="CF180" s="5" t="s">
        <v>936</v>
      </c>
      <c r="CG180" s="5">
        <v>7.9077999999999996E-2</v>
      </c>
      <c r="CH180" s="5" t="s">
        <v>806</v>
      </c>
    </row>
    <row r="181" spans="81:86">
      <c r="CC181" s="61" t="s">
        <v>808</v>
      </c>
      <c r="CD181" s="61" t="s">
        <v>929</v>
      </c>
      <c r="CE181" s="61" t="s">
        <v>1045</v>
      </c>
      <c r="CF181" s="61" t="s">
        <v>977</v>
      </c>
      <c r="CG181" s="61" t="s">
        <v>1046</v>
      </c>
      <c r="CH181" s="61" t="s">
        <v>807</v>
      </c>
    </row>
    <row r="182" spans="81:86">
      <c r="CC182" s="5" t="s">
        <v>934</v>
      </c>
      <c r="CD182" s="5">
        <v>247</v>
      </c>
      <c r="CE182" s="5" t="s">
        <v>935</v>
      </c>
      <c r="CF182" s="5" t="s">
        <v>936</v>
      </c>
      <c r="CG182" s="5">
        <v>7.6773999999999995E-2</v>
      </c>
      <c r="CH182" s="5" t="s">
        <v>806</v>
      </c>
    </row>
    <row r="183" spans="81:86">
      <c r="CC183" s="61" t="s">
        <v>808</v>
      </c>
      <c r="CD183" s="61" t="s">
        <v>929</v>
      </c>
      <c r="CE183" s="61" t="s">
        <v>1047</v>
      </c>
      <c r="CF183" s="61" t="s">
        <v>977</v>
      </c>
      <c r="CG183" s="61" t="s">
        <v>1048</v>
      </c>
      <c r="CH183" s="61" t="s">
        <v>807</v>
      </c>
    </row>
    <row r="184" spans="81:86">
      <c r="CC184" s="5" t="s">
        <v>934</v>
      </c>
      <c r="CD184" s="5">
        <v>251</v>
      </c>
      <c r="CE184" s="5" t="s">
        <v>935</v>
      </c>
      <c r="CF184" s="5" t="s">
        <v>936</v>
      </c>
      <c r="CG184" s="5">
        <v>7.1745000000000003E-2</v>
      </c>
      <c r="CH184" s="5" t="s">
        <v>806</v>
      </c>
    </row>
    <row r="185" spans="81:86">
      <c r="CC185" s="61" t="s">
        <v>808</v>
      </c>
      <c r="CD185" s="61" t="s">
        <v>929</v>
      </c>
      <c r="CE185" s="61" t="s">
        <v>1049</v>
      </c>
      <c r="CF185" s="61" t="s">
        <v>977</v>
      </c>
      <c r="CG185" s="61" t="s">
        <v>1050</v>
      </c>
      <c r="CH185" s="61" t="s">
        <v>807</v>
      </c>
    </row>
    <row r="186" spans="81:86">
      <c r="CC186" s="5" t="s">
        <v>934</v>
      </c>
      <c r="CD186" s="5">
        <v>256</v>
      </c>
      <c r="CE186" s="5" t="s">
        <v>935</v>
      </c>
      <c r="CF186" s="5" t="s">
        <v>936</v>
      </c>
      <c r="CG186" s="5">
        <v>7.2221999999999995E-2</v>
      </c>
      <c r="CH186" s="5" t="s">
        <v>806</v>
      </c>
    </row>
    <row r="187" spans="81:86">
      <c r="CC187" s="61" t="s">
        <v>808</v>
      </c>
      <c r="CD187" s="61" t="s">
        <v>929</v>
      </c>
      <c r="CE187" s="61" t="s">
        <v>1051</v>
      </c>
      <c r="CF187" s="61" t="s">
        <v>977</v>
      </c>
      <c r="CG187" s="61" t="s">
        <v>1052</v>
      </c>
      <c r="CH187" s="61" t="s">
        <v>807</v>
      </c>
    </row>
    <row r="188" spans="81:86">
      <c r="CC188" s="5" t="s">
        <v>934</v>
      </c>
      <c r="CD188" s="5">
        <v>267</v>
      </c>
      <c r="CE188" s="5" t="s">
        <v>935</v>
      </c>
      <c r="CF188" s="5" t="s">
        <v>936</v>
      </c>
      <c r="CG188" s="5">
        <v>6.7754999999999996E-2</v>
      </c>
      <c r="CH188" s="5" t="s">
        <v>806</v>
      </c>
    </row>
    <row r="189" spans="81:86">
      <c r="CC189" s="61" t="s">
        <v>808</v>
      </c>
      <c r="CD189" s="61" t="s">
        <v>929</v>
      </c>
      <c r="CE189" s="61" t="s">
        <v>1053</v>
      </c>
      <c r="CF189" s="61" t="s">
        <v>977</v>
      </c>
      <c r="CG189" s="61" t="s">
        <v>1054</v>
      </c>
      <c r="CH189" s="61" t="s">
        <v>807</v>
      </c>
    </row>
    <row r="190" spans="81:86">
      <c r="CC190" s="5" t="s">
        <v>934</v>
      </c>
      <c r="CD190" s="5">
        <v>272</v>
      </c>
      <c r="CE190" s="5" t="s">
        <v>935</v>
      </c>
      <c r="CF190" s="5" t="s">
        <v>936</v>
      </c>
      <c r="CG190" s="5">
        <v>6.6408999999999996E-2</v>
      </c>
      <c r="CH190" s="5" t="s">
        <v>806</v>
      </c>
    </row>
    <row r="191" spans="81:86">
      <c r="CC191" s="61" t="s">
        <v>808</v>
      </c>
      <c r="CD191" s="61" t="s">
        <v>929</v>
      </c>
      <c r="CE191" s="61" t="s">
        <v>1055</v>
      </c>
      <c r="CF191" s="61" t="s">
        <v>977</v>
      </c>
      <c r="CG191" s="61" t="s">
        <v>1056</v>
      </c>
      <c r="CH191" s="61" t="s">
        <v>807</v>
      </c>
    </row>
    <row r="192" spans="81:86">
      <c r="CC192" s="5" t="s">
        <v>934</v>
      </c>
      <c r="CD192" s="5">
        <v>274</v>
      </c>
      <c r="CE192" s="5" t="s">
        <v>935</v>
      </c>
      <c r="CF192" s="5" t="s">
        <v>936</v>
      </c>
      <c r="CG192" s="5">
        <v>7.0391999999999996E-2</v>
      </c>
      <c r="CH192" s="5" t="s">
        <v>806</v>
      </c>
    </row>
    <row r="193" spans="81:86">
      <c r="CC193" s="5" t="s">
        <v>934</v>
      </c>
      <c r="CD193" s="5">
        <v>275</v>
      </c>
      <c r="CE193" s="5" t="s">
        <v>935</v>
      </c>
      <c r="CF193" s="5" t="s">
        <v>936</v>
      </c>
      <c r="CG193" s="5">
        <v>5.9109000000000002E-2</v>
      </c>
      <c r="CH193" s="5" t="s">
        <v>806</v>
      </c>
    </row>
    <row r="194" spans="81:86">
      <c r="CC194" s="61" t="s">
        <v>808</v>
      </c>
      <c r="CD194" s="61" t="s">
        <v>929</v>
      </c>
      <c r="CE194" s="61" t="s">
        <v>1057</v>
      </c>
      <c r="CF194" s="61" t="s">
        <v>977</v>
      </c>
      <c r="CG194" s="61" t="s">
        <v>1058</v>
      </c>
      <c r="CH194" s="61" t="s">
        <v>807</v>
      </c>
    </row>
    <row r="195" spans="81:86">
      <c r="CC195" s="5" t="s">
        <v>934</v>
      </c>
      <c r="CD195" s="5">
        <v>277</v>
      </c>
      <c r="CE195" s="5" t="s">
        <v>935</v>
      </c>
      <c r="CF195" s="5" t="s">
        <v>936</v>
      </c>
      <c r="CG195" s="5">
        <v>5.6168000000000003E-2</v>
      </c>
      <c r="CH195" s="5" t="s">
        <v>806</v>
      </c>
    </row>
    <row r="196" spans="81:86">
      <c r="CC196" s="61" t="s">
        <v>808</v>
      </c>
      <c r="CD196" s="61" t="s">
        <v>929</v>
      </c>
      <c r="CE196" s="61" t="s">
        <v>1059</v>
      </c>
      <c r="CF196" s="61" t="s">
        <v>977</v>
      </c>
      <c r="CG196" s="61" t="s">
        <v>1060</v>
      </c>
      <c r="CH196" s="61" t="s">
        <v>807</v>
      </c>
    </row>
    <row r="197" spans="81:86">
      <c r="CC197" s="5" t="s">
        <v>934</v>
      </c>
      <c r="CD197" s="5">
        <v>282</v>
      </c>
      <c r="CE197" s="5" t="s">
        <v>935</v>
      </c>
      <c r="CF197" s="5" t="s">
        <v>936</v>
      </c>
      <c r="CG197" s="5">
        <v>7.3193999999999995E-2</v>
      </c>
      <c r="CH197" s="5" t="s">
        <v>806</v>
      </c>
    </row>
    <row r="198" spans="81:86">
      <c r="CC198" s="61" t="s">
        <v>808</v>
      </c>
      <c r="CD198" s="61" t="s">
        <v>929</v>
      </c>
      <c r="CE198" s="61" t="s">
        <v>1061</v>
      </c>
      <c r="CF198" s="61" t="s">
        <v>977</v>
      </c>
      <c r="CG198" s="61" t="s">
        <v>1062</v>
      </c>
      <c r="CH198" s="61" t="s">
        <v>807</v>
      </c>
    </row>
    <row r="199" spans="81:86">
      <c r="CC199" s="5" t="s">
        <v>934</v>
      </c>
      <c r="CD199" s="5">
        <v>285</v>
      </c>
      <c r="CE199" s="5" t="s">
        <v>935</v>
      </c>
      <c r="CF199" s="5" t="s">
        <v>936</v>
      </c>
      <c r="CG199" s="5">
        <v>7.9532000000000005E-2</v>
      </c>
      <c r="CH199" s="5" t="s">
        <v>806</v>
      </c>
    </row>
    <row r="200" spans="81:86">
      <c r="CC200" s="5" t="s">
        <v>934</v>
      </c>
      <c r="CD200" s="5">
        <v>286</v>
      </c>
      <c r="CE200" s="5" t="s">
        <v>935</v>
      </c>
      <c r="CF200" s="5" t="s">
        <v>936</v>
      </c>
      <c r="CG200" s="5">
        <v>6.9873000000000005E-2</v>
      </c>
      <c r="CH200" s="5" t="s">
        <v>806</v>
      </c>
    </row>
    <row r="201" spans="81:86">
      <c r="CC201" s="5" t="s">
        <v>934</v>
      </c>
      <c r="CD201" s="5">
        <v>287</v>
      </c>
      <c r="CE201" s="5" t="s">
        <v>935</v>
      </c>
      <c r="CF201" s="5" t="s">
        <v>936</v>
      </c>
      <c r="CG201" s="5">
        <v>7.7071000000000001E-2</v>
      </c>
      <c r="CH201" s="5" t="s">
        <v>806</v>
      </c>
    </row>
    <row r="202" spans="81:86">
      <c r="CC202" s="61" t="s">
        <v>808</v>
      </c>
      <c r="CD202" s="61" t="s">
        <v>929</v>
      </c>
      <c r="CE202" s="61" t="s">
        <v>1063</v>
      </c>
      <c r="CF202" s="61" t="s">
        <v>977</v>
      </c>
      <c r="CG202" s="61" t="s">
        <v>1064</v>
      </c>
      <c r="CH202" s="61" t="s">
        <v>807</v>
      </c>
    </row>
    <row r="203" spans="81:86">
      <c r="CC203" s="5" t="s">
        <v>934</v>
      </c>
      <c r="CD203" s="5">
        <v>292</v>
      </c>
      <c r="CE203" s="5" t="s">
        <v>935</v>
      </c>
      <c r="CF203" s="5" t="s">
        <v>936</v>
      </c>
      <c r="CG203" s="5">
        <v>7.3449E-2</v>
      </c>
      <c r="CH203" s="5" t="s">
        <v>806</v>
      </c>
    </row>
    <row r="204" spans="81:86">
      <c r="CC204" s="61" t="s">
        <v>808</v>
      </c>
      <c r="CD204" s="61" t="s">
        <v>929</v>
      </c>
      <c r="CE204" s="61" t="s">
        <v>1065</v>
      </c>
      <c r="CF204" s="61" t="s">
        <v>977</v>
      </c>
      <c r="CG204" s="61" t="s">
        <v>1066</v>
      </c>
      <c r="CH204" s="61" t="s">
        <v>807</v>
      </c>
    </row>
    <row r="205" spans="81:86">
      <c r="CC205" s="5" t="s">
        <v>934</v>
      </c>
      <c r="CD205" s="5">
        <v>294</v>
      </c>
      <c r="CE205" s="5" t="s">
        <v>935</v>
      </c>
      <c r="CF205" s="5" t="s">
        <v>936</v>
      </c>
      <c r="CG205" s="5">
        <v>6.7936999999999997E-2</v>
      </c>
      <c r="CH205" s="5" t="s">
        <v>806</v>
      </c>
    </row>
    <row r="206" spans="81:86">
      <c r="CC206" s="61" t="s">
        <v>808</v>
      </c>
      <c r="CD206" s="61" t="s">
        <v>929</v>
      </c>
      <c r="CE206" s="61" t="s">
        <v>1067</v>
      </c>
      <c r="CF206" s="61" t="s">
        <v>977</v>
      </c>
      <c r="CG206" s="61" t="s">
        <v>1068</v>
      </c>
      <c r="CH206" s="61" t="s">
        <v>807</v>
      </c>
    </row>
    <row r="207" spans="81:86">
      <c r="CC207" s="5" t="s">
        <v>934</v>
      </c>
      <c r="CD207" s="5">
        <v>298</v>
      </c>
      <c r="CE207" s="5" t="s">
        <v>935</v>
      </c>
      <c r="CF207" s="5" t="s">
        <v>936</v>
      </c>
      <c r="CG207" s="5">
        <v>6.7927000000000001E-2</v>
      </c>
      <c r="CH207" s="5" t="s">
        <v>806</v>
      </c>
    </row>
    <row r="208" spans="81:86">
      <c r="CC208" s="5" t="s">
        <v>934</v>
      </c>
      <c r="CD208" s="5">
        <v>299</v>
      </c>
      <c r="CE208" s="5" t="s">
        <v>935</v>
      </c>
      <c r="CF208" s="5" t="s">
        <v>936</v>
      </c>
      <c r="CG208" s="5">
        <v>5.3622000000000003E-2</v>
      </c>
      <c r="CH208" s="5" t="s">
        <v>806</v>
      </c>
    </row>
    <row r="209" spans="81:86">
      <c r="CC209" s="61" t="s">
        <v>808</v>
      </c>
      <c r="CD209" s="61" t="s">
        <v>929</v>
      </c>
      <c r="CE209" s="61" t="s">
        <v>1072</v>
      </c>
      <c r="CF209" s="61" t="s">
        <v>977</v>
      </c>
      <c r="CG209" s="61" t="s">
        <v>1073</v>
      </c>
      <c r="CH209" s="61" t="s">
        <v>807</v>
      </c>
    </row>
  </sheetData>
  <mergeCells count="5">
    <mergeCell ref="A1:M1"/>
    <mergeCell ref="CB1:CE1"/>
    <mergeCell ref="T1:BZ1"/>
    <mergeCell ref="CG1:EO1"/>
    <mergeCell ref="CC37:CF37"/>
  </mergeCells>
  <pageMargins left="0.7" right="0.7" top="0.75" bottom="0.75" header="0.3" footer="0.3"/>
  <pageSetup orientation="portrait" r:id="rId1"/>
  <ignoredErrors>
    <ignoredError sqref="F33:G33" formulaRange="1"/>
  </ignoredErrors>
  <drawing r:id="rId2"/>
</worksheet>
</file>

<file path=xl/worksheets/sheet8.xml><?xml version="1.0" encoding="utf-8"?>
<worksheet xmlns="http://schemas.openxmlformats.org/spreadsheetml/2006/main" xmlns:r="http://schemas.openxmlformats.org/officeDocument/2006/relationships">
  <dimension ref="A1:GC179"/>
  <sheetViews>
    <sheetView workbookViewId="0">
      <selection activeCell="A2" sqref="A2"/>
    </sheetView>
  </sheetViews>
  <sheetFormatPr defaultColWidth="15.7109375" defaultRowHeight="15"/>
  <cols>
    <col min="1" max="1" width="4.85546875" style="5" customWidth="1"/>
    <col min="2" max="99" width="15.7109375" style="5"/>
    <col min="100" max="108" width="15.7109375" style="5" customWidth="1"/>
    <col min="109" max="16384" width="15.7109375" style="5"/>
  </cols>
  <sheetData>
    <row r="1" spans="1:185" ht="27.75" customHeight="1">
      <c r="A1" s="80" t="s">
        <v>1508</v>
      </c>
      <c r="B1" s="80"/>
      <c r="C1" s="80"/>
      <c r="D1" s="80"/>
      <c r="E1" s="80"/>
      <c r="F1" s="80"/>
      <c r="G1" s="80"/>
      <c r="H1" s="80"/>
      <c r="I1" s="80"/>
      <c r="J1" s="80"/>
      <c r="K1" s="80"/>
      <c r="L1" s="80"/>
      <c r="M1" s="80"/>
      <c r="T1" s="81" t="s">
        <v>144</v>
      </c>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67"/>
      <c r="CV1" s="83" t="s">
        <v>505</v>
      </c>
      <c r="CW1" s="83"/>
      <c r="CX1" s="83"/>
      <c r="CY1" s="83"/>
      <c r="CZ1" s="67"/>
      <c r="DA1" s="87" t="s">
        <v>517</v>
      </c>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9"/>
    </row>
    <row r="2" spans="1:185" ht="36" customHeight="1">
      <c r="A2" s="6" t="s">
        <v>135</v>
      </c>
      <c r="B2" s="7" t="s">
        <v>137</v>
      </c>
      <c r="C2" s="7" t="s">
        <v>151</v>
      </c>
      <c r="D2" s="6" t="s">
        <v>136</v>
      </c>
      <c r="E2" s="7" t="s">
        <v>138</v>
      </c>
      <c r="F2" s="6" t="s">
        <v>139</v>
      </c>
      <c r="G2" s="6" t="s">
        <v>158</v>
      </c>
      <c r="H2" s="7" t="s">
        <v>154</v>
      </c>
      <c r="I2" s="6" t="s">
        <v>153</v>
      </c>
      <c r="J2" s="6" t="s">
        <v>155</v>
      </c>
      <c r="K2" s="7" t="s">
        <v>156</v>
      </c>
      <c r="L2" s="6" t="s">
        <v>157</v>
      </c>
      <c r="M2" s="6" t="s">
        <v>159</v>
      </c>
      <c r="N2" s="7" t="s">
        <v>882</v>
      </c>
      <c r="O2" s="7" t="s">
        <v>152</v>
      </c>
      <c r="P2" s="7" t="s">
        <v>160</v>
      </c>
      <c r="Q2" s="7" t="s">
        <v>161</v>
      </c>
      <c r="R2" s="7" t="s">
        <v>162</v>
      </c>
      <c r="S2" s="21"/>
      <c r="T2" s="65" t="s">
        <v>140</v>
      </c>
      <c r="U2" s="65" t="s">
        <v>141</v>
      </c>
      <c r="V2" s="65" t="s">
        <v>142</v>
      </c>
      <c r="W2" s="65" t="s">
        <v>143</v>
      </c>
      <c r="X2" s="65" t="s">
        <v>145</v>
      </c>
      <c r="Y2" s="65" t="s">
        <v>146</v>
      </c>
      <c r="Z2" s="65" t="s">
        <v>147</v>
      </c>
      <c r="AA2" s="65" t="s">
        <v>148</v>
      </c>
      <c r="AB2" s="65" t="s">
        <v>149</v>
      </c>
      <c r="AC2" s="65" t="s">
        <v>786</v>
      </c>
      <c r="AD2" s="65" t="s">
        <v>787</v>
      </c>
      <c r="AE2" s="65" t="s">
        <v>788</v>
      </c>
      <c r="AF2" s="65" t="s">
        <v>789</v>
      </c>
      <c r="AG2" s="65" t="s">
        <v>790</v>
      </c>
      <c r="AH2" s="65" t="s">
        <v>791</v>
      </c>
      <c r="AI2" s="65" t="s">
        <v>792</v>
      </c>
      <c r="AJ2" s="65" t="s">
        <v>793</v>
      </c>
      <c r="AK2" s="65" t="s">
        <v>794</v>
      </c>
      <c r="AL2" s="65" t="s">
        <v>795</v>
      </c>
      <c r="AM2" s="65" t="s">
        <v>842</v>
      </c>
      <c r="AN2" s="65" t="s">
        <v>843</v>
      </c>
      <c r="AO2" s="65" t="s">
        <v>844</v>
      </c>
      <c r="AP2" s="65" t="s">
        <v>845</v>
      </c>
      <c r="AQ2" s="65" t="s">
        <v>846</v>
      </c>
      <c r="AR2" s="65" t="s">
        <v>847</v>
      </c>
      <c r="AS2" s="65" t="s">
        <v>848</v>
      </c>
      <c r="AT2" s="65" t="s">
        <v>849</v>
      </c>
      <c r="AU2" s="65" t="s">
        <v>850</v>
      </c>
      <c r="AV2" s="65" t="s">
        <v>851</v>
      </c>
      <c r="AW2" s="65" t="s">
        <v>852</v>
      </c>
      <c r="AX2" s="65" t="s">
        <v>853</v>
      </c>
      <c r="AY2" s="65" t="s">
        <v>854</v>
      </c>
      <c r="AZ2" s="65" t="s">
        <v>855</v>
      </c>
      <c r="BA2" s="65" t="s">
        <v>856</v>
      </c>
      <c r="BB2" s="65" t="s">
        <v>857</v>
      </c>
      <c r="BC2" s="65" t="s">
        <v>858</v>
      </c>
      <c r="BD2" s="65" t="s">
        <v>859</v>
      </c>
      <c r="BE2" s="65" t="s">
        <v>860</v>
      </c>
      <c r="BF2" s="65" t="s">
        <v>861</v>
      </c>
      <c r="BG2" s="65" t="s">
        <v>889</v>
      </c>
      <c r="BH2" s="65" t="s">
        <v>890</v>
      </c>
      <c r="BI2" s="65" t="s">
        <v>891</v>
      </c>
      <c r="BJ2" s="65" t="s">
        <v>892</v>
      </c>
      <c r="BK2" s="65" t="s">
        <v>893</v>
      </c>
      <c r="BL2" s="65" t="s">
        <v>894</v>
      </c>
      <c r="BM2" s="65" t="s">
        <v>895</v>
      </c>
      <c r="BN2" s="65" t="s">
        <v>896</v>
      </c>
      <c r="BO2" s="65" t="s">
        <v>897</v>
      </c>
      <c r="BP2" s="65" t="s">
        <v>898</v>
      </c>
      <c r="BQ2" s="65" t="s">
        <v>899</v>
      </c>
      <c r="BR2" s="65" t="s">
        <v>900</v>
      </c>
      <c r="BS2" s="65" t="s">
        <v>901</v>
      </c>
      <c r="BT2" s="65" t="s">
        <v>902</v>
      </c>
      <c r="BU2" s="65" t="s">
        <v>903</v>
      </c>
      <c r="BV2" s="65" t="s">
        <v>904</v>
      </c>
      <c r="BW2" s="65" t="s">
        <v>905</v>
      </c>
      <c r="BX2" s="65" t="s">
        <v>906</v>
      </c>
      <c r="BY2" s="65" t="s">
        <v>907</v>
      </c>
      <c r="BZ2" s="65" t="s">
        <v>908</v>
      </c>
      <c r="CA2" s="65" t="s">
        <v>1074</v>
      </c>
      <c r="CB2" s="65" t="s">
        <v>1075</v>
      </c>
      <c r="CC2" s="65" t="s">
        <v>1076</v>
      </c>
      <c r="CD2" s="65" t="s">
        <v>1077</v>
      </c>
      <c r="CE2" s="65" t="s">
        <v>1078</v>
      </c>
      <c r="CF2" s="65" t="s">
        <v>1079</v>
      </c>
      <c r="CG2" s="65" t="s">
        <v>1080</v>
      </c>
      <c r="CH2" s="65" t="s">
        <v>1081</v>
      </c>
      <c r="CI2" s="65" t="s">
        <v>1082</v>
      </c>
      <c r="CJ2" s="65" t="s">
        <v>1083</v>
      </c>
      <c r="CK2" s="65" t="s">
        <v>1084</v>
      </c>
      <c r="CL2" s="65" t="s">
        <v>1085</v>
      </c>
      <c r="CM2" s="65" t="s">
        <v>1086</v>
      </c>
      <c r="CN2" s="65" t="s">
        <v>1087</v>
      </c>
      <c r="CO2" s="65" t="s">
        <v>1088</v>
      </c>
      <c r="CP2" s="65" t="s">
        <v>1089</v>
      </c>
      <c r="CQ2" s="65" t="s">
        <v>1090</v>
      </c>
      <c r="CR2" s="65" t="s">
        <v>1091</v>
      </c>
      <c r="CS2" s="65" t="s">
        <v>1092</v>
      </c>
      <c r="CT2" s="65" t="s">
        <v>1093</v>
      </c>
      <c r="CU2" s="67"/>
      <c r="CV2" s="66" t="s">
        <v>838</v>
      </c>
      <c r="CW2" s="65" t="s">
        <v>1071</v>
      </c>
      <c r="CX2" s="66" t="s">
        <v>486</v>
      </c>
      <c r="CY2" s="66" t="s">
        <v>886</v>
      </c>
      <c r="CZ2" s="67"/>
      <c r="DA2" s="66" t="s">
        <v>515</v>
      </c>
      <c r="DB2" s="66" t="s">
        <v>516</v>
      </c>
      <c r="DC2" s="65" t="s">
        <v>549</v>
      </c>
      <c r="DD2" s="65" t="s">
        <v>550</v>
      </c>
      <c r="DE2" s="65" t="s">
        <v>551</v>
      </c>
      <c r="DF2" s="65" t="s">
        <v>552</v>
      </c>
      <c r="DG2" s="65" t="s">
        <v>553</v>
      </c>
      <c r="DH2" s="65" t="s">
        <v>554</v>
      </c>
      <c r="DI2" s="65" t="s">
        <v>555</v>
      </c>
      <c r="DJ2" s="65" t="s">
        <v>556</v>
      </c>
      <c r="DK2" s="65" t="s">
        <v>557</v>
      </c>
      <c r="DL2" s="65" t="s">
        <v>796</v>
      </c>
      <c r="DM2" s="65" t="s">
        <v>797</v>
      </c>
      <c r="DN2" s="65" t="s">
        <v>798</v>
      </c>
      <c r="DO2" s="65" t="s">
        <v>799</v>
      </c>
      <c r="DP2" s="65" t="s">
        <v>800</v>
      </c>
      <c r="DQ2" s="65" t="s">
        <v>801</v>
      </c>
      <c r="DR2" s="65" t="s">
        <v>802</v>
      </c>
      <c r="DS2" s="65" t="s">
        <v>803</v>
      </c>
      <c r="DT2" s="65" t="s">
        <v>804</v>
      </c>
      <c r="DU2" s="65" t="s">
        <v>805</v>
      </c>
      <c r="DV2" s="65" t="s">
        <v>862</v>
      </c>
      <c r="DW2" s="65" t="s">
        <v>863</v>
      </c>
      <c r="DX2" s="65" t="s">
        <v>864</v>
      </c>
      <c r="DY2" s="65" t="s">
        <v>865</v>
      </c>
      <c r="DZ2" s="65" t="s">
        <v>866</v>
      </c>
      <c r="EA2" s="65" t="s">
        <v>867</v>
      </c>
      <c r="EB2" s="65" t="s">
        <v>868</v>
      </c>
      <c r="EC2" s="65" t="s">
        <v>869</v>
      </c>
      <c r="ED2" s="65" t="s">
        <v>870</v>
      </c>
      <c r="EE2" s="65" t="s">
        <v>871</v>
      </c>
      <c r="EF2" s="65" t="s">
        <v>872</v>
      </c>
      <c r="EG2" s="65" t="s">
        <v>873</v>
      </c>
      <c r="EH2" s="65" t="s">
        <v>874</v>
      </c>
      <c r="EI2" s="65" t="s">
        <v>875</v>
      </c>
      <c r="EJ2" s="65" t="s">
        <v>876</v>
      </c>
      <c r="EK2" s="65" t="s">
        <v>877</v>
      </c>
      <c r="EL2" s="65" t="s">
        <v>878</v>
      </c>
      <c r="EM2" s="65" t="s">
        <v>879</v>
      </c>
      <c r="EN2" s="65" t="s">
        <v>880</v>
      </c>
      <c r="EO2" s="65" t="s">
        <v>881</v>
      </c>
      <c r="EP2" s="65" t="s">
        <v>909</v>
      </c>
      <c r="EQ2" s="65" t="s">
        <v>910</v>
      </c>
      <c r="ER2" s="65" t="s">
        <v>911</v>
      </c>
      <c r="ES2" s="65" t="s">
        <v>912</v>
      </c>
      <c r="ET2" s="65" t="s">
        <v>913</v>
      </c>
      <c r="EU2" s="65" t="s">
        <v>914</v>
      </c>
      <c r="EV2" s="65" t="s">
        <v>915</v>
      </c>
      <c r="EW2" s="65" t="s">
        <v>916</v>
      </c>
      <c r="EX2" s="65" t="s">
        <v>917</v>
      </c>
      <c r="EY2" s="65" t="s">
        <v>918</v>
      </c>
      <c r="EZ2" s="65" t="s">
        <v>919</v>
      </c>
      <c r="FA2" s="65" t="s">
        <v>920</v>
      </c>
      <c r="FB2" s="65" t="s">
        <v>921</v>
      </c>
      <c r="FC2" s="65" t="s">
        <v>922</v>
      </c>
      <c r="FD2" s="65" t="s">
        <v>923</v>
      </c>
      <c r="FE2" s="65" t="s">
        <v>924</v>
      </c>
      <c r="FF2" s="65" t="s">
        <v>925</v>
      </c>
      <c r="FG2" s="65" t="s">
        <v>926</v>
      </c>
      <c r="FH2" s="65" t="s">
        <v>927</v>
      </c>
      <c r="FI2" s="65" t="s">
        <v>928</v>
      </c>
      <c r="FJ2" s="65" t="s">
        <v>1094</v>
      </c>
      <c r="FK2" s="65" t="s">
        <v>1095</v>
      </c>
      <c r="FL2" s="65" t="s">
        <v>1096</v>
      </c>
      <c r="FM2" s="65" t="s">
        <v>1097</v>
      </c>
      <c r="FN2" s="65" t="s">
        <v>1098</v>
      </c>
      <c r="FO2" s="65" t="s">
        <v>1099</v>
      </c>
      <c r="FP2" s="65" t="s">
        <v>1100</v>
      </c>
      <c r="FQ2" s="65" t="s">
        <v>1101</v>
      </c>
      <c r="FR2" s="65" t="s">
        <v>1102</v>
      </c>
      <c r="FS2" s="65" t="s">
        <v>1103</v>
      </c>
      <c r="FT2" s="65" t="s">
        <v>1104</v>
      </c>
      <c r="FU2" s="65" t="s">
        <v>1105</v>
      </c>
      <c r="FV2" s="65" t="s">
        <v>1106</v>
      </c>
      <c r="FW2" s="65" t="s">
        <v>1107</v>
      </c>
      <c r="FX2" s="65" t="s">
        <v>1108</v>
      </c>
      <c r="FY2" s="65" t="s">
        <v>1109</v>
      </c>
      <c r="FZ2" s="65" t="s">
        <v>1110</v>
      </c>
      <c r="GA2" s="65" t="s">
        <v>1111</v>
      </c>
      <c r="GB2" s="65" t="s">
        <v>1112</v>
      </c>
      <c r="GC2" s="65" t="s">
        <v>1113</v>
      </c>
    </row>
    <row r="3" spans="1:185">
      <c r="A3" s="67">
        <v>1</v>
      </c>
      <c r="B3" s="13">
        <v>10</v>
      </c>
      <c r="C3" s="5">
        <v>0</v>
      </c>
      <c r="D3" s="5">
        <f>C3/B3*100</f>
        <v>0</v>
      </c>
      <c r="E3" s="5">
        <v>0</v>
      </c>
      <c r="F3" s="5">
        <v>0</v>
      </c>
      <c r="G3" s="5">
        <f>(F3+D3)/2</f>
        <v>0</v>
      </c>
      <c r="H3" s="13">
        <v>10</v>
      </c>
      <c r="I3" s="5">
        <v>0</v>
      </c>
      <c r="J3" s="5">
        <f>I3/H3*100</f>
        <v>0</v>
      </c>
      <c r="K3" s="60">
        <v>0</v>
      </c>
      <c r="L3" s="68">
        <v>0</v>
      </c>
      <c r="M3" s="68">
        <f>(L3+J3)/2</f>
        <v>0</v>
      </c>
      <c r="N3" s="5">
        <v>0</v>
      </c>
      <c r="O3" s="5">
        <v>0</v>
      </c>
      <c r="P3" s="5">
        <v>0</v>
      </c>
      <c r="Q3" s="5">
        <v>0</v>
      </c>
      <c r="R3" s="5">
        <v>0</v>
      </c>
      <c r="T3" s="60">
        <v>0</v>
      </c>
      <c r="U3" s="60">
        <v>0</v>
      </c>
      <c r="V3" s="60">
        <v>0</v>
      </c>
      <c r="W3" s="60">
        <v>0</v>
      </c>
      <c r="X3" s="60">
        <v>0</v>
      </c>
      <c r="Y3" s="60">
        <v>0</v>
      </c>
      <c r="Z3" s="60">
        <v>0</v>
      </c>
      <c r="AA3" s="60">
        <v>0</v>
      </c>
      <c r="AB3" s="60">
        <v>0</v>
      </c>
      <c r="AC3" s="60">
        <v>0</v>
      </c>
      <c r="AD3" s="60">
        <v>0</v>
      </c>
      <c r="AE3" s="60">
        <v>0</v>
      </c>
      <c r="AF3" s="60">
        <v>0</v>
      </c>
      <c r="AG3" s="60">
        <v>0</v>
      </c>
      <c r="AH3" s="60">
        <v>0</v>
      </c>
      <c r="AI3" s="60">
        <v>0</v>
      </c>
      <c r="AJ3" s="60">
        <v>0</v>
      </c>
      <c r="AK3" s="60">
        <v>0</v>
      </c>
      <c r="AL3" s="60">
        <v>0</v>
      </c>
      <c r="AM3" s="60">
        <v>0</v>
      </c>
      <c r="AN3" s="60">
        <v>0</v>
      </c>
      <c r="AO3" s="60">
        <v>0</v>
      </c>
      <c r="AP3" s="60">
        <v>0</v>
      </c>
      <c r="AQ3" s="60">
        <v>0</v>
      </c>
      <c r="AR3" s="60">
        <v>0</v>
      </c>
      <c r="AS3" s="60">
        <v>0</v>
      </c>
      <c r="AT3" s="60">
        <v>0</v>
      </c>
      <c r="AU3" s="60">
        <v>0</v>
      </c>
      <c r="AV3" s="60">
        <v>0</v>
      </c>
      <c r="AW3" s="60">
        <v>0</v>
      </c>
      <c r="AX3" s="60">
        <v>0</v>
      </c>
      <c r="AY3" s="60">
        <v>0</v>
      </c>
      <c r="AZ3" s="60">
        <v>0</v>
      </c>
      <c r="BA3" s="60">
        <v>0</v>
      </c>
      <c r="BB3" s="60">
        <v>0</v>
      </c>
      <c r="BC3" s="60">
        <v>0</v>
      </c>
      <c r="BD3" s="60">
        <v>0</v>
      </c>
      <c r="BE3" s="60">
        <v>0</v>
      </c>
      <c r="BF3" s="60">
        <v>0</v>
      </c>
      <c r="BG3" s="60">
        <v>0</v>
      </c>
      <c r="BH3" s="60">
        <v>0</v>
      </c>
      <c r="BI3" s="60">
        <v>0</v>
      </c>
      <c r="BJ3" s="60">
        <v>0</v>
      </c>
      <c r="BK3" s="60">
        <v>0</v>
      </c>
      <c r="BL3" s="60">
        <v>0</v>
      </c>
      <c r="BM3" s="60">
        <v>0</v>
      </c>
      <c r="BN3" s="60">
        <v>0</v>
      </c>
      <c r="BO3" s="60">
        <v>0</v>
      </c>
      <c r="BP3" s="60">
        <v>0</v>
      </c>
      <c r="BQ3" s="60">
        <v>0</v>
      </c>
      <c r="BR3" s="60">
        <v>0</v>
      </c>
      <c r="BS3" s="60">
        <v>0</v>
      </c>
      <c r="BT3" s="60">
        <v>0</v>
      </c>
      <c r="BU3" s="60">
        <v>0</v>
      </c>
      <c r="BV3" s="60">
        <v>0</v>
      </c>
      <c r="BW3" s="60">
        <v>0</v>
      </c>
      <c r="BX3" s="60">
        <v>0</v>
      </c>
      <c r="BY3" s="60">
        <v>0</v>
      </c>
      <c r="BZ3" s="60">
        <v>0</v>
      </c>
      <c r="CA3" s="60">
        <v>0</v>
      </c>
      <c r="CB3" s="60">
        <v>0</v>
      </c>
      <c r="CC3" s="60">
        <v>0</v>
      </c>
      <c r="CD3" s="60">
        <v>0</v>
      </c>
      <c r="CE3" s="60">
        <v>0</v>
      </c>
      <c r="CF3" s="60">
        <v>0</v>
      </c>
      <c r="CG3" s="60">
        <v>0</v>
      </c>
      <c r="CH3" s="60">
        <v>0</v>
      </c>
      <c r="CI3" s="60">
        <v>0</v>
      </c>
      <c r="CJ3" s="60">
        <v>0</v>
      </c>
      <c r="CK3" s="60">
        <v>0</v>
      </c>
      <c r="CL3" s="60">
        <v>0</v>
      </c>
      <c r="CM3" s="60">
        <v>0</v>
      </c>
      <c r="CN3" s="60">
        <v>0</v>
      </c>
      <c r="CO3" s="60">
        <v>0</v>
      </c>
      <c r="CP3" s="60">
        <v>0</v>
      </c>
      <c r="CQ3" s="60">
        <v>0</v>
      </c>
      <c r="CR3" s="60">
        <v>0</v>
      </c>
      <c r="CS3" s="60">
        <v>0</v>
      </c>
      <c r="CT3" s="60">
        <v>0</v>
      </c>
      <c r="CV3" s="5" t="s">
        <v>1070</v>
      </c>
      <c r="CW3" s="5">
        <v>500</v>
      </c>
      <c r="CX3" s="63">
        <v>0</v>
      </c>
      <c r="CY3" s="5">
        <v>10</v>
      </c>
      <c r="DA3" s="5">
        <v>0</v>
      </c>
      <c r="DB3" s="5">
        <v>0</v>
      </c>
      <c r="DC3" s="5">
        <v>0</v>
      </c>
      <c r="DD3" s="5">
        <v>0</v>
      </c>
      <c r="DE3" s="5">
        <v>0</v>
      </c>
      <c r="DF3" s="5">
        <v>0</v>
      </c>
      <c r="DG3" s="5">
        <v>0</v>
      </c>
      <c r="DH3" s="5">
        <v>0</v>
      </c>
      <c r="DI3" s="5">
        <v>0</v>
      </c>
      <c r="DJ3" s="5">
        <v>0</v>
      </c>
      <c r="DK3" s="5">
        <v>0</v>
      </c>
      <c r="DL3" s="5">
        <v>0</v>
      </c>
      <c r="DM3" s="5">
        <v>0</v>
      </c>
      <c r="DN3" s="5">
        <v>0</v>
      </c>
      <c r="DO3" s="5">
        <v>0</v>
      </c>
      <c r="DP3" s="5">
        <v>0</v>
      </c>
      <c r="DQ3" s="5">
        <v>0</v>
      </c>
      <c r="DR3" s="5">
        <v>0</v>
      </c>
      <c r="DS3" s="5">
        <v>0</v>
      </c>
      <c r="DT3" s="5">
        <v>0</v>
      </c>
      <c r="DU3" s="5">
        <v>0</v>
      </c>
      <c r="DV3" s="5">
        <v>0</v>
      </c>
      <c r="DW3" s="5">
        <v>0</v>
      </c>
      <c r="DX3" s="5">
        <v>0</v>
      </c>
      <c r="DY3" s="5">
        <v>0</v>
      </c>
      <c r="DZ3" s="5">
        <v>0</v>
      </c>
      <c r="EA3" s="5">
        <v>0</v>
      </c>
      <c r="EB3" s="5">
        <v>0</v>
      </c>
      <c r="EC3" s="5">
        <v>0</v>
      </c>
      <c r="ED3" s="5">
        <v>0</v>
      </c>
      <c r="EE3" s="5">
        <v>0</v>
      </c>
      <c r="EF3" s="5">
        <v>0</v>
      </c>
      <c r="EG3" s="5">
        <v>0</v>
      </c>
      <c r="EH3" s="5">
        <v>0</v>
      </c>
      <c r="EI3" s="5">
        <v>0</v>
      </c>
      <c r="EJ3" s="5">
        <v>0</v>
      </c>
      <c r="EK3" s="5">
        <v>0</v>
      </c>
      <c r="EL3" s="5">
        <v>0</v>
      </c>
      <c r="EM3" s="5">
        <v>0</v>
      </c>
      <c r="EN3" s="5">
        <v>0</v>
      </c>
      <c r="EO3" s="5">
        <v>0</v>
      </c>
      <c r="EP3" s="5">
        <v>0</v>
      </c>
      <c r="EQ3" s="5">
        <v>0</v>
      </c>
      <c r="ER3" s="5">
        <v>0</v>
      </c>
      <c r="ES3" s="5">
        <v>0</v>
      </c>
      <c r="ET3" s="5">
        <v>0</v>
      </c>
      <c r="EU3" s="5">
        <v>0</v>
      </c>
      <c r="EV3" s="5">
        <v>0</v>
      </c>
      <c r="EW3" s="5">
        <v>0</v>
      </c>
      <c r="EX3" s="5">
        <v>0</v>
      </c>
      <c r="EY3" s="5">
        <v>0</v>
      </c>
      <c r="EZ3" s="5">
        <v>0</v>
      </c>
      <c r="FA3" s="5">
        <v>0</v>
      </c>
      <c r="FB3" s="5">
        <v>0</v>
      </c>
      <c r="FC3" s="5">
        <v>0</v>
      </c>
      <c r="FD3" s="5">
        <v>0</v>
      </c>
      <c r="FE3" s="5">
        <v>0</v>
      </c>
      <c r="FF3" s="5">
        <v>0</v>
      </c>
      <c r="FG3" s="5">
        <v>0</v>
      </c>
      <c r="FH3" s="5">
        <v>0</v>
      </c>
      <c r="FI3" s="5">
        <v>0</v>
      </c>
      <c r="FJ3" s="5">
        <v>0</v>
      </c>
      <c r="FK3" s="5">
        <v>0</v>
      </c>
      <c r="FL3" s="5">
        <v>0</v>
      </c>
      <c r="FM3" s="5">
        <v>0</v>
      </c>
      <c r="FN3" s="5">
        <v>0</v>
      </c>
      <c r="FO3" s="5">
        <v>0</v>
      </c>
      <c r="FP3" s="5">
        <v>0</v>
      </c>
      <c r="FQ3" s="5">
        <v>0</v>
      </c>
      <c r="FR3" s="5">
        <v>0</v>
      </c>
      <c r="FS3" s="5">
        <v>0</v>
      </c>
      <c r="FT3" s="5">
        <v>0</v>
      </c>
      <c r="FU3" s="5">
        <v>0</v>
      </c>
      <c r="FV3" s="5">
        <v>0</v>
      </c>
      <c r="FW3" s="5">
        <v>0</v>
      </c>
      <c r="FX3" s="5">
        <v>0</v>
      </c>
      <c r="FY3" s="5">
        <v>0</v>
      </c>
      <c r="FZ3" s="5">
        <v>0</v>
      </c>
      <c r="GA3" s="5">
        <v>0</v>
      </c>
      <c r="GB3" s="5">
        <v>0</v>
      </c>
      <c r="GC3" s="5">
        <v>0</v>
      </c>
    </row>
    <row r="4" spans="1:185">
      <c r="A4" s="67">
        <v>2</v>
      </c>
      <c r="B4" s="13">
        <v>10</v>
      </c>
      <c r="C4" s="5">
        <v>9</v>
      </c>
      <c r="D4" s="5">
        <f t="shared" ref="D4:D32" si="0">C4/B4*100</f>
        <v>90</v>
      </c>
      <c r="E4" s="5">
        <v>3</v>
      </c>
      <c r="F4" s="60">
        <f t="shared" ref="F4:F32" si="1">E4/C4*100</f>
        <v>33.333333333333329</v>
      </c>
      <c r="G4" s="60">
        <f t="shared" ref="G4:G32" si="2">(F4+D4)/2</f>
        <v>61.666666666666664</v>
      </c>
      <c r="H4" s="13">
        <v>10</v>
      </c>
      <c r="I4" s="5">
        <v>9</v>
      </c>
      <c r="J4" s="5">
        <f t="shared" ref="J4:J32" si="3">I4/H4*100</f>
        <v>90</v>
      </c>
      <c r="K4" s="60">
        <v>0.875</v>
      </c>
      <c r="L4" s="68">
        <v>9.7222222222222232</v>
      </c>
      <c r="M4" s="68">
        <f t="shared" ref="M4:M32" si="4">(L4+J4)/2</f>
        <v>49.861111111111114</v>
      </c>
      <c r="N4" s="5">
        <v>4501.1399999999976</v>
      </c>
      <c r="O4" s="5">
        <v>-61.052491499999995</v>
      </c>
      <c r="P4" s="5">
        <v>42.947508500000005</v>
      </c>
      <c r="Q4" s="5">
        <v>-63.141617555555548</v>
      </c>
      <c r="R4" s="5">
        <v>40.858382444444452</v>
      </c>
      <c r="T4" s="60">
        <v>0.95</v>
      </c>
      <c r="U4" s="60">
        <v>1</v>
      </c>
      <c r="V4" s="60">
        <v>0.97499999999999998</v>
      </c>
      <c r="W4" s="60">
        <v>1.0249999999999999</v>
      </c>
      <c r="X4" s="60">
        <v>1</v>
      </c>
      <c r="Y4" s="60">
        <v>1.0375000000000001</v>
      </c>
      <c r="Z4" s="60">
        <v>0.98750000000000004</v>
      </c>
      <c r="AA4" s="60">
        <v>1.075</v>
      </c>
      <c r="AB4" s="60">
        <v>0.88749999999999996</v>
      </c>
      <c r="AC4" s="60">
        <v>1.075</v>
      </c>
      <c r="AD4" s="60">
        <v>1.075</v>
      </c>
      <c r="AE4" s="60">
        <v>1.1125</v>
      </c>
      <c r="AF4" s="60">
        <v>1.1000000000000001</v>
      </c>
      <c r="AG4" s="60">
        <v>1.0375000000000001</v>
      </c>
      <c r="AH4" s="60">
        <v>1.2</v>
      </c>
      <c r="AI4" s="60">
        <v>1.1125</v>
      </c>
      <c r="AJ4" s="60">
        <v>0.9375</v>
      </c>
      <c r="AK4" s="60">
        <v>1.0625</v>
      </c>
      <c r="AL4" s="60">
        <v>1.1125</v>
      </c>
      <c r="AM4" s="60">
        <v>1.1125</v>
      </c>
      <c r="AN4" s="60">
        <v>1.075</v>
      </c>
      <c r="AO4" s="60">
        <v>0.97499999999999998</v>
      </c>
      <c r="AP4" s="60">
        <v>1.1625000000000001</v>
      </c>
      <c r="AQ4" s="60">
        <v>1.2</v>
      </c>
      <c r="AR4" s="60">
        <v>1.075</v>
      </c>
      <c r="AS4" s="60">
        <v>1.1000000000000001</v>
      </c>
      <c r="AT4" s="60">
        <v>1.125</v>
      </c>
      <c r="AU4" s="60">
        <v>1.1875</v>
      </c>
      <c r="AV4" s="60">
        <v>1.1000000000000001</v>
      </c>
      <c r="AW4" s="60">
        <v>1.0874999999999999</v>
      </c>
      <c r="AX4" s="60">
        <v>1.0874999999999999</v>
      </c>
      <c r="AY4" s="60">
        <v>1.25</v>
      </c>
      <c r="AZ4" s="60">
        <v>1.2375</v>
      </c>
      <c r="BA4" s="60">
        <v>1</v>
      </c>
      <c r="BB4" s="60">
        <v>1.1375</v>
      </c>
      <c r="BC4" s="60">
        <v>0.9</v>
      </c>
      <c r="BD4" s="60">
        <v>1.0874999999999999</v>
      </c>
      <c r="BE4" s="60">
        <v>1.2</v>
      </c>
      <c r="BF4" s="60">
        <v>1.0625</v>
      </c>
      <c r="BG4" s="60">
        <v>1.2375</v>
      </c>
      <c r="BH4" s="60">
        <v>1.125</v>
      </c>
      <c r="BI4" s="60">
        <v>1.1875</v>
      </c>
      <c r="BJ4" s="60">
        <v>1.1375</v>
      </c>
      <c r="BK4" s="60">
        <v>1.2749999999999999</v>
      </c>
      <c r="BL4" s="60">
        <v>1.2875000000000001</v>
      </c>
      <c r="BM4" s="60">
        <v>1.2375</v>
      </c>
      <c r="BN4" s="60">
        <v>1.3374999999999999</v>
      </c>
      <c r="BO4" s="60">
        <v>1.2375</v>
      </c>
      <c r="BP4" s="60">
        <v>1.2375</v>
      </c>
      <c r="BQ4" s="60">
        <v>1.2375</v>
      </c>
      <c r="BR4" s="60">
        <v>1.1375</v>
      </c>
      <c r="BS4" s="60">
        <v>1.1875</v>
      </c>
      <c r="BT4" s="60">
        <v>1.2124999999999999</v>
      </c>
      <c r="BU4" s="60">
        <v>1.1000000000000001</v>
      </c>
      <c r="BV4" s="60">
        <v>1.2</v>
      </c>
      <c r="BW4" s="60">
        <v>1.2124999999999999</v>
      </c>
      <c r="BX4" s="60">
        <v>1.0625</v>
      </c>
      <c r="BY4" s="60">
        <v>1.0249999999999999</v>
      </c>
      <c r="BZ4" s="60">
        <v>1.1000000000000001</v>
      </c>
      <c r="CA4" s="60">
        <v>1.1000000000000001</v>
      </c>
      <c r="CB4" s="60">
        <v>1.175</v>
      </c>
      <c r="CC4" s="60">
        <v>1.175</v>
      </c>
      <c r="CD4" s="60">
        <v>1.1125</v>
      </c>
      <c r="CE4" s="60">
        <v>1.1375</v>
      </c>
      <c r="CF4" s="60">
        <v>1.0249999999999999</v>
      </c>
      <c r="CG4" s="60">
        <v>1.1875</v>
      </c>
      <c r="CH4" s="60">
        <v>1.1375</v>
      </c>
      <c r="CI4" s="60">
        <v>1.2625</v>
      </c>
      <c r="CJ4" s="60">
        <v>1.2375</v>
      </c>
      <c r="CK4" s="60">
        <v>1.175</v>
      </c>
      <c r="CL4" s="60">
        <v>1.2625</v>
      </c>
      <c r="CM4" s="60">
        <v>1</v>
      </c>
      <c r="CN4" s="60">
        <v>1</v>
      </c>
      <c r="CO4" s="60">
        <v>1.05</v>
      </c>
      <c r="CP4" s="60">
        <v>0.98750000000000004</v>
      </c>
      <c r="CQ4" s="60">
        <v>1</v>
      </c>
      <c r="CR4" s="60">
        <v>1</v>
      </c>
      <c r="CS4" s="60">
        <v>1.0249999999999999</v>
      </c>
      <c r="CT4" s="60">
        <v>0.9</v>
      </c>
      <c r="CV4" s="62" t="s">
        <v>519</v>
      </c>
      <c r="CW4" s="5">
        <v>500</v>
      </c>
      <c r="CX4" s="63">
        <v>6.1324333333333335E-2</v>
      </c>
      <c r="CY4" s="5">
        <v>7</v>
      </c>
      <c r="DA4" s="5">
        <v>46.59</v>
      </c>
      <c r="DB4" s="5">
        <v>52.44</v>
      </c>
      <c r="DC4" s="5">
        <v>48.45</v>
      </c>
      <c r="DD4" s="5">
        <v>50.73</v>
      </c>
      <c r="DE4" s="5">
        <v>49.59</v>
      </c>
      <c r="DF4" s="5">
        <v>51.87</v>
      </c>
      <c r="DG4" s="5">
        <v>50.73</v>
      </c>
      <c r="DH4" s="5">
        <v>52.44</v>
      </c>
      <c r="DI4" s="5">
        <v>50.16</v>
      </c>
      <c r="DJ4" s="5">
        <v>54.15</v>
      </c>
      <c r="DK4" s="5">
        <v>45.6</v>
      </c>
      <c r="DL4" s="5">
        <v>54.15</v>
      </c>
      <c r="DM4" s="5">
        <v>54.15</v>
      </c>
      <c r="DN4" s="5">
        <v>55.86</v>
      </c>
      <c r="DO4" s="5">
        <v>54.72</v>
      </c>
      <c r="DP4" s="5">
        <v>52.44</v>
      </c>
      <c r="DQ4" s="5">
        <v>59.85</v>
      </c>
      <c r="DR4" s="5">
        <v>55.86</v>
      </c>
      <c r="DS4" s="5">
        <v>47.31</v>
      </c>
      <c r="DT4" s="5">
        <v>53.58</v>
      </c>
      <c r="DU4" s="5">
        <v>55.86</v>
      </c>
      <c r="DV4" s="5">
        <v>55.86</v>
      </c>
      <c r="DW4" s="5">
        <v>54.15</v>
      </c>
      <c r="DX4" s="5">
        <v>49.59</v>
      </c>
      <c r="DY4" s="5">
        <v>58.14</v>
      </c>
      <c r="DZ4" s="5">
        <v>59.85</v>
      </c>
      <c r="EA4" s="5">
        <v>54.15</v>
      </c>
      <c r="EB4" s="5">
        <v>55.29</v>
      </c>
      <c r="EC4" s="5">
        <v>56.43</v>
      </c>
      <c r="ED4" s="5">
        <v>59.28</v>
      </c>
      <c r="EE4" s="5">
        <v>55.29</v>
      </c>
      <c r="EF4" s="5">
        <v>54.72</v>
      </c>
      <c r="EG4" s="5">
        <v>58.71</v>
      </c>
      <c r="EH4" s="5">
        <v>62.13</v>
      </c>
      <c r="EI4" s="5">
        <v>61.56</v>
      </c>
      <c r="EJ4" s="5">
        <v>50.73</v>
      </c>
      <c r="EK4" s="5">
        <v>57</v>
      </c>
      <c r="EL4" s="5">
        <v>45.6</v>
      </c>
      <c r="EM4" s="5">
        <v>54.15</v>
      </c>
      <c r="EN4" s="5">
        <v>59.85</v>
      </c>
      <c r="EO4" s="5">
        <v>53.58</v>
      </c>
      <c r="EP4" s="5">
        <v>61.56</v>
      </c>
      <c r="EQ4" s="5">
        <v>56.43</v>
      </c>
      <c r="ER4" s="5">
        <v>59.28</v>
      </c>
      <c r="ES4" s="5">
        <v>57</v>
      </c>
      <c r="ET4" s="5">
        <v>63.27</v>
      </c>
      <c r="EU4" s="5">
        <v>63.84</v>
      </c>
      <c r="EV4" s="5">
        <v>61.56</v>
      </c>
      <c r="EW4" s="5">
        <v>66.12</v>
      </c>
      <c r="EX4" s="5">
        <v>61.56</v>
      </c>
      <c r="EY4" s="5">
        <v>61.56</v>
      </c>
      <c r="EZ4" s="5">
        <v>61.56</v>
      </c>
      <c r="FA4" s="5">
        <v>56.43</v>
      </c>
      <c r="FB4" s="5">
        <v>59.28</v>
      </c>
      <c r="FC4" s="5">
        <v>60.42</v>
      </c>
      <c r="FD4" s="5">
        <v>55.29</v>
      </c>
      <c r="FE4" s="5">
        <v>59.85</v>
      </c>
      <c r="FF4" s="5">
        <v>60.42</v>
      </c>
      <c r="FG4" s="5">
        <v>53.58</v>
      </c>
      <c r="FH4" s="5">
        <v>51.87</v>
      </c>
      <c r="FI4" s="5">
        <v>55.29</v>
      </c>
      <c r="FJ4" s="5">
        <v>55.29</v>
      </c>
      <c r="FK4" s="5">
        <v>58.71</v>
      </c>
      <c r="FL4" s="5">
        <v>58.71</v>
      </c>
      <c r="FM4" s="5">
        <v>55.86</v>
      </c>
      <c r="FN4" s="5">
        <v>56.43</v>
      </c>
      <c r="FO4" s="5">
        <v>51.3</v>
      </c>
      <c r="FP4" s="5">
        <v>59.28</v>
      </c>
      <c r="FQ4" s="5">
        <v>57</v>
      </c>
      <c r="FR4" s="5">
        <v>62.7</v>
      </c>
      <c r="FS4" s="5">
        <v>61.56</v>
      </c>
      <c r="FT4" s="5">
        <v>58.71</v>
      </c>
      <c r="FU4" s="5">
        <v>62.7</v>
      </c>
      <c r="FV4" s="5">
        <v>50.73</v>
      </c>
      <c r="FW4" s="5">
        <v>50.73</v>
      </c>
      <c r="FX4" s="5">
        <v>53.01</v>
      </c>
      <c r="FY4" s="5">
        <v>50.16</v>
      </c>
      <c r="FZ4" s="5">
        <v>50.73</v>
      </c>
      <c r="GA4" s="5">
        <v>50.73</v>
      </c>
      <c r="GB4" s="5">
        <v>51.87</v>
      </c>
      <c r="GC4" s="5">
        <v>46.17</v>
      </c>
    </row>
    <row r="5" spans="1:185">
      <c r="A5" s="67">
        <v>3</v>
      </c>
      <c r="B5" s="13">
        <v>10</v>
      </c>
      <c r="C5" s="5">
        <v>10</v>
      </c>
      <c r="D5" s="5">
        <f t="shared" si="0"/>
        <v>100</v>
      </c>
      <c r="E5" s="5">
        <v>3</v>
      </c>
      <c r="F5" s="5">
        <f t="shared" si="1"/>
        <v>30</v>
      </c>
      <c r="G5" s="5">
        <f t="shared" si="2"/>
        <v>65</v>
      </c>
      <c r="H5" s="13">
        <v>10</v>
      </c>
      <c r="I5" s="5">
        <v>10</v>
      </c>
      <c r="J5" s="5">
        <f t="shared" si="3"/>
        <v>100</v>
      </c>
      <c r="K5" s="60">
        <v>1.1125</v>
      </c>
      <c r="L5" s="68">
        <v>11.125</v>
      </c>
      <c r="M5" s="68">
        <f t="shared" si="4"/>
        <v>55.5625</v>
      </c>
      <c r="N5" s="5">
        <v>5537.9699999999993</v>
      </c>
      <c r="O5" s="5">
        <v>-64.972458799999998</v>
      </c>
      <c r="P5" s="5">
        <v>39.027541200000002</v>
      </c>
      <c r="Q5" s="5">
        <v>-64.354333099999991</v>
      </c>
      <c r="R5" s="5">
        <v>39.645666899999995</v>
      </c>
      <c r="T5" s="60">
        <v>1.45</v>
      </c>
      <c r="U5" s="60">
        <v>1.4375</v>
      </c>
      <c r="V5" s="60">
        <v>1.3125</v>
      </c>
      <c r="W5" s="60">
        <v>1.35</v>
      </c>
      <c r="X5" s="60">
        <v>1.3374999999999999</v>
      </c>
      <c r="Y5" s="60">
        <v>1.35</v>
      </c>
      <c r="Z5" s="60">
        <v>1.1000000000000001</v>
      </c>
      <c r="AA5" s="60">
        <v>1.45</v>
      </c>
      <c r="AB5" s="60">
        <v>1.3625</v>
      </c>
      <c r="AC5" s="60">
        <v>1.2875000000000001</v>
      </c>
      <c r="AD5" s="60">
        <v>1.4125000000000001</v>
      </c>
      <c r="AE5" s="60">
        <v>1.4</v>
      </c>
      <c r="AF5" s="60">
        <v>1.5125</v>
      </c>
      <c r="AG5" s="60">
        <v>1.25</v>
      </c>
      <c r="AH5" s="60">
        <v>1.45</v>
      </c>
      <c r="AI5" s="60">
        <v>1.4</v>
      </c>
      <c r="AJ5" s="60">
        <v>1.45</v>
      </c>
      <c r="AK5" s="60">
        <v>1.1875</v>
      </c>
      <c r="AL5" s="60">
        <v>1.3875</v>
      </c>
      <c r="AM5" s="60">
        <v>1.35</v>
      </c>
      <c r="AN5" s="60">
        <v>1.3875</v>
      </c>
      <c r="AO5" s="60">
        <v>1.6125</v>
      </c>
      <c r="AP5" s="60">
        <v>1.55</v>
      </c>
      <c r="AQ5" s="60">
        <v>1.675</v>
      </c>
      <c r="AR5" s="60">
        <v>1.55</v>
      </c>
      <c r="AS5" s="60">
        <v>1.575</v>
      </c>
      <c r="AT5" s="60">
        <v>1.5249999999999999</v>
      </c>
      <c r="AU5" s="60">
        <v>1.5125</v>
      </c>
      <c r="AV5" s="60">
        <v>1.5125</v>
      </c>
      <c r="AW5" s="60">
        <v>1.5375000000000001</v>
      </c>
      <c r="AX5" s="60">
        <v>1.5375000000000001</v>
      </c>
      <c r="AY5" s="60">
        <v>1.45</v>
      </c>
      <c r="AZ5" s="60">
        <v>1.45</v>
      </c>
      <c r="BA5" s="60">
        <v>1.3625</v>
      </c>
      <c r="BB5" s="60">
        <v>1.3875</v>
      </c>
      <c r="BC5" s="60">
        <v>1.4375</v>
      </c>
      <c r="BD5" s="60">
        <v>1.4125000000000001</v>
      </c>
      <c r="BE5" s="60">
        <v>1.425</v>
      </c>
      <c r="BF5" s="60">
        <v>1.4375</v>
      </c>
      <c r="BG5" s="60">
        <v>1.4750000000000001</v>
      </c>
      <c r="BH5" s="60">
        <v>1.45</v>
      </c>
      <c r="BI5" s="60">
        <v>1.4875</v>
      </c>
      <c r="BJ5" s="60">
        <v>1.3875</v>
      </c>
      <c r="BK5" s="60">
        <v>1.5</v>
      </c>
      <c r="BL5" s="60">
        <v>1.55</v>
      </c>
      <c r="BM5" s="60">
        <v>1.4875</v>
      </c>
      <c r="BN5" s="60">
        <v>1.5249999999999999</v>
      </c>
      <c r="BO5" s="60">
        <v>1.4875</v>
      </c>
      <c r="BP5" s="60">
        <v>1.4875</v>
      </c>
      <c r="BQ5" s="60">
        <v>1.075</v>
      </c>
      <c r="BR5" s="60">
        <v>1.7124999999999999</v>
      </c>
      <c r="BS5" s="60">
        <v>1.575</v>
      </c>
      <c r="BT5" s="60">
        <v>1.5125</v>
      </c>
      <c r="BU5" s="60">
        <v>1.55</v>
      </c>
      <c r="BV5" s="60">
        <v>1.4</v>
      </c>
      <c r="BW5" s="60">
        <v>1.4375</v>
      </c>
      <c r="BX5" s="60">
        <v>1.2749999999999999</v>
      </c>
      <c r="BY5" s="60">
        <v>1.3125</v>
      </c>
      <c r="BZ5" s="60">
        <v>1.2875000000000001</v>
      </c>
      <c r="CA5" s="60">
        <v>1.4624999999999999</v>
      </c>
      <c r="CB5" s="60">
        <v>1.2749999999999999</v>
      </c>
      <c r="CC5" s="60">
        <v>1.4375</v>
      </c>
      <c r="CD5" s="60">
        <v>1.2625</v>
      </c>
      <c r="CE5" s="60">
        <v>1.35</v>
      </c>
      <c r="CF5" s="60">
        <v>1.2875000000000001</v>
      </c>
      <c r="CG5" s="60">
        <v>1.35</v>
      </c>
      <c r="CH5" s="60">
        <v>1.3374999999999999</v>
      </c>
      <c r="CI5" s="60">
        <v>1.2375</v>
      </c>
      <c r="CJ5" s="60">
        <v>1.2875000000000001</v>
      </c>
      <c r="CK5" s="60">
        <v>1.325</v>
      </c>
      <c r="CL5" s="60">
        <v>1.1125</v>
      </c>
      <c r="CM5" s="60">
        <v>1.1375</v>
      </c>
      <c r="CN5" s="60">
        <v>1</v>
      </c>
      <c r="CO5" s="60">
        <v>1.1625000000000001</v>
      </c>
      <c r="CP5" s="60">
        <v>1.2</v>
      </c>
      <c r="CQ5" s="60">
        <v>1.1000000000000001</v>
      </c>
      <c r="CR5" s="60">
        <v>1.0625</v>
      </c>
      <c r="CS5" s="60">
        <v>1.1000000000000001</v>
      </c>
      <c r="CT5" s="60">
        <v>0.96250000000000002</v>
      </c>
      <c r="CV5" s="62" t="s">
        <v>520</v>
      </c>
      <c r="CW5" s="5">
        <v>500</v>
      </c>
      <c r="CX5" s="63">
        <v>8.0334666666666665E-2</v>
      </c>
      <c r="CY5" s="5">
        <v>7</v>
      </c>
      <c r="DA5" s="5">
        <v>57.99</v>
      </c>
      <c r="DB5" s="5">
        <v>66.69</v>
      </c>
      <c r="DC5" s="5">
        <v>71.819999999999993</v>
      </c>
      <c r="DD5" s="5">
        <v>71.25</v>
      </c>
      <c r="DE5" s="5">
        <v>65.55</v>
      </c>
      <c r="DF5" s="5">
        <v>67.260000000000005</v>
      </c>
      <c r="DG5" s="5">
        <v>66.69</v>
      </c>
      <c r="DH5" s="5">
        <v>67.260000000000005</v>
      </c>
      <c r="DI5" s="5">
        <v>55.29</v>
      </c>
      <c r="DJ5" s="5">
        <v>71.819999999999993</v>
      </c>
      <c r="DK5" s="5">
        <v>67.260000000000005</v>
      </c>
      <c r="DL5" s="5">
        <v>63.84</v>
      </c>
      <c r="DM5" s="5">
        <v>70.11</v>
      </c>
      <c r="DN5" s="5">
        <v>69.540000000000006</v>
      </c>
      <c r="DO5" s="5">
        <v>74.67</v>
      </c>
      <c r="DP5" s="5">
        <v>62.13</v>
      </c>
      <c r="DQ5" s="5">
        <v>71.819999999999993</v>
      </c>
      <c r="DR5" s="5">
        <v>69.540000000000006</v>
      </c>
      <c r="DS5" s="5">
        <v>71.819999999999993</v>
      </c>
      <c r="DT5" s="5">
        <v>59.28</v>
      </c>
      <c r="DU5" s="5">
        <v>68.97</v>
      </c>
      <c r="DV5" s="5">
        <v>67.260000000000005</v>
      </c>
      <c r="DW5" s="5">
        <v>68.97</v>
      </c>
      <c r="DX5" s="5">
        <v>79.23</v>
      </c>
      <c r="DY5" s="5">
        <v>76.38</v>
      </c>
      <c r="DZ5" s="5">
        <v>82.08</v>
      </c>
      <c r="EA5" s="5">
        <v>76.38</v>
      </c>
      <c r="EB5" s="5">
        <v>77.52</v>
      </c>
      <c r="EC5" s="5">
        <v>75.239999999999995</v>
      </c>
      <c r="ED5" s="5">
        <v>74.67</v>
      </c>
      <c r="EE5" s="5">
        <v>74.67</v>
      </c>
      <c r="EF5" s="5">
        <v>75.81</v>
      </c>
      <c r="EG5" s="5">
        <v>76.95</v>
      </c>
      <c r="EH5" s="5">
        <v>71.819999999999993</v>
      </c>
      <c r="EI5" s="5">
        <v>71.819999999999993</v>
      </c>
      <c r="EJ5" s="5">
        <v>67.83</v>
      </c>
      <c r="EK5" s="5">
        <v>68.97</v>
      </c>
      <c r="EL5" s="5">
        <v>71.25</v>
      </c>
      <c r="EM5" s="5">
        <v>70.11</v>
      </c>
      <c r="EN5" s="5">
        <v>70.680000000000007</v>
      </c>
      <c r="EO5" s="5">
        <v>71.25</v>
      </c>
      <c r="EP5" s="5">
        <v>72.959999999999994</v>
      </c>
      <c r="EQ5" s="5">
        <v>71.819999999999993</v>
      </c>
      <c r="ER5" s="5">
        <v>73.53</v>
      </c>
      <c r="ES5" s="5">
        <v>68.97</v>
      </c>
      <c r="ET5" s="5">
        <v>74.099999999999994</v>
      </c>
      <c r="EU5" s="5">
        <v>76.38</v>
      </c>
      <c r="EV5" s="5">
        <v>72.959999999999994</v>
      </c>
      <c r="EW5" s="5">
        <v>75.239999999999995</v>
      </c>
      <c r="EX5" s="5">
        <v>73.53</v>
      </c>
      <c r="EY5" s="5">
        <v>73.53</v>
      </c>
      <c r="EZ5" s="5">
        <v>53.58</v>
      </c>
      <c r="FA5" s="5">
        <v>83.79</v>
      </c>
      <c r="FB5" s="5">
        <v>77.52</v>
      </c>
      <c r="FC5" s="5">
        <v>74.67</v>
      </c>
      <c r="FD5" s="5">
        <v>76.38</v>
      </c>
      <c r="FE5" s="5">
        <v>69.540000000000006</v>
      </c>
      <c r="FF5" s="5">
        <v>71.25</v>
      </c>
      <c r="FG5" s="5">
        <v>63.27</v>
      </c>
      <c r="FH5" s="5">
        <v>65.55</v>
      </c>
      <c r="FI5" s="5">
        <v>64.41</v>
      </c>
      <c r="FJ5" s="5">
        <v>72.39</v>
      </c>
      <c r="FK5" s="5">
        <v>63.27</v>
      </c>
      <c r="FL5" s="5">
        <v>71.25</v>
      </c>
      <c r="FM5" s="5">
        <v>62.7</v>
      </c>
      <c r="FN5" s="5">
        <v>67.260000000000005</v>
      </c>
      <c r="FO5" s="5">
        <v>64.41</v>
      </c>
      <c r="FP5" s="5">
        <v>67.260000000000005</v>
      </c>
      <c r="FQ5" s="5">
        <v>66.69</v>
      </c>
      <c r="FR5" s="5">
        <v>61.56</v>
      </c>
      <c r="FS5" s="5">
        <v>64.41</v>
      </c>
      <c r="FT5" s="5">
        <v>66.12</v>
      </c>
      <c r="FU5" s="5">
        <v>55.86</v>
      </c>
      <c r="FV5" s="5">
        <v>57.57</v>
      </c>
      <c r="FW5" s="5">
        <v>50.73</v>
      </c>
      <c r="FX5" s="5">
        <v>58.71</v>
      </c>
      <c r="FY5" s="5">
        <v>60.42</v>
      </c>
      <c r="FZ5" s="5">
        <v>55.86</v>
      </c>
      <c r="GA5" s="5">
        <v>54.15</v>
      </c>
      <c r="GB5" s="5">
        <v>55.86</v>
      </c>
      <c r="GC5" s="5">
        <v>49.02</v>
      </c>
    </row>
    <row r="6" spans="1:185">
      <c r="A6" s="67">
        <v>4</v>
      </c>
      <c r="B6" s="13">
        <v>10</v>
      </c>
      <c r="C6" s="5">
        <v>9</v>
      </c>
      <c r="D6" s="5">
        <f t="shared" si="0"/>
        <v>90</v>
      </c>
      <c r="E6" s="5">
        <v>2</v>
      </c>
      <c r="F6" s="60">
        <f t="shared" si="1"/>
        <v>22.222222222222221</v>
      </c>
      <c r="G6" s="60">
        <f t="shared" si="2"/>
        <v>56.111111111111114</v>
      </c>
      <c r="H6" s="13">
        <v>10</v>
      </c>
      <c r="I6" s="5">
        <v>9</v>
      </c>
      <c r="J6" s="5">
        <f t="shared" si="3"/>
        <v>90</v>
      </c>
      <c r="K6" s="60">
        <v>0.97499999999999998</v>
      </c>
      <c r="L6" s="68">
        <v>10.833333333333334</v>
      </c>
      <c r="M6" s="68">
        <f t="shared" si="4"/>
        <v>50.416666666666664</v>
      </c>
      <c r="N6" s="5">
        <v>4982.79</v>
      </c>
      <c r="O6" s="5">
        <v>-65.905080749999996</v>
      </c>
      <c r="P6" s="5">
        <v>38.094919250000004</v>
      </c>
      <c r="Q6" s="5">
        <v>-64.456242888888895</v>
      </c>
      <c r="R6" s="5">
        <v>39.543757111111113</v>
      </c>
      <c r="T6" s="60">
        <v>1.2250000000000001</v>
      </c>
      <c r="U6" s="60">
        <v>1.1625000000000001</v>
      </c>
      <c r="V6" s="60">
        <v>1.25</v>
      </c>
      <c r="W6" s="60">
        <v>1.1499999999999999</v>
      </c>
      <c r="X6" s="60">
        <v>1.2375</v>
      </c>
      <c r="Y6" s="60">
        <v>1.1000000000000001</v>
      </c>
      <c r="Z6" s="60">
        <v>1.2</v>
      </c>
      <c r="AA6" s="60">
        <v>1.2124999999999999</v>
      </c>
      <c r="AB6" s="60">
        <v>1.0375000000000001</v>
      </c>
      <c r="AC6" s="60">
        <v>1.05</v>
      </c>
      <c r="AD6" s="60">
        <v>1.25</v>
      </c>
      <c r="AE6" s="60">
        <v>1.0375000000000001</v>
      </c>
      <c r="AF6" s="60">
        <v>1.2375</v>
      </c>
      <c r="AG6" s="60">
        <v>1.4</v>
      </c>
      <c r="AH6" s="60">
        <v>1.3</v>
      </c>
      <c r="AI6" s="60">
        <v>1.175</v>
      </c>
      <c r="AJ6" s="60">
        <v>1.2749999999999999</v>
      </c>
      <c r="AK6" s="60">
        <v>1.3374999999999999</v>
      </c>
      <c r="AL6" s="60">
        <v>1.2250000000000001</v>
      </c>
      <c r="AM6" s="60">
        <v>1.2250000000000001</v>
      </c>
      <c r="AN6" s="60">
        <v>1.2</v>
      </c>
      <c r="AO6" s="60">
        <v>1.2625</v>
      </c>
      <c r="AP6" s="60">
        <v>1.3625</v>
      </c>
      <c r="AQ6" s="60">
        <v>1.3374999999999999</v>
      </c>
      <c r="AR6" s="60">
        <v>1.1875</v>
      </c>
      <c r="AS6" s="60">
        <v>1.2250000000000001</v>
      </c>
      <c r="AT6" s="60">
        <v>1.2124999999999999</v>
      </c>
      <c r="AU6" s="60">
        <v>1.2625</v>
      </c>
      <c r="AV6" s="60">
        <v>1.3125</v>
      </c>
      <c r="AW6" s="60">
        <v>1.25</v>
      </c>
      <c r="AX6" s="60">
        <v>1.25</v>
      </c>
      <c r="AY6" s="60">
        <v>1.1499999999999999</v>
      </c>
      <c r="AZ6" s="60">
        <v>1.2250000000000001</v>
      </c>
      <c r="BA6" s="60">
        <v>1.3</v>
      </c>
      <c r="BB6" s="60">
        <v>1.4125000000000001</v>
      </c>
      <c r="BC6" s="60">
        <v>1.3</v>
      </c>
      <c r="BD6" s="60">
        <v>1.35</v>
      </c>
      <c r="BE6" s="60">
        <v>1.3125</v>
      </c>
      <c r="BF6" s="60">
        <v>1.45</v>
      </c>
      <c r="BG6" s="60">
        <v>1.375</v>
      </c>
      <c r="BH6" s="60">
        <v>1.175</v>
      </c>
      <c r="BI6" s="60">
        <v>1.3875</v>
      </c>
      <c r="BJ6" s="60">
        <v>1.3125</v>
      </c>
      <c r="BK6" s="60">
        <v>1.3875</v>
      </c>
      <c r="BL6" s="60">
        <v>1.4875</v>
      </c>
      <c r="BM6" s="60">
        <v>1.5249999999999999</v>
      </c>
      <c r="BN6" s="60">
        <v>1.4</v>
      </c>
      <c r="BO6" s="60">
        <v>1.5125</v>
      </c>
      <c r="BP6" s="60">
        <v>1.35</v>
      </c>
      <c r="BQ6" s="60">
        <v>1.35</v>
      </c>
      <c r="BR6" s="60">
        <v>1.2875000000000001</v>
      </c>
      <c r="BS6" s="60">
        <v>1.3374999999999999</v>
      </c>
      <c r="BT6" s="60">
        <v>1.4125000000000001</v>
      </c>
      <c r="BU6" s="60">
        <v>1.4125000000000001</v>
      </c>
      <c r="BV6" s="60">
        <v>1.425</v>
      </c>
      <c r="BW6" s="60">
        <v>1.375</v>
      </c>
      <c r="BX6" s="60">
        <v>1.2875000000000001</v>
      </c>
      <c r="BY6" s="60">
        <v>1.1875</v>
      </c>
      <c r="BZ6" s="60">
        <v>1.1375</v>
      </c>
      <c r="CA6" s="60">
        <v>1.25</v>
      </c>
      <c r="CB6" s="60">
        <v>1.1000000000000001</v>
      </c>
      <c r="CC6" s="60">
        <v>1.1000000000000001</v>
      </c>
      <c r="CD6" s="60">
        <v>1.2124999999999999</v>
      </c>
      <c r="CE6" s="60">
        <v>1.2</v>
      </c>
      <c r="CF6" s="60">
        <v>1.1375</v>
      </c>
      <c r="CG6" s="60">
        <v>0.86250000000000004</v>
      </c>
      <c r="CH6" s="60">
        <v>1.2124999999999999</v>
      </c>
      <c r="CI6" s="60">
        <v>1.1125</v>
      </c>
      <c r="CJ6" s="60">
        <v>1.125</v>
      </c>
      <c r="CK6" s="60">
        <v>1.0874999999999999</v>
      </c>
      <c r="CL6" s="60">
        <v>1.0375000000000001</v>
      </c>
      <c r="CM6" s="60">
        <v>0.88749999999999996</v>
      </c>
      <c r="CN6" s="60">
        <v>1.0874999999999999</v>
      </c>
      <c r="CO6" s="60">
        <v>1.05</v>
      </c>
      <c r="CP6" s="60">
        <v>0.97499999999999998</v>
      </c>
      <c r="CQ6" s="60">
        <v>1.0874999999999999</v>
      </c>
      <c r="CR6" s="60">
        <v>1</v>
      </c>
      <c r="CS6" s="60">
        <v>1.1000000000000001</v>
      </c>
      <c r="CT6" s="60">
        <v>0.92500000000000004</v>
      </c>
      <c r="CV6" s="62" t="s">
        <v>521</v>
      </c>
      <c r="CW6" s="5">
        <v>500</v>
      </c>
      <c r="CX6" s="63">
        <v>8.0360999999999988E-2</v>
      </c>
      <c r="CY6" s="5">
        <v>8</v>
      </c>
      <c r="DA6" s="5">
        <v>51.72</v>
      </c>
      <c r="DB6" s="5">
        <v>60.99</v>
      </c>
      <c r="DC6" s="5">
        <v>61.56</v>
      </c>
      <c r="DD6" s="5">
        <v>58.71</v>
      </c>
      <c r="DE6" s="5">
        <v>62.7</v>
      </c>
      <c r="DF6" s="5">
        <v>58.14</v>
      </c>
      <c r="DG6" s="5">
        <v>62.13</v>
      </c>
      <c r="DH6" s="5">
        <v>55.86</v>
      </c>
      <c r="DI6" s="5">
        <v>60.42</v>
      </c>
      <c r="DJ6" s="5">
        <v>60.99</v>
      </c>
      <c r="DK6" s="5">
        <v>53.01</v>
      </c>
      <c r="DL6" s="5">
        <v>53.01</v>
      </c>
      <c r="DM6" s="5">
        <v>62.7</v>
      </c>
      <c r="DN6" s="5">
        <v>52.44</v>
      </c>
      <c r="DO6" s="5">
        <v>62.13</v>
      </c>
      <c r="DP6" s="5">
        <v>69.540000000000006</v>
      </c>
      <c r="DQ6" s="5">
        <v>64.98</v>
      </c>
      <c r="DR6" s="5">
        <v>58.71</v>
      </c>
      <c r="DS6" s="5">
        <v>63.84</v>
      </c>
      <c r="DT6" s="5">
        <v>66.69</v>
      </c>
      <c r="DU6" s="5">
        <v>61.56</v>
      </c>
      <c r="DV6" s="5">
        <v>61.56</v>
      </c>
      <c r="DW6" s="5">
        <v>60.42</v>
      </c>
      <c r="DX6" s="5">
        <v>63.27</v>
      </c>
      <c r="DY6" s="5">
        <v>67.83</v>
      </c>
      <c r="DZ6" s="5">
        <v>66.69</v>
      </c>
      <c r="EA6" s="5">
        <v>59.85</v>
      </c>
      <c r="EB6" s="5">
        <v>61.56</v>
      </c>
      <c r="EC6" s="5">
        <v>60.99</v>
      </c>
      <c r="ED6" s="5">
        <v>63.27</v>
      </c>
      <c r="EE6" s="5">
        <v>65.55</v>
      </c>
      <c r="EF6" s="5">
        <v>62.7</v>
      </c>
      <c r="EG6" s="5">
        <v>60.99</v>
      </c>
      <c r="EH6" s="5">
        <v>58.14</v>
      </c>
      <c r="EI6" s="5">
        <v>61.56</v>
      </c>
      <c r="EJ6" s="5">
        <v>64.98</v>
      </c>
      <c r="EK6" s="5">
        <v>70.11</v>
      </c>
      <c r="EL6" s="5">
        <v>64.98</v>
      </c>
      <c r="EM6" s="5">
        <v>67.260000000000005</v>
      </c>
      <c r="EN6" s="5">
        <v>65.55</v>
      </c>
      <c r="EO6" s="5">
        <v>71.819999999999993</v>
      </c>
      <c r="EP6" s="5">
        <v>68.400000000000006</v>
      </c>
      <c r="EQ6" s="5">
        <v>58.71</v>
      </c>
      <c r="ER6" s="5">
        <v>68.97</v>
      </c>
      <c r="ES6" s="5">
        <v>65.55</v>
      </c>
      <c r="ET6" s="5">
        <v>68.97</v>
      </c>
      <c r="EU6" s="5">
        <v>73.53</v>
      </c>
      <c r="EV6" s="5">
        <v>75.239999999999995</v>
      </c>
      <c r="EW6" s="5">
        <v>69.540000000000006</v>
      </c>
      <c r="EX6" s="5">
        <v>74.67</v>
      </c>
      <c r="EY6" s="5">
        <v>67.260000000000005</v>
      </c>
      <c r="EZ6" s="5">
        <v>67.260000000000005</v>
      </c>
      <c r="FA6" s="5">
        <v>63.84</v>
      </c>
      <c r="FB6" s="5">
        <v>66.12</v>
      </c>
      <c r="FC6" s="5">
        <v>70.11</v>
      </c>
      <c r="FD6" s="5">
        <v>70.11</v>
      </c>
      <c r="FE6" s="5">
        <v>70.680000000000007</v>
      </c>
      <c r="FF6" s="5">
        <v>68.400000000000006</v>
      </c>
      <c r="FG6" s="5">
        <v>64.41</v>
      </c>
      <c r="FH6" s="5">
        <v>59.85</v>
      </c>
      <c r="FI6" s="5">
        <v>57</v>
      </c>
      <c r="FJ6" s="5">
        <v>62.7</v>
      </c>
      <c r="FK6" s="5">
        <v>55.29</v>
      </c>
      <c r="FL6" s="5">
        <v>55.29</v>
      </c>
      <c r="FM6" s="5">
        <v>60.99</v>
      </c>
      <c r="FN6" s="5">
        <v>60.42</v>
      </c>
      <c r="FO6" s="5">
        <v>57.57</v>
      </c>
      <c r="FP6" s="5">
        <v>43.89</v>
      </c>
      <c r="FQ6" s="5">
        <v>60.99</v>
      </c>
      <c r="FR6" s="5">
        <v>55.86</v>
      </c>
      <c r="FS6" s="5">
        <v>57</v>
      </c>
      <c r="FT6" s="5">
        <v>55.29</v>
      </c>
      <c r="FU6" s="5">
        <v>53.01</v>
      </c>
      <c r="FV6" s="5">
        <v>45.6</v>
      </c>
      <c r="FW6" s="5">
        <v>55.29</v>
      </c>
      <c r="FX6" s="5">
        <v>53.58</v>
      </c>
      <c r="FY6" s="5">
        <v>50.16</v>
      </c>
      <c r="FZ6" s="5">
        <v>55.29</v>
      </c>
      <c r="GA6" s="5">
        <v>51.3</v>
      </c>
      <c r="GB6" s="5">
        <v>55.86</v>
      </c>
      <c r="GC6" s="5">
        <v>47.88</v>
      </c>
    </row>
    <row r="7" spans="1:185">
      <c r="A7" s="67">
        <v>5</v>
      </c>
      <c r="B7" s="13">
        <v>10</v>
      </c>
      <c r="C7" s="5">
        <v>10</v>
      </c>
      <c r="D7" s="5">
        <f t="shared" si="0"/>
        <v>100</v>
      </c>
      <c r="E7" s="5">
        <v>2</v>
      </c>
      <c r="F7" s="5">
        <f t="shared" si="1"/>
        <v>20</v>
      </c>
      <c r="G7" s="5">
        <f t="shared" si="2"/>
        <v>60</v>
      </c>
      <c r="H7" s="13">
        <v>10</v>
      </c>
      <c r="I7" s="5">
        <v>8</v>
      </c>
      <c r="J7" s="5">
        <f t="shared" si="3"/>
        <v>80</v>
      </c>
      <c r="K7" s="60">
        <v>1.05</v>
      </c>
      <c r="L7" s="68">
        <v>10.500000000000002</v>
      </c>
      <c r="M7" s="68">
        <f t="shared" si="4"/>
        <v>45.25</v>
      </c>
      <c r="N7" s="5">
        <v>5672.4900000000016</v>
      </c>
      <c r="O7" s="5">
        <v>-66.332244900000006</v>
      </c>
      <c r="P7" s="5">
        <v>37.667755100000001</v>
      </c>
      <c r="Q7" s="5">
        <v>-63.570308099999998</v>
      </c>
      <c r="R7" s="5">
        <v>40.429691900000002</v>
      </c>
      <c r="T7" s="60">
        <v>1.35</v>
      </c>
      <c r="U7" s="60">
        <v>1.45</v>
      </c>
      <c r="V7" s="60">
        <v>1.3875</v>
      </c>
      <c r="W7" s="60">
        <v>1.2625</v>
      </c>
      <c r="X7" s="60">
        <v>1.2</v>
      </c>
      <c r="Y7" s="60">
        <v>1.1375</v>
      </c>
      <c r="Z7" s="60">
        <v>1.3125</v>
      </c>
      <c r="AA7" s="60">
        <v>1.35</v>
      </c>
      <c r="AB7" s="60">
        <v>1.25</v>
      </c>
      <c r="AC7" s="60">
        <v>1.3125</v>
      </c>
      <c r="AD7" s="60">
        <v>1.5625</v>
      </c>
      <c r="AE7" s="60">
        <v>1.4125000000000001</v>
      </c>
      <c r="AF7" s="60">
        <v>1.2875000000000001</v>
      </c>
      <c r="AG7" s="60">
        <v>1.45</v>
      </c>
      <c r="AH7" s="60">
        <v>1.425</v>
      </c>
      <c r="AI7" s="60">
        <v>1.55</v>
      </c>
      <c r="AJ7" s="60">
        <v>1.5249999999999999</v>
      </c>
      <c r="AK7" s="60">
        <v>1.35</v>
      </c>
      <c r="AL7" s="60">
        <v>1.4125000000000001</v>
      </c>
      <c r="AM7" s="60">
        <v>1.4875</v>
      </c>
      <c r="AN7" s="60">
        <v>1.4624999999999999</v>
      </c>
      <c r="AO7" s="60">
        <v>1.3875</v>
      </c>
      <c r="AP7" s="60">
        <v>1.3125</v>
      </c>
      <c r="AQ7" s="60">
        <v>1.425</v>
      </c>
      <c r="AR7" s="60">
        <v>1.4125000000000001</v>
      </c>
      <c r="AS7" s="60">
        <v>1.3</v>
      </c>
      <c r="AT7" s="60">
        <v>1.425</v>
      </c>
      <c r="AU7" s="60">
        <v>1.4</v>
      </c>
      <c r="AV7" s="60">
        <v>1.4750000000000001</v>
      </c>
      <c r="AW7" s="60">
        <v>1.3</v>
      </c>
      <c r="AX7" s="60">
        <v>1.3</v>
      </c>
      <c r="AY7" s="60">
        <v>1.5125</v>
      </c>
      <c r="AZ7" s="60">
        <v>1.45</v>
      </c>
      <c r="BA7" s="60">
        <v>1.5</v>
      </c>
      <c r="BB7" s="60">
        <v>1.4624999999999999</v>
      </c>
      <c r="BC7" s="60">
        <v>1.4375</v>
      </c>
      <c r="BD7" s="60">
        <v>1.5375000000000001</v>
      </c>
      <c r="BE7" s="60">
        <v>1.3875</v>
      </c>
      <c r="BF7" s="60">
        <v>1.6875</v>
      </c>
      <c r="BG7" s="60">
        <v>1.6</v>
      </c>
      <c r="BH7" s="60">
        <v>1.55</v>
      </c>
      <c r="BI7" s="60">
        <v>1.6625000000000001</v>
      </c>
      <c r="BJ7" s="60">
        <v>1.675</v>
      </c>
      <c r="BK7" s="60">
        <v>1.6125</v>
      </c>
      <c r="BL7" s="60">
        <v>1.6875</v>
      </c>
      <c r="BM7" s="60">
        <v>1.65</v>
      </c>
      <c r="BN7" s="60">
        <v>1.6375</v>
      </c>
      <c r="BO7" s="60">
        <v>1.7250000000000001</v>
      </c>
      <c r="BP7" s="60">
        <v>1.6625000000000001</v>
      </c>
      <c r="BQ7" s="60">
        <v>1.3</v>
      </c>
      <c r="BR7" s="60">
        <v>1.375</v>
      </c>
      <c r="BS7" s="60">
        <v>1.675</v>
      </c>
      <c r="BT7" s="60">
        <v>1.45</v>
      </c>
      <c r="BU7" s="60">
        <v>1.7375</v>
      </c>
      <c r="BV7" s="60">
        <v>1.5</v>
      </c>
      <c r="BW7" s="60">
        <v>1.575</v>
      </c>
      <c r="BX7" s="60">
        <v>1.5249999999999999</v>
      </c>
      <c r="BY7" s="60">
        <v>1.2875000000000001</v>
      </c>
      <c r="BZ7" s="60">
        <v>1.55</v>
      </c>
      <c r="CA7" s="60">
        <v>1.125</v>
      </c>
      <c r="CB7" s="60">
        <v>1.425</v>
      </c>
      <c r="CC7" s="60">
        <v>1.3875</v>
      </c>
      <c r="CD7" s="60">
        <v>1.075</v>
      </c>
      <c r="CE7" s="60">
        <v>1.3374999999999999</v>
      </c>
      <c r="CF7" s="60">
        <v>1.4375</v>
      </c>
      <c r="CG7" s="60">
        <v>1.4125000000000001</v>
      </c>
      <c r="CH7" s="60">
        <v>1.3125</v>
      </c>
      <c r="CI7" s="60">
        <v>1.5</v>
      </c>
      <c r="CJ7" s="60">
        <v>1.4875</v>
      </c>
      <c r="CK7" s="60">
        <v>1.4624999999999999</v>
      </c>
      <c r="CL7" s="60">
        <v>1.45</v>
      </c>
      <c r="CM7" s="60">
        <v>1.2375</v>
      </c>
      <c r="CN7" s="60">
        <v>1.325</v>
      </c>
      <c r="CO7" s="60">
        <v>1.25</v>
      </c>
      <c r="CP7" s="60">
        <v>1.0125</v>
      </c>
      <c r="CQ7" s="60">
        <v>1.2250000000000001</v>
      </c>
      <c r="CR7" s="60">
        <v>1.1375</v>
      </c>
      <c r="CS7" s="60">
        <v>1.2375</v>
      </c>
      <c r="CT7" s="60">
        <v>1.0375000000000001</v>
      </c>
      <c r="CV7" s="62" t="s">
        <v>522</v>
      </c>
      <c r="CW7" s="5">
        <v>500</v>
      </c>
      <c r="CX7" s="63">
        <v>6.8153999999999992E-2</v>
      </c>
      <c r="CY7" s="5">
        <v>8</v>
      </c>
      <c r="DA7" s="5">
        <v>55.14</v>
      </c>
      <c r="DB7" s="5">
        <v>68.400000000000006</v>
      </c>
      <c r="DC7" s="5">
        <v>67.260000000000005</v>
      </c>
      <c r="DD7" s="5">
        <v>71.819999999999993</v>
      </c>
      <c r="DE7" s="5">
        <v>68.97</v>
      </c>
      <c r="DF7" s="5">
        <v>63.27</v>
      </c>
      <c r="DG7" s="5">
        <v>60.42</v>
      </c>
      <c r="DH7" s="5">
        <v>57</v>
      </c>
      <c r="DI7" s="5">
        <v>65.55</v>
      </c>
      <c r="DJ7" s="5">
        <v>67.260000000000005</v>
      </c>
      <c r="DK7" s="5">
        <v>62.13</v>
      </c>
      <c r="DL7" s="5">
        <v>65.55</v>
      </c>
      <c r="DM7" s="5">
        <v>76.95</v>
      </c>
      <c r="DN7" s="5">
        <v>70.11</v>
      </c>
      <c r="DO7" s="5">
        <v>63.84</v>
      </c>
      <c r="DP7" s="5">
        <v>71.819999999999993</v>
      </c>
      <c r="DQ7" s="5">
        <v>70.11</v>
      </c>
      <c r="DR7" s="5">
        <v>76.38</v>
      </c>
      <c r="DS7" s="5">
        <v>75.239999999999995</v>
      </c>
      <c r="DT7" s="5">
        <v>66.69</v>
      </c>
      <c r="DU7" s="5">
        <v>69.540000000000006</v>
      </c>
      <c r="DV7" s="5">
        <v>73.53</v>
      </c>
      <c r="DW7" s="5">
        <v>72.39</v>
      </c>
      <c r="DX7" s="5">
        <v>68.97</v>
      </c>
      <c r="DY7" s="5">
        <v>65.55</v>
      </c>
      <c r="DZ7" s="5">
        <v>70.680000000000007</v>
      </c>
      <c r="EA7" s="5">
        <v>70.11</v>
      </c>
      <c r="EB7" s="5">
        <v>64.98</v>
      </c>
      <c r="EC7" s="5">
        <v>70.680000000000007</v>
      </c>
      <c r="ED7" s="5">
        <v>69.540000000000006</v>
      </c>
      <c r="EE7" s="5">
        <v>72.959999999999994</v>
      </c>
      <c r="EF7" s="5">
        <v>64.98</v>
      </c>
      <c r="EG7" s="5">
        <v>66.12</v>
      </c>
      <c r="EH7" s="5">
        <v>74.67</v>
      </c>
      <c r="EI7" s="5">
        <v>71.819999999999993</v>
      </c>
      <c r="EJ7" s="5">
        <v>74.099999999999994</v>
      </c>
      <c r="EK7" s="5">
        <v>72.39</v>
      </c>
      <c r="EL7" s="5">
        <v>71.25</v>
      </c>
      <c r="EM7" s="5">
        <v>75.81</v>
      </c>
      <c r="EN7" s="5">
        <v>68.400000000000006</v>
      </c>
      <c r="EO7" s="5">
        <v>82.65</v>
      </c>
      <c r="EP7" s="5">
        <v>78.66</v>
      </c>
      <c r="EQ7" s="5">
        <v>76.38</v>
      </c>
      <c r="ER7" s="5">
        <v>81.510000000000005</v>
      </c>
      <c r="ES7" s="5">
        <v>82.08</v>
      </c>
      <c r="ET7" s="5">
        <v>79.23</v>
      </c>
      <c r="EU7" s="5">
        <v>82.65</v>
      </c>
      <c r="EV7" s="5">
        <v>80.94</v>
      </c>
      <c r="EW7" s="5">
        <v>80.37</v>
      </c>
      <c r="EX7" s="5">
        <v>84.36</v>
      </c>
      <c r="EY7" s="5">
        <v>81.510000000000005</v>
      </c>
      <c r="EZ7" s="5">
        <v>64.41</v>
      </c>
      <c r="FA7" s="5">
        <v>67.83</v>
      </c>
      <c r="FB7" s="5">
        <v>82.08</v>
      </c>
      <c r="FC7" s="5">
        <v>71.819999999999993</v>
      </c>
      <c r="FD7" s="5">
        <v>84.93</v>
      </c>
      <c r="FE7" s="5">
        <v>74.099999999999994</v>
      </c>
      <c r="FF7" s="5">
        <v>77.52</v>
      </c>
      <c r="FG7" s="5">
        <v>75.239999999999995</v>
      </c>
      <c r="FH7" s="5">
        <v>63.84</v>
      </c>
      <c r="FI7" s="5">
        <v>76.38</v>
      </c>
      <c r="FJ7" s="5">
        <v>56.43</v>
      </c>
      <c r="FK7" s="5">
        <v>70.680000000000007</v>
      </c>
      <c r="FL7" s="5">
        <v>68.97</v>
      </c>
      <c r="FM7" s="5">
        <v>53.58</v>
      </c>
      <c r="FN7" s="5">
        <v>66.69</v>
      </c>
      <c r="FO7" s="5">
        <v>71.25</v>
      </c>
      <c r="FP7" s="5">
        <v>70.11</v>
      </c>
      <c r="FQ7" s="5">
        <v>65.55</v>
      </c>
      <c r="FR7" s="5">
        <v>74.099999999999994</v>
      </c>
      <c r="FS7" s="5">
        <v>73.53</v>
      </c>
      <c r="FT7" s="5">
        <v>72.39</v>
      </c>
      <c r="FU7" s="5">
        <v>71.819999999999993</v>
      </c>
      <c r="FV7" s="5">
        <v>62.13</v>
      </c>
      <c r="FW7" s="5">
        <v>66.12</v>
      </c>
      <c r="FX7" s="5">
        <v>62.7</v>
      </c>
      <c r="FY7" s="5">
        <v>51.3</v>
      </c>
      <c r="FZ7" s="5">
        <v>61.56</v>
      </c>
      <c r="GA7" s="5">
        <v>57.57</v>
      </c>
      <c r="GB7" s="5">
        <v>62.13</v>
      </c>
      <c r="GC7" s="5">
        <v>53.01</v>
      </c>
    </row>
    <row r="8" spans="1:185">
      <c r="A8" s="67">
        <v>6</v>
      </c>
      <c r="B8" s="13">
        <v>10</v>
      </c>
      <c r="C8" s="5">
        <v>10</v>
      </c>
      <c r="D8" s="5">
        <f t="shared" si="0"/>
        <v>100</v>
      </c>
      <c r="E8" s="5">
        <v>6</v>
      </c>
      <c r="F8" s="5">
        <f t="shared" si="1"/>
        <v>60</v>
      </c>
      <c r="G8" s="5">
        <f t="shared" si="2"/>
        <v>80</v>
      </c>
      <c r="H8" s="13">
        <v>10</v>
      </c>
      <c r="I8" s="5">
        <v>10</v>
      </c>
      <c r="J8" s="5">
        <f t="shared" si="3"/>
        <v>100</v>
      </c>
      <c r="K8" s="60">
        <v>2.0375000000000001</v>
      </c>
      <c r="L8" s="68">
        <v>20.375</v>
      </c>
      <c r="M8" s="68">
        <f t="shared" si="4"/>
        <v>60.1875</v>
      </c>
      <c r="N8" s="75">
        <v>8843.9699999999975</v>
      </c>
      <c r="O8" s="5">
        <v>-60.968298300000001</v>
      </c>
      <c r="P8" s="5">
        <v>43.031701700000006</v>
      </c>
      <c r="Q8" s="5">
        <v>-59.555510699999992</v>
      </c>
      <c r="R8" s="5">
        <v>44.444489300000001</v>
      </c>
      <c r="T8" s="60">
        <v>2.1875</v>
      </c>
      <c r="U8" s="60">
        <v>2.1124999999999998</v>
      </c>
      <c r="V8" s="60">
        <v>2.2000000000000002</v>
      </c>
      <c r="W8" s="60">
        <v>2.2000000000000002</v>
      </c>
      <c r="X8" s="60">
        <v>2.1625000000000001</v>
      </c>
      <c r="Y8" s="60">
        <v>2.0375000000000001</v>
      </c>
      <c r="Z8" s="60">
        <v>2.2875000000000001</v>
      </c>
      <c r="AA8" s="60">
        <v>2.3125</v>
      </c>
      <c r="AB8" s="60">
        <v>2.125</v>
      </c>
      <c r="AC8" s="60">
        <v>1.9125000000000001</v>
      </c>
      <c r="AD8" s="60">
        <v>2.1625000000000001</v>
      </c>
      <c r="AE8" s="60">
        <v>2.2000000000000002</v>
      </c>
      <c r="AF8" s="60">
        <v>2.2124999999999999</v>
      </c>
      <c r="AG8" s="60">
        <v>2.375</v>
      </c>
      <c r="AH8" s="60">
        <v>2.2875000000000001</v>
      </c>
      <c r="AI8" s="60">
        <v>2.1875</v>
      </c>
      <c r="AJ8" s="60">
        <v>2.3125</v>
      </c>
      <c r="AK8" s="60">
        <v>2.2625000000000002</v>
      </c>
      <c r="AL8" s="60">
        <v>2.1375000000000002</v>
      </c>
      <c r="AM8" s="60">
        <v>2.1749999999999998</v>
      </c>
      <c r="AN8" s="60">
        <v>2.2250000000000001</v>
      </c>
      <c r="AO8" s="60">
        <v>2.25</v>
      </c>
      <c r="AP8" s="60">
        <v>2.2374999999999998</v>
      </c>
      <c r="AQ8" s="60">
        <v>2.2250000000000001</v>
      </c>
      <c r="AR8" s="60">
        <v>2.2000000000000002</v>
      </c>
      <c r="AS8" s="60">
        <v>2.25</v>
      </c>
      <c r="AT8" s="60">
        <v>2.2000000000000002</v>
      </c>
      <c r="AU8" s="60">
        <v>2.2374999999999998</v>
      </c>
      <c r="AV8" s="60">
        <v>2.3125</v>
      </c>
      <c r="AW8" s="60">
        <v>2.3125</v>
      </c>
      <c r="AX8" s="60">
        <v>2.3125</v>
      </c>
      <c r="AY8" s="60">
        <v>2.2124999999999999</v>
      </c>
      <c r="AZ8" s="60">
        <v>2.2875000000000001</v>
      </c>
      <c r="BA8" s="60">
        <v>2.3125</v>
      </c>
      <c r="BB8" s="60">
        <v>2.4</v>
      </c>
      <c r="BC8" s="60">
        <v>2.5375000000000001</v>
      </c>
      <c r="BD8" s="60">
        <v>2.5625</v>
      </c>
      <c r="BE8" s="60">
        <v>2.5874999999999999</v>
      </c>
      <c r="BF8" s="60">
        <v>2.65</v>
      </c>
      <c r="BG8" s="60">
        <v>2.6124999999999998</v>
      </c>
      <c r="BH8" s="60">
        <v>2.5375000000000001</v>
      </c>
      <c r="BI8" s="60">
        <v>2.5874999999999999</v>
      </c>
      <c r="BJ8" s="60">
        <v>2.5249999999999999</v>
      </c>
      <c r="BK8" s="60">
        <v>2.4624999999999999</v>
      </c>
      <c r="BL8" s="60">
        <v>2.4375</v>
      </c>
      <c r="BM8" s="60">
        <v>2.6124999999999998</v>
      </c>
      <c r="BN8" s="60">
        <v>2.4750000000000001</v>
      </c>
      <c r="BO8" s="60">
        <v>2.5874999999999999</v>
      </c>
      <c r="BP8" s="60">
        <v>2.5499999999999998</v>
      </c>
      <c r="BQ8" s="60">
        <v>2.625</v>
      </c>
      <c r="BR8" s="60">
        <v>2.4375</v>
      </c>
      <c r="BS8" s="60">
        <v>2.5375000000000001</v>
      </c>
      <c r="BT8" s="60">
        <v>2.4750000000000001</v>
      </c>
      <c r="BU8" s="60">
        <v>2.375</v>
      </c>
      <c r="BV8" s="60">
        <v>2.25</v>
      </c>
      <c r="BW8" s="60">
        <v>2.3875000000000002</v>
      </c>
      <c r="BX8" s="60">
        <v>2.4500000000000002</v>
      </c>
      <c r="BY8" s="60">
        <v>2.4125000000000001</v>
      </c>
      <c r="BZ8" s="60">
        <v>2.25</v>
      </c>
      <c r="CA8" s="60">
        <v>2.1</v>
      </c>
      <c r="CB8" s="60">
        <v>2.4</v>
      </c>
      <c r="CC8" s="60">
        <v>1.8374999999999999</v>
      </c>
      <c r="CD8" s="60">
        <v>2.2999999999999998</v>
      </c>
      <c r="CE8" s="60">
        <v>2.2000000000000002</v>
      </c>
      <c r="CF8" s="60">
        <v>2.2875000000000001</v>
      </c>
      <c r="CG8" s="60">
        <v>1.9750000000000001</v>
      </c>
      <c r="CH8" s="60">
        <v>2.2124999999999999</v>
      </c>
      <c r="CI8" s="60">
        <v>2.0750000000000002</v>
      </c>
      <c r="CJ8" s="60">
        <v>1.75</v>
      </c>
      <c r="CK8" s="60">
        <v>2.2374999999999998</v>
      </c>
      <c r="CL8" s="60">
        <v>2.2124999999999999</v>
      </c>
      <c r="CM8" s="60">
        <v>1.925</v>
      </c>
      <c r="CN8" s="60">
        <v>2.1375000000000002</v>
      </c>
      <c r="CO8" s="60">
        <v>2.1375000000000002</v>
      </c>
      <c r="CP8" s="60">
        <v>2.0874999999999999</v>
      </c>
      <c r="CQ8" s="60">
        <v>2.0874999999999999</v>
      </c>
      <c r="CR8" s="60">
        <v>1.9875</v>
      </c>
      <c r="CS8" s="60">
        <v>2</v>
      </c>
      <c r="CT8" s="60">
        <v>2.0375000000000001</v>
      </c>
      <c r="CV8" s="5" t="s">
        <v>523</v>
      </c>
      <c r="CW8" s="5">
        <v>500</v>
      </c>
      <c r="CX8" s="63">
        <v>7.8128166666666665E-2</v>
      </c>
      <c r="CY8" s="5">
        <v>4</v>
      </c>
      <c r="DA8" s="5">
        <v>100.17</v>
      </c>
      <c r="DB8" s="5">
        <v>110.58</v>
      </c>
      <c r="DC8" s="5">
        <v>105.45</v>
      </c>
      <c r="DD8" s="5">
        <v>102.03</v>
      </c>
      <c r="DE8" s="5">
        <v>106.02</v>
      </c>
      <c r="DF8" s="5">
        <v>106.02</v>
      </c>
      <c r="DG8" s="5">
        <v>104.31</v>
      </c>
      <c r="DH8" s="5">
        <v>98.61</v>
      </c>
      <c r="DI8" s="5">
        <v>110.01</v>
      </c>
      <c r="DJ8" s="5">
        <v>111.15</v>
      </c>
      <c r="DK8" s="5">
        <v>102.6</v>
      </c>
      <c r="DL8" s="5">
        <v>92.34</v>
      </c>
      <c r="DM8" s="5">
        <v>104.31</v>
      </c>
      <c r="DN8" s="5">
        <v>106.02</v>
      </c>
      <c r="DO8" s="5">
        <v>106.59</v>
      </c>
      <c r="DP8" s="5">
        <v>114</v>
      </c>
      <c r="DQ8" s="5">
        <v>110.01</v>
      </c>
      <c r="DR8" s="5">
        <v>105.45</v>
      </c>
      <c r="DS8" s="5">
        <v>111.15</v>
      </c>
      <c r="DT8" s="5">
        <v>108.87</v>
      </c>
      <c r="DU8" s="5">
        <v>103.17</v>
      </c>
      <c r="DV8" s="5">
        <v>104.88</v>
      </c>
      <c r="DW8" s="5">
        <v>107.16</v>
      </c>
      <c r="DX8" s="5">
        <v>108.3</v>
      </c>
      <c r="DY8" s="5">
        <v>107.73</v>
      </c>
      <c r="DZ8" s="5">
        <v>107.16</v>
      </c>
      <c r="EA8" s="5">
        <v>106.02</v>
      </c>
      <c r="EB8" s="5">
        <v>108.3</v>
      </c>
      <c r="EC8" s="5">
        <v>106.02</v>
      </c>
      <c r="ED8" s="5">
        <v>107.73</v>
      </c>
      <c r="EE8" s="5">
        <v>111.15</v>
      </c>
      <c r="EF8" s="5">
        <v>111.15</v>
      </c>
      <c r="EG8" s="5">
        <v>104.88</v>
      </c>
      <c r="EH8" s="5">
        <v>106.59</v>
      </c>
      <c r="EI8" s="5">
        <v>110.01</v>
      </c>
      <c r="EJ8" s="5">
        <v>111.15</v>
      </c>
      <c r="EK8" s="5">
        <v>115.14</v>
      </c>
      <c r="EL8" s="5">
        <v>121.41</v>
      </c>
      <c r="EM8" s="5">
        <v>122.55</v>
      </c>
      <c r="EN8" s="5">
        <v>123.69</v>
      </c>
      <c r="EO8" s="5">
        <v>126.54</v>
      </c>
      <c r="EP8" s="5">
        <v>124.83</v>
      </c>
      <c r="EQ8" s="5">
        <v>121.41</v>
      </c>
      <c r="ER8" s="5">
        <v>123.69</v>
      </c>
      <c r="ES8" s="5">
        <v>120.84</v>
      </c>
      <c r="ET8" s="5">
        <v>117.99</v>
      </c>
      <c r="EU8" s="5">
        <v>116.28</v>
      </c>
      <c r="EV8" s="5">
        <v>124.83</v>
      </c>
      <c r="EW8" s="5">
        <v>117.99</v>
      </c>
      <c r="EX8" s="5">
        <v>123.69</v>
      </c>
      <c r="EY8" s="5">
        <v>121.98</v>
      </c>
      <c r="EZ8" s="5">
        <v>125.4</v>
      </c>
      <c r="FA8" s="5">
        <v>116.85</v>
      </c>
      <c r="FB8" s="5">
        <v>121.41</v>
      </c>
      <c r="FC8" s="5">
        <v>118.56</v>
      </c>
      <c r="FD8" s="5">
        <v>114</v>
      </c>
      <c r="FE8" s="5">
        <v>107.73</v>
      </c>
      <c r="FF8" s="5">
        <v>114.57</v>
      </c>
      <c r="FG8" s="5">
        <v>117.42</v>
      </c>
      <c r="FH8" s="5">
        <v>115.71</v>
      </c>
      <c r="FI8" s="5">
        <v>108.3</v>
      </c>
      <c r="FJ8" s="5">
        <v>100.89</v>
      </c>
      <c r="FK8" s="5">
        <v>115.14</v>
      </c>
      <c r="FL8" s="5">
        <v>88.92</v>
      </c>
      <c r="FM8" s="5">
        <v>110.58</v>
      </c>
      <c r="FN8" s="5">
        <v>106.02</v>
      </c>
      <c r="FO8" s="5">
        <v>110.01</v>
      </c>
      <c r="FP8" s="5">
        <v>95.19</v>
      </c>
      <c r="FQ8" s="5">
        <v>106.02</v>
      </c>
      <c r="FR8" s="5">
        <v>99.75</v>
      </c>
      <c r="FS8" s="5">
        <v>84.36</v>
      </c>
      <c r="FT8" s="5">
        <v>107.73</v>
      </c>
      <c r="FU8" s="5">
        <v>106.59</v>
      </c>
      <c r="FV8" s="5">
        <v>92.91</v>
      </c>
      <c r="FW8" s="5">
        <v>103.17</v>
      </c>
      <c r="FX8" s="5">
        <v>103.17</v>
      </c>
      <c r="FY8" s="5">
        <v>100.89</v>
      </c>
      <c r="FZ8" s="5">
        <v>100.89</v>
      </c>
      <c r="GA8" s="5">
        <v>96.33</v>
      </c>
      <c r="GB8" s="5">
        <v>96.9</v>
      </c>
      <c r="GC8" s="5">
        <v>98.61</v>
      </c>
    </row>
    <row r="9" spans="1:185">
      <c r="A9" s="67">
        <v>7</v>
      </c>
      <c r="B9" s="13">
        <v>10</v>
      </c>
      <c r="C9" s="5">
        <v>8</v>
      </c>
      <c r="D9" s="5">
        <f t="shared" si="0"/>
        <v>80</v>
      </c>
      <c r="E9" s="5">
        <v>4</v>
      </c>
      <c r="F9" s="5">
        <f t="shared" si="1"/>
        <v>50</v>
      </c>
      <c r="G9" s="5">
        <f t="shared" si="2"/>
        <v>65</v>
      </c>
      <c r="H9" s="13">
        <v>10</v>
      </c>
      <c r="I9" s="5">
        <v>9</v>
      </c>
      <c r="J9" s="5">
        <f t="shared" si="3"/>
        <v>90</v>
      </c>
      <c r="K9" s="60">
        <v>1.65</v>
      </c>
      <c r="L9" s="68">
        <v>16.499999999999996</v>
      </c>
      <c r="M9" s="68">
        <f t="shared" si="4"/>
        <v>53.25</v>
      </c>
      <c r="N9" s="75">
        <v>7632.1500000000033</v>
      </c>
      <c r="O9" s="5">
        <v>-61.188431899999991</v>
      </c>
      <c r="P9" s="5">
        <v>42.811568100000002</v>
      </c>
      <c r="Q9" s="5">
        <v>-62.074870099999998</v>
      </c>
      <c r="R9" s="5">
        <v>41.925129899999988</v>
      </c>
      <c r="T9" s="60">
        <v>1.825</v>
      </c>
      <c r="U9" s="60">
        <v>1.9</v>
      </c>
      <c r="V9" s="60">
        <v>1.7749999999999999</v>
      </c>
      <c r="W9" s="60">
        <v>1.8</v>
      </c>
      <c r="X9" s="60">
        <v>1.5125</v>
      </c>
      <c r="Y9" s="60">
        <v>1.9125000000000001</v>
      </c>
      <c r="Z9" s="60">
        <v>1.7250000000000001</v>
      </c>
      <c r="AA9" s="60">
        <v>1.7124999999999999</v>
      </c>
      <c r="AB9" s="60">
        <v>1.8</v>
      </c>
      <c r="AC9" s="60">
        <v>1.8125</v>
      </c>
      <c r="AD9" s="60">
        <v>1.95</v>
      </c>
      <c r="AE9" s="60">
        <v>2.0750000000000002</v>
      </c>
      <c r="AF9" s="60">
        <v>1.9875</v>
      </c>
      <c r="AG9" s="60">
        <v>2.0750000000000002</v>
      </c>
      <c r="AH9" s="60">
        <v>2.0874999999999999</v>
      </c>
      <c r="AI9" s="60">
        <v>2</v>
      </c>
      <c r="AJ9" s="60">
        <v>1.5125</v>
      </c>
      <c r="AK9" s="60">
        <v>1.925</v>
      </c>
      <c r="AL9" s="60">
        <v>1.95</v>
      </c>
      <c r="AM9" s="60">
        <v>1.925</v>
      </c>
      <c r="AN9" s="60">
        <v>1.9</v>
      </c>
      <c r="AO9" s="60">
        <v>2.0625</v>
      </c>
      <c r="AP9" s="60">
        <v>1.85</v>
      </c>
      <c r="AQ9" s="60">
        <v>1.9</v>
      </c>
      <c r="AR9" s="60">
        <v>1.7749999999999999</v>
      </c>
      <c r="AS9" s="60">
        <v>1.9375</v>
      </c>
      <c r="AT9" s="60">
        <v>1.7749999999999999</v>
      </c>
      <c r="AU9" s="60">
        <v>1.7875000000000001</v>
      </c>
      <c r="AV9" s="60">
        <v>1.8374999999999999</v>
      </c>
      <c r="AW9" s="60">
        <v>1.9375</v>
      </c>
      <c r="AX9" s="60">
        <v>1.9375</v>
      </c>
      <c r="AY9" s="60">
        <v>1.8625</v>
      </c>
      <c r="AZ9" s="60">
        <v>1.9875</v>
      </c>
      <c r="BA9" s="60">
        <v>2</v>
      </c>
      <c r="BB9" s="60">
        <v>2.0750000000000002</v>
      </c>
      <c r="BC9" s="60">
        <v>2</v>
      </c>
      <c r="BD9" s="60">
        <v>2.1375000000000002</v>
      </c>
      <c r="BE9" s="60">
        <v>2.15</v>
      </c>
      <c r="BF9" s="60">
        <v>2.25</v>
      </c>
      <c r="BG9" s="60">
        <v>2.2374999999999998</v>
      </c>
      <c r="BH9" s="60">
        <v>2.0125000000000002</v>
      </c>
      <c r="BI9" s="60">
        <v>2.0499999999999998</v>
      </c>
      <c r="BJ9" s="60">
        <v>2.0249999999999999</v>
      </c>
      <c r="BK9" s="60">
        <v>2.2250000000000001</v>
      </c>
      <c r="BL9" s="60">
        <v>2.2124999999999999</v>
      </c>
      <c r="BM9" s="60">
        <v>2.1749999999999998</v>
      </c>
      <c r="BN9" s="60">
        <v>2.1375000000000002</v>
      </c>
      <c r="BO9" s="60">
        <v>2.2124999999999999</v>
      </c>
      <c r="BP9" s="60">
        <v>2.1625000000000001</v>
      </c>
      <c r="BQ9" s="60">
        <v>2.1875</v>
      </c>
      <c r="BR9" s="60">
        <v>2.1124999999999998</v>
      </c>
      <c r="BS9" s="60">
        <v>2.2000000000000002</v>
      </c>
      <c r="BT9" s="60">
        <v>2.1625000000000001</v>
      </c>
      <c r="BU9" s="60">
        <v>2.2250000000000001</v>
      </c>
      <c r="BV9" s="60">
        <v>2.0874999999999999</v>
      </c>
      <c r="BW9" s="60">
        <v>1.9875</v>
      </c>
      <c r="BX9" s="60">
        <v>2.0375000000000001</v>
      </c>
      <c r="BY9" s="60">
        <v>1.9375</v>
      </c>
      <c r="BZ9" s="60">
        <v>1.95</v>
      </c>
      <c r="CA9" s="60">
        <v>1.925</v>
      </c>
      <c r="CB9" s="60">
        <v>1.85</v>
      </c>
      <c r="CC9" s="60">
        <v>1.8875</v>
      </c>
      <c r="CD9" s="60">
        <v>1.9125000000000001</v>
      </c>
      <c r="CE9" s="60">
        <v>1.9750000000000001</v>
      </c>
      <c r="CF9" s="60">
        <v>2.1124999999999998</v>
      </c>
      <c r="CG9" s="60">
        <v>1.95</v>
      </c>
      <c r="CH9" s="60">
        <v>1.7124999999999999</v>
      </c>
      <c r="CI9" s="60">
        <v>2.0125000000000002</v>
      </c>
      <c r="CJ9" s="60">
        <v>1.9</v>
      </c>
      <c r="CK9" s="60">
        <v>1.8125</v>
      </c>
      <c r="CL9" s="60">
        <v>1.8875</v>
      </c>
      <c r="CM9" s="60">
        <v>2.0125000000000002</v>
      </c>
      <c r="CN9" s="60">
        <v>1.4624999999999999</v>
      </c>
      <c r="CO9" s="60">
        <v>1.8</v>
      </c>
      <c r="CP9" s="60">
        <v>1.8125</v>
      </c>
      <c r="CQ9" s="60">
        <v>1.7250000000000001</v>
      </c>
      <c r="CR9" s="60">
        <v>1.7124999999999999</v>
      </c>
      <c r="CS9" s="60">
        <v>1.7375</v>
      </c>
      <c r="CT9" s="60">
        <v>1.675</v>
      </c>
      <c r="CV9" s="5" t="s">
        <v>524</v>
      </c>
      <c r="CW9" s="5">
        <v>500</v>
      </c>
      <c r="CX9" s="63">
        <v>6.9826750000000007E-2</v>
      </c>
      <c r="CY9" s="5">
        <v>6</v>
      </c>
      <c r="DA9" s="5">
        <v>82.5</v>
      </c>
      <c r="DB9" s="5">
        <v>95.19</v>
      </c>
      <c r="DC9" s="5">
        <v>88.92</v>
      </c>
      <c r="DD9" s="5">
        <v>92.34</v>
      </c>
      <c r="DE9" s="5">
        <v>86.64</v>
      </c>
      <c r="DF9" s="5">
        <v>87.78</v>
      </c>
      <c r="DG9" s="5">
        <v>73.53</v>
      </c>
      <c r="DH9" s="5">
        <v>92.91</v>
      </c>
      <c r="DI9" s="5">
        <v>84.36</v>
      </c>
      <c r="DJ9" s="5">
        <v>83.22</v>
      </c>
      <c r="DK9" s="5">
        <v>87.78</v>
      </c>
      <c r="DL9" s="5">
        <v>88.35</v>
      </c>
      <c r="DM9" s="5">
        <v>94.62</v>
      </c>
      <c r="DN9" s="5">
        <v>100.32</v>
      </c>
      <c r="DO9" s="5">
        <v>96.33</v>
      </c>
      <c r="DP9" s="5">
        <v>100.32</v>
      </c>
      <c r="DQ9" s="5">
        <v>100.89</v>
      </c>
      <c r="DR9" s="5">
        <v>96.9</v>
      </c>
      <c r="DS9" s="5">
        <v>74.099999999999994</v>
      </c>
      <c r="DT9" s="5">
        <v>93.48</v>
      </c>
      <c r="DU9" s="5">
        <v>94.62</v>
      </c>
      <c r="DV9" s="5">
        <v>93.48</v>
      </c>
      <c r="DW9" s="5">
        <v>92.34</v>
      </c>
      <c r="DX9" s="5">
        <v>99.75</v>
      </c>
      <c r="DY9" s="5">
        <v>90.06</v>
      </c>
      <c r="DZ9" s="5">
        <v>92.34</v>
      </c>
      <c r="EA9" s="5">
        <v>86.64</v>
      </c>
      <c r="EB9" s="5">
        <v>94.05</v>
      </c>
      <c r="EC9" s="5">
        <v>86.64</v>
      </c>
      <c r="ED9" s="5">
        <v>87.21</v>
      </c>
      <c r="EE9" s="5">
        <v>89.49</v>
      </c>
      <c r="EF9" s="5">
        <v>94.05</v>
      </c>
      <c r="EG9" s="5">
        <v>95.76</v>
      </c>
      <c r="EH9" s="5">
        <v>90.63</v>
      </c>
      <c r="EI9" s="5">
        <v>96.33</v>
      </c>
      <c r="EJ9" s="5">
        <v>96.9</v>
      </c>
      <c r="EK9" s="5">
        <v>100.32</v>
      </c>
      <c r="EL9" s="5">
        <v>96.9</v>
      </c>
      <c r="EM9" s="5">
        <v>103.17</v>
      </c>
      <c r="EN9" s="5">
        <v>103.74</v>
      </c>
      <c r="EO9" s="5">
        <v>108.3</v>
      </c>
      <c r="EP9" s="5">
        <v>107.73</v>
      </c>
      <c r="EQ9" s="5">
        <v>97.47</v>
      </c>
      <c r="ER9" s="5">
        <v>99.18</v>
      </c>
      <c r="ES9" s="5">
        <v>98.04</v>
      </c>
      <c r="ET9" s="5">
        <v>107.16</v>
      </c>
      <c r="EU9" s="5">
        <v>106.59</v>
      </c>
      <c r="EV9" s="5">
        <v>104.88</v>
      </c>
      <c r="EW9" s="5">
        <v>103.17</v>
      </c>
      <c r="EX9" s="5">
        <v>106.59</v>
      </c>
      <c r="EY9" s="5">
        <v>104.31</v>
      </c>
      <c r="EZ9" s="5">
        <v>105.45</v>
      </c>
      <c r="FA9" s="5">
        <v>102.03</v>
      </c>
      <c r="FB9" s="5">
        <v>106.02</v>
      </c>
      <c r="FC9" s="5">
        <v>104.31</v>
      </c>
      <c r="FD9" s="5">
        <v>107.16</v>
      </c>
      <c r="FE9" s="5">
        <v>100.89</v>
      </c>
      <c r="FF9" s="5">
        <v>96.33</v>
      </c>
      <c r="FG9" s="5">
        <v>98.61</v>
      </c>
      <c r="FH9" s="5">
        <v>94.05</v>
      </c>
      <c r="FI9" s="5">
        <v>94.62</v>
      </c>
      <c r="FJ9" s="5">
        <v>93.48</v>
      </c>
      <c r="FK9" s="5">
        <v>90.06</v>
      </c>
      <c r="FL9" s="5">
        <v>91.77</v>
      </c>
      <c r="FM9" s="5">
        <v>92.91</v>
      </c>
      <c r="FN9" s="5">
        <v>95.76</v>
      </c>
      <c r="FO9" s="5">
        <v>102.03</v>
      </c>
      <c r="FP9" s="5">
        <v>94.05</v>
      </c>
      <c r="FQ9" s="5">
        <v>83.79</v>
      </c>
      <c r="FR9" s="5">
        <v>97.47</v>
      </c>
      <c r="FS9" s="5">
        <v>92.34</v>
      </c>
      <c r="FT9" s="5">
        <v>88.35</v>
      </c>
      <c r="FU9" s="5">
        <v>91.77</v>
      </c>
      <c r="FV9" s="5">
        <v>97.47</v>
      </c>
      <c r="FW9" s="5">
        <v>71.819999999999993</v>
      </c>
      <c r="FX9" s="5">
        <v>87.78</v>
      </c>
      <c r="FY9" s="5">
        <v>88.35</v>
      </c>
      <c r="FZ9" s="5">
        <v>84.36</v>
      </c>
      <c r="GA9" s="5">
        <v>83.79</v>
      </c>
      <c r="GB9" s="5">
        <v>84.93</v>
      </c>
      <c r="GC9" s="5">
        <v>82.08</v>
      </c>
    </row>
    <row r="10" spans="1:185">
      <c r="A10" s="67">
        <v>8</v>
      </c>
      <c r="B10" s="13">
        <v>10</v>
      </c>
      <c r="C10" s="5">
        <v>10</v>
      </c>
      <c r="D10" s="5">
        <f t="shared" si="0"/>
        <v>100</v>
      </c>
      <c r="E10" s="5">
        <v>3</v>
      </c>
      <c r="F10" s="5">
        <f t="shared" si="1"/>
        <v>30</v>
      </c>
      <c r="G10" s="5">
        <f t="shared" si="2"/>
        <v>65</v>
      </c>
      <c r="H10" s="13">
        <v>10</v>
      </c>
      <c r="I10" s="5">
        <v>10</v>
      </c>
      <c r="J10" s="5">
        <f t="shared" si="3"/>
        <v>100</v>
      </c>
      <c r="K10" s="60">
        <v>1.1000000000000001</v>
      </c>
      <c r="L10" s="68">
        <v>11.000000000000002</v>
      </c>
      <c r="M10" s="68">
        <f t="shared" si="4"/>
        <v>55.5</v>
      </c>
      <c r="N10" s="5">
        <v>5295.1500000000005</v>
      </c>
      <c r="O10" s="5">
        <v>-63.337494099999994</v>
      </c>
      <c r="P10" s="5">
        <v>40.662505900000006</v>
      </c>
      <c r="Q10" s="5">
        <v>-60.968155100000004</v>
      </c>
      <c r="R10" s="5">
        <v>43.031844900000003</v>
      </c>
      <c r="T10" s="60">
        <v>1.2250000000000001</v>
      </c>
      <c r="U10" s="60">
        <v>1.25</v>
      </c>
      <c r="V10" s="60">
        <v>1.3875</v>
      </c>
      <c r="W10" s="60">
        <v>0.91249999999999998</v>
      </c>
      <c r="X10" s="60">
        <v>1.2875000000000001</v>
      </c>
      <c r="Y10" s="60">
        <v>1.2250000000000001</v>
      </c>
      <c r="Z10" s="60">
        <v>1.3125</v>
      </c>
      <c r="AA10" s="60">
        <v>1.2250000000000001</v>
      </c>
      <c r="AB10" s="60">
        <v>1.325</v>
      </c>
      <c r="AC10" s="60">
        <v>1.1875</v>
      </c>
      <c r="AD10" s="60">
        <v>1.2</v>
      </c>
      <c r="AE10" s="60">
        <v>1.3</v>
      </c>
      <c r="AF10" s="60">
        <v>1.3374999999999999</v>
      </c>
      <c r="AG10" s="60">
        <v>1.175</v>
      </c>
      <c r="AH10" s="60">
        <v>1.2875000000000001</v>
      </c>
      <c r="AI10" s="60">
        <v>1.25</v>
      </c>
      <c r="AJ10" s="60">
        <v>1.1375</v>
      </c>
      <c r="AK10" s="60">
        <v>0.98750000000000004</v>
      </c>
      <c r="AL10" s="60">
        <v>1.1625000000000001</v>
      </c>
      <c r="AM10" s="60">
        <v>1.2375</v>
      </c>
      <c r="AN10" s="60">
        <v>1.325</v>
      </c>
      <c r="AO10" s="60">
        <v>1.4</v>
      </c>
      <c r="AP10" s="60">
        <v>1.25</v>
      </c>
      <c r="AQ10" s="60">
        <v>1.2250000000000001</v>
      </c>
      <c r="AR10" s="60">
        <v>1.3125</v>
      </c>
      <c r="AS10" s="60">
        <v>1.2625</v>
      </c>
      <c r="AT10" s="60">
        <v>1.2625</v>
      </c>
      <c r="AU10" s="60">
        <v>1.325</v>
      </c>
      <c r="AV10" s="60">
        <v>1.2749999999999999</v>
      </c>
      <c r="AW10" s="60">
        <v>1.175</v>
      </c>
      <c r="AX10" s="60">
        <v>1.175</v>
      </c>
      <c r="AY10" s="60">
        <v>1.3125</v>
      </c>
      <c r="AZ10" s="60">
        <v>1.4125000000000001</v>
      </c>
      <c r="BA10" s="60">
        <v>1.3875</v>
      </c>
      <c r="BB10" s="60">
        <v>1.55</v>
      </c>
      <c r="BC10" s="60">
        <v>1.5874999999999999</v>
      </c>
      <c r="BD10" s="60">
        <v>1.6875</v>
      </c>
      <c r="BE10" s="60">
        <v>1.825</v>
      </c>
      <c r="BF10" s="60">
        <v>1.5874999999999999</v>
      </c>
      <c r="BG10" s="60">
        <v>1.6125</v>
      </c>
      <c r="BH10" s="60">
        <v>1.4375</v>
      </c>
      <c r="BI10" s="60">
        <v>1.6125</v>
      </c>
      <c r="BJ10" s="60">
        <v>1.575</v>
      </c>
      <c r="BK10" s="60">
        <v>1.575</v>
      </c>
      <c r="BL10" s="60">
        <v>1.65</v>
      </c>
      <c r="BM10" s="60">
        <v>1.6625000000000001</v>
      </c>
      <c r="BN10" s="60">
        <v>1.4750000000000001</v>
      </c>
      <c r="BO10" s="60">
        <v>1.375</v>
      </c>
      <c r="BP10" s="60">
        <v>1.6375</v>
      </c>
      <c r="BQ10" s="60">
        <v>1.4750000000000001</v>
      </c>
      <c r="BR10" s="60">
        <v>1.4125000000000001</v>
      </c>
      <c r="BS10" s="60">
        <v>1.4125000000000001</v>
      </c>
      <c r="BT10" s="60">
        <v>1.2375</v>
      </c>
      <c r="BU10" s="60">
        <v>1.4624999999999999</v>
      </c>
      <c r="BV10" s="60">
        <v>1.2625</v>
      </c>
      <c r="BW10" s="60">
        <v>1.1625000000000001</v>
      </c>
      <c r="BX10" s="60">
        <v>1.125</v>
      </c>
      <c r="BY10" s="60">
        <v>1.2124999999999999</v>
      </c>
      <c r="BZ10" s="60">
        <v>1.075</v>
      </c>
      <c r="CA10" s="60">
        <v>1.2</v>
      </c>
      <c r="CB10" s="60">
        <v>1.125</v>
      </c>
      <c r="CC10" s="60">
        <v>1.2749999999999999</v>
      </c>
      <c r="CD10" s="60">
        <v>1.3625</v>
      </c>
      <c r="CE10" s="60">
        <v>1.2625</v>
      </c>
      <c r="CF10" s="60">
        <v>1.35</v>
      </c>
      <c r="CG10" s="60">
        <v>1.4</v>
      </c>
      <c r="CH10" s="60">
        <v>1.425</v>
      </c>
      <c r="CI10" s="60">
        <v>1.075</v>
      </c>
      <c r="CJ10" s="60">
        <v>1.2625</v>
      </c>
      <c r="CK10" s="60">
        <v>1.2375</v>
      </c>
      <c r="CL10" s="60">
        <v>1.3</v>
      </c>
      <c r="CM10" s="60">
        <v>1.1375</v>
      </c>
      <c r="CN10" s="60">
        <v>1.25</v>
      </c>
      <c r="CO10" s="60">
        <v>1.2250000000000001</v>
      </c>
      <c r="CP10" s="60">
        <v>1.175</v>
      </c>
      <c r="CQ10" s="60">
        <v>1.0625</v>
      </c>
      <c r="CR10" s="60">
        <v>1.05</v>
      </c>
      <c r="CS10" s="60">
        <v>1.1125</v>
      </c>
      <c r="CT10" s="60">
        <v>1.0125</v>
      </c>
      <c r="CV10" s="5" t="s">
        <v>525</v>
      </c>
      <c r="CW10" s="5">
        <v>500</v>
      </c>
      <c r="CX10" s="63">
        <v>7.4274666666666669E-2</v>
      </c>
      <c r="CY10" s="5">
        <v>7</v>
      </c>
      <c r="DA10" s="5">
        <v>57.42</v>
      </c>
      <c r="DB10" s="5">
        <v>66.12</v>
      </c>
      <c r="DC10" s="5">
        <v>61.56</v>
      </c>
      <c r="DD10" s="5">
        <v>62.7</v>
      </c>
      <c r="DE10" s="5">
        <v>68.97</v>
      </c>
      <c r="DF10" s="5">
        <v>46.74</v>
      </c>
      <c r="DG10" s="5">
        <v>63.84</v>
      </c>
      <c r="DH10" s="5">
        <v>61.56</v>
      </c>
      <c r="DI10" s="5">
        <v>65.55</v>
      </c>
      <c r="DJ10" s="5">
        <v>61.56</v>
      </c>
      <c r="DK10" s="5">
        <v>66.12</v>
      </c>
      <c r="DL10" s="5">
        <v>59.85</v>
      </c>
      <c r="DM10" s="5">
        <v>59.85</v>
      </c>
      <c r="DN10" s="5">
        <v>64.98</v>
      </c>
      <c r="DO10" s="5">
        <v>66.69</v>
      </c>
      <c r="DP10" s="5">
        <v>58.71</v>
      </c>
      <c r="DQ10" s="5">
        <v>64.41</v>
      </c>
      <c r="DR10" s="5">
        <v>62.7</v>
      </c>
      <c r="DS10" s="5">
        <v>57</v>
      </c>
      <c r="DT10" s="5">
        <v>49.59</v>
      </c>
      <c r="DU10" s="5">
        <v>58.71</v>
      </c>
      <c r="DV10" s="5">
        <v>62.13</v>
      </c>
      <c r="DW10" s="5">
        <v>66.12</v>
      </c>
      <c r="DX10" s="5">
        <v>69.540000000000006</v>
      </c>
      <c r="DY10" s="5">
        <v>62.7</v>
      </c>
      <c r="DZ10" s="5">
        <v>61.56</v>
      </c>
      <c r="EA10" s="5">
        <v>65.55</v>
      </c>
      <c r="EB10" s="5">
        <v>63.27</v>
      </c>
      <c r="EC10" s="5">
        <v>63.27</v>
      </c>
      <c r="ED10" s="5">
        <v>66.12</v>
      </c>
      <c r="EE10" s="5">
        <v>63.84</v>
      </c>
      <c r="EF10" s="5">
        <v>59.28</v>
      </c>
      <c r="EG10" s="5">
        <v>69.540000000000006</v>
      </c>
      <c r="EH10" s="5">
        <v>65.55</v>
      </c>
      <c r="EI10" s="5">
        <v>70.11</v>
      </c>
      <c r="EJ10" s="5">
        <v>68.97</v>
      </c>
      <c r="EK10" s="5">
        <v>76.38</v>
      </c>
      <c r="EL10" s="5">
        <v>78.09</v>
      </c>
      <c r="EM10" s="5">
        <v>82.65</v>
      </c>
      <c r="EN10" s="5">
        <v>88.92</v>
      </c>
      <c r="EO10" s="5">
        <v>78.09</v>
      </c>
      <c r="EP10" s="5">
        <v>79.23</v>
      </c>
      <c r="EQ10" s="5">
        <v>71.25</v>
      </c>
      <c r="ER10" s="5">
        <v>79.23</v>
      </c>
      <c r="ES10" s="5">
        <v>77.52</v>
      </c>
      <c r="ET10" s="5">
        <v>77.52</v>
      </c>
      <c r="EU10" s="5">
        <v>80.94</v>
      </c>
      <c r="EV10" s="5">
        <v>81.510000000000005</v>
      </c>
      <c r="EW10" s="5">
        <v>72.959999999999994</v>
      </c>
      <c r="EX10" s="5">
        <v>67.83</v>
      </c>
      <c r="EY10" s="5">
        <v>80.37</v>
      </c>
      <c r="EZ10" s="5">
        <v>72.959999999999994</v>
      </c>
      <c r="FA10" s="5">
        <v>70.11</v>
      </c>
      <c r="FB10" s="5">
        <v>69.540000000000006</v>
      </c>
      <c r="FC10" s="5">
        <v>61.56</v>
      </c>
      <c r="FD10" s="5">
        <v>72.39</v>
      </c>
      <c r="FE10" s="5">
        <v>63.27</v>
      </c>
      <c r="FF10" s="5">
        <v>58.14</v>
      </c>
      <c r="FG10" s="5">
        <v>56.43</v>
      </c>
      <c r="FH10" s="5">
        <v>60.99</v>
      </c>
      <c r="FI10" s="5">
        <v>54.72</v>
      </c>
      <c r="FJ10" s="5">
        <v>60.42</v>
      </c>
      <c r="FK10" s="5">
        <v>57</v>
      </c>
      <c r="FL10" s="5">
        <v>63.27</v>
      </c>
      <c r="FM10" s="5">
        <v>67.83</v>
      </c>
      <c r="FN10" s="5">
        <v>63.27</v>
      </c>
      <c r="FO10" s="5">
        <v>67.260000000000005</v>
      </c>
      <c r="FP10" s="5">
        <v>69.540000000000006</v>
      </c>
      <c r="FQ10" s="5">
        <v>70.680000000000007</v>
      </c>
      <c r="FR10" s="5">
        <v>54.15</v>
      </c>
      <c r="FS10" s="5">
        <v>63.27</v>
      </c>
      <c r="FT10" s="5">
        <v>62.13</v>
      </c>
      <c r="FU10" s="5">
        <v>64.98</v>
      </c>
      <c r="FV10" s="5">
        <v>57.57</v>
      </c>
      <c r="FW10" s="5">
        <v>62.7</v>
      </c>
      <c r="FX10" s="5">
        <v>61.56</v>
      </c>
      <c r="FY10" s="5">
        <v>59.28</v>
      </c>
      <c r="FZ10" s="5">
        <v>53.58</v>
      </c>
      <c r="GA10" s="5">
        <v>53.58</v>
      </c>
      <c r="GB10" s="5">
        <v>56.43</v>
      </c>
      <c r="GC10" s="5">
        <v>51.87</v>
      </c>
    </row>
    <row r="11" spans="1:185">
      <c r="A11" s="67">
        <v>9</v>
      </c>
      <c r="B11" s="13">
        <v>10</v>
      </c>
      <c r="C11" s="5">
        <v>10</v>
      </c>
      <c r="D11" s="5">
        <f t="shared" si="0"/>
        <v>100</v>
      </c>
      <c r="E11" s="5">
        <v>3</v>
      </c>
      <c r="F11" s="5">
        <f t="shared" si="1"/>
        <v>30</v>
      </c>
      <c r="G11" s="5">
        <f t="shared" si="2"/>
        <v>65</v>
      </c>
      <c r="H11" s="13">
        <v>10</v>
      </c>
      <c r="I11" s="5">
        <v>7</v>
      </c>
      <c r="J11" s="5">
        <f t="shared" si="3"/>
        <v>70</v>
      </c>
      <c r="K11" s="60">
        <v>1.0375000000000001</v>
      </c>
      <c r="L11" s="68">
        <v>10.375</v>
      </c>
      <c r="M11" s="68">
        <f t="shared" si="4"/>
        <v>40.1875</v>
      </c>
      <c r="N11" s="5">
        <v>5039.2199999999966</v>
      </c>
      <c r="O11" s="5">
        <v>-59.312904550000006</v>
      </c>
      <c r="P11" s="5">
        <v>44.687095450000001</v>
      </c>
      <c r="Q11" s="5">
        <v>-60.138236800000001</v>
      </c>
      <c r="R11" s="5">
        <v>43.861763199999999</v>
      </c>
      <c r="T11" s="60">
        <v>1.175</v>
      </c>
      <c r="U11" s="60">
        <v>1.075</v>
      </c>
      <c r="V11" s="60">
        <v>1.2625</v>
      </c>
      <c r="W11" s="60">
        <v>1</v>
      </c>
      <c r="X11" s="60">
        <v>1.05</v>
      </c>
      <c r="Y11" s="60">
        <v>1.075</v>
      </c>
      <c r="Z11" s="60">
        <v>1.05</v>
      </c>
      <c r="AA11" s="60">
        <v>1.0625</v>
      </c>
      <c r="AB11" s="60">
        <v>1.25</v>
      </c>
      <c r="AC11" s="60">
        <v>1.1625000000000001</v>
      </c>
      <c r="AD11" s="60">
        <v>1.2875000000000001</v>
      </c>
      <c r="AE11" s="60">
        <v>1.125</v>
      </c>
      <c r="AF11" s="60">
        <v>1.1875</v>
      </c>
      <c r="AG11" s="60">
        <v>1.25</v>
      </c>
      <c r="AH11" s="60">
        <v>1.2</v>
      </c>
      <c r="AI11" s="60">
        <v>1.2250000000000001</v>
      </c>
      <c r="AJ11" s="60">
        <v>1.2250000000000001</v>
      </c>
      <c r="AK11" s="60">
        <v>1.1499999999999999</v>
      </c>
      <c r="AL11" s="60">
        <v>1.125</v>
      </c>
      <c r="AM11" s="60">
        <v>1.125</v>
      </c>
      <c r="AN11" s="60">
        <v>1.2250000000000001</v>
      </c>
      <c r="AO11" s="60">
        <v>1.2250000000000001</v>
      </c>
      <c r="AP11" s="60">
        <v>1.325</v>
      </c>
      <c r="AQ11" s="60">
        <v>1.175</v>
      </c>
      <c r="AR11" s="60">
        <v>1.075</v>
      </c>
      <c r="AS11" s="60">
        <v>1.125</v>
      </c>
      <c r="AT11" s="60">
        <v>1.0874999999999999</v>
      </c>
      <c r="AU11" s="60">
        <v>1.1000000000000001</v>
      </c>
      <c r="AV11" s="60">
        <v>1.1125</v>
      </c>
      <c r="AW11" s="60">
        <v>1.2</v>
      </c>
      <c r="AX11" s="60">
        <v>1.2</v>
      </c>
      <c r="AY11" s="60">
        <v>1.3875</v>
      </c>
      <c r="AZ11" s="60">
        <v>1.2875000000000001</v>
      </c>
      <c r="BA11" s="60">
        <v>1.4</v>
      </c>
      <c r="BB11" s="60">
        <v>1.55</v>
      </c>
      <c r="BC11" s="60">
        <v>1.4750000000000001</v>
      </c>
      <c r="BD11" s="60">
        <v>1.6</v>
      </c>
      <c r="BE11" s="60">
        <v>1.45</v>
      </c>
      <c r="BF11" s="60">
        <v>1.5375000000000001</v>
      </c>
      <c r="BG11" s="60">
        <v>1.5625</v>
      </c>
      <c r="BH11" s="60">
        <v>1.2625</v>
      </c>
      <c r="BI11" s="60">
        <v>1.4125000000000001</v>
      </c>
      <c r="BJ11" s="60">
        <v>1.425</v>
      </c>
      <c r="BK11" s="60">
        <v>1.5249999999999999</v>
      </c>
      <c r="BL11" s="60">
        <v>1.6375</v>
      </c>
      <c r="BM11" s="60">
        <v>1.6875</v>
      </c>
      <c r="BN11" s="60">
        <v>1.2625</v>
      </c>
      <c r="BO11" s="60">
        <v>1.625</v>
      </c>
      <c r="BP11" s="60">
        <v>1.5249999999999999</v>
      </c>
      <c r="BQ11" s="60">
        <v>1.6375</v>
      </c>
      <c r="BR11" s="60">
        <v>1.4875</v>
      </c>
      <c r="BS11" s="60">
        <v>1.575</v>
      </c>
      <c r="BT11" s="60">
        <v>1.625</v>
      </c>
      <c r="BU11" s="60">
        <v>1.3875</v>
      </c>
      <c r="BV11" s="60">
        <v>1.1875</v>
      </c>
      <c r="BW11" s="60">
        <v>1.1625000000000001</v>
      </c>
      <c r="BX11" s="60">
        <v>1.2</v>
      </c>
      <c r="BY11" s="60">
        <v>1.325</v>
      </c>
      <c r="BZ11" s="60">
        <v>1.0125</v>
      </c>
      <c r="CA11" s="60">
        <v>1.1125</v>
      </c>
      <c r="CB11" s="60">
        <v>1.1625000000000001</v>
      </c>
      <c r="CC11" s="60">
        <v>1.2250000000000001</v>
      </c>
      <c r="CD11" s="60">
        <v>1.2</v>
      </c>
      <c r="CE11" s="60">
        <v>1.175</v>
      </c>
      <c r="CF11" s="60">
        <v>1.1000000000000001</v>
      </c>
      <c r="CG11" s="60">
        <v>1.075</v>
      </c>
      <c r="CH11" s="60">
        <v>1.0625</v>
      </c>
      <c r="CI11" s="60">
        <v>1.1875</v>
      </c>
      <c r="CJ11" s="60">
        <v>1.1375</v>
      </c>
      <c r="CK11" s="60">
        <v>1.175</v>
      </c>
      <c r="CL11" s="60">
        <v>1.1000000000000001</v>
      </c>
      <c r="CM11" s="60">
        <v>1.1499999999999999</v>
      </c>
      <c r="CN11" s="60">
        <v>1.0375000000000001</v>
      </c>
      <c r="CO11" s="60">
        <v>1.0625</v>
      </c>
      <c r="CP11" s="60">
        <v>1.0249999999999999</v>
      </c>
      <c r="CQ11" s="60">
        <v>1.0249999999999999</v>
      </c>
      <c r="CR11" s="60">
        <v>0.95</v>
      </c>
      <c r="CS11" s="60">
        <v>1.1000000000000001</v>
      </c>
      <c r="CT11" s="60">
        <v>1.0125</v>
      </c>
      <c r="CV11" s="5" t="s">
        <v>526</v>
      </c>
      <c r="CW11" s="5">
        <v>500</v>
      </c>
      <c r="CX11" s="63">
        <v>6.4153666666666664E-2</v>
      </c>
      <c r="CY11" s="5">
        <v>7</v>
      </c>
      <c r="DA11" s="5">
        <v>54.57</v>
      </c>
      <c r="DB11" s="5">
        <v>59.28</v>
      </c>
      <c r="DC11" s="5">
        <v>59.28</v>
      </c>
      <c r="DD11" s="5">
        <v>54.72</v>
      </c>
      <c r="DE11" s="5">
        <v>63.27</v>
      </c>
      <c r="DF11" s="5">
        <v>50.73</v>
      </c>
      <c r="DG11" s="5">
        <v>53.01</v>
      </c>
      <c r="DH11" s="5">
        <v>54.72</v>
      </c>
      <c r="DI11" s="5">
        <v>53.58</v>
      </c>
      <c r="DJ11" s="5">
        <v>53.58</v>
      </c>
      <c r="DK11" s="5">
        <v>62.7</v>
      </c>
      <c r="DL11" s="5">
        <v>58.71</v>
      </c>
      <c r="DM11" s="5">
        <v>64.41</v>
      </c>
      <c r="DN11" s="5">
        <v>56.43</v>
      </c>
      <c r="DO11" s="5">
        <v>59.85</v>
      </c>
      <c r="DP11" s="5">
        <v>62.7</v>
      </c>
      <c r="DQ11" s="5">
        <v>60.42</v>
      </c>
      <c r="DR11" s="5">
        <v>61.56</v>
      </c>
      <c r="DS11" s="5">
        <v>61.56</v>
      </c>
      <c r="DT11" s="5">
        <v>58.14</v>
      </c>
      <c r="DU11" s="5">
        <v>57</v>
      </c>
      <c r="DV11" s="5">
        <v>57</v>
      </c>
      <c r="DW11" s="5">
        <v>61.56</v>
      </c>
      <c r="DX11" s="5">
        <v>61.56</v>
      </c>
      <c r="DY11" s="5">
        <v>66.12</v>
      </c>
      <c r="DZ11" s="5">
        <v>59.28</v>
      </c>
      <c r="EA11" s="5">
        <v>54.72</v>
      </c>
      <c r="EB11" s="5">
        <v>57</v>
      </c>
      <c r="EC11" s="5">
        <v>55.29</v>
      </c>
      <c r="ED11" s="5">
        <v>55.86</v>
      </c>
      <c r="EE11" s="5">
        <v>56.43</v>
      </c>
      <c r="EF11" s="5">
        <v>60.42</v>
      </c>
      <c r="EG11" s="5">
        <v>61.56</v>
      </c>
      <c r="EH11" s="5">
        <v>68.97</v>
      </c>
      <c r="EI11" s="5">
        <v>64.41</v>
      </c>
      <c r="EJ11" s="5">
        <v>69.540000000000006</v>
      </c>
      <c r="EK11" s="5">
        <v>76.38</v>
      </c>
      <c r="EL11" s="5">
        <v>72.959999999999994</v>
      </c>
      <c r="EM11" s="5">
        <v>78.66</v>
      </c>
      <c r="EN11" s="5">
        <v>71.819999999999993</v>
      </c>
      <c r="EO11" s="5">
        <v>75.81</v>
      </c>
      <c r="EP11" s="5">
        <v>76.95</v>
      </c>
      <c r="EQ11" s="5">
        <v>63.27</v>
      </c>
      <c r="ER11" s="5">
        <v>70.11</v>
      </c>
      <c r="ES11" s="5">
        <v>70.680000000000007</v>
      </c>
      <c r="ET11" s="5">
        <v>75.239999999999995</v>
      </c>
      <c r="EU11" s="5">
        <v>80.37</v>
      </c>
      <c r="EV11" s="5">
        <v>82.65</v>
      </c>
      <c r="EW11" s="5">
        <v>62.7</v>
      </c>
      <c r="EX11" s="5">
        <v>79.8</v>
      </c>
      <c r="EY11" s="5">
        <v>75.239999999999995</v>
      </c>
      <c r="EZ11" s="5">
        <v>80.37</v>
      </c>
      <c r="FA11" s="5">
        <v>73.53</v>
      </c>
      <c r="FB11" s="5">
        <v>77.52</v>
      </c>
      <c r="FC11" s="5">
        <v>79.8</v>
      </c>
      <c r="FD11" s="5">
        <v>68.97</v>
      </c>
      <c r="FE11" s="5">
        <v>59.85</v>
      </c>
      <c r="FF11" s="5">
        <v>58.71</v>
      </c>
      <c r="FG11" s="5">
        <v>60.42</v>
      </c>
      <c r="FH11" s="5">
        <v>66.12</v>
      </c>
      <c r="FI11" s="5">
        <v>51.3</v>
      </c>
      <c r="FJ11" s="5">
        <v>56.43</v>
      </c>
      <c r="FK11" s="5">
        <v>58.71</v>
      </c>
      <c r="FL11" s="5">
        <v>61.56</v>
      </c>
      <c r="FM11" s="5">
        <v>60.42</v>
      </c>
      <c r="FN11" s="5">
        <v>59.28</v>
      </c>
      <c r="FO11" s="5">
        <v>55.86</v>
      </c>
      <c r="FP11" s="5">
        <v>54.72</v>
      </c>
      <c r="FQ11" s="5">
        <v>54.15</v>
      </c>
      <c r="FR11" s="5">
        <v>59.85</v>
      </c>
      <c r="FS11" s="5">
        <v>57.57</v>
      </c>
      <c r="FT11" s="5">
        <v>59.28</v>
      </c>
      <c r="FU11" s="5">
        <v>55.86</v>
      </c>
      <c r="FV11" s="5">
        <v>58.14</v>
      </c>
      <c r="FW11" s="5">
        <v>53.01</v>
      </c>
      <c r="FX11" s="5">
        <v>54.15</v>
      </c>
      <c r="FY11" s="5">
        <v>52.44</v>
      </c>
      <c r="FZ11" s="5">
        <v>52.44</v>
      </c>
      <c r="GA11" s="5">
        <v>48.45</v>
      </c>
      <c r="GB11" s="5">
        <v>55.86</v>
      </c>
      <c r="GC11" s="5">
        <v>51.87</v>
      </c>
    </row>
    <row r="12" spans="1:185">
      <c r="A12" s="67">
        <v>10</v>
      </c>
      <c r="B12" s="13">
        <v>10</v>
      </c>
      <c r="C12" s="5">
        <v>8</v>
      </c>
      <c r="D12" s="5">
        <f t="shared" si="0"/>
        <v>80</v>
      </c>
      <c r="E12" s="5">
        <v>5</v>
      </c>
      <c r="F12" s="60">
        <f t="shared" si="1"/>
        <v>62.5</v>
      </c>
      <c r="G12" s="60">
        <f t="shared" si="2"/>
        <v>71.25</v>
      </c>
      <c r="H12" s="13">
        <v>10</v>
      </c>
      <c r="I12" s="5">
        <v>7</v>
      </c>
      <c r="J12" s="5">
        <f t="shared" si="3"/>
        <v>70</v>
      </c>
      <c r="K12" s="60">
        <v>1.3374999999999999</v>
      </c>
      <c r="L12" s="68">
        <v>13.374999999999998</v>
      </c>
      <c r="M12" s="68">
        <f t="shared" si="4"/>
        <v>41.6875</v>
      </c>
      <c r="N12" s="75">
        <v>6814.2000000000007</v>
      </c>
      <c r="O12" s="5">
        <v>-58.1617563</v>
      </c>
      <c r="P12" s="5">
        <v>45.838243700000007</v>
      </c>
      <c r="Q12" s="5">
        <v>-59.872708000000003</v>
      </c>
      <c r="R12" s="5">
        <v>44.127291999999997</v>
      </c>
      <c r="T12" s="60">
        <v>1.5874999999999999</v>
      </c>
      <c r="U12" s="60">
        <v>1.6125</v>
      </c>
      <c r="V12" s="60">
        <v>1.6625000000000001</v>
      </c>
      <c r="W12" s="60">
        <v>1.5125</v>
      </c>
      <c r="X12" s="60">
        <v>1.4750000000000001</v>
      </c>
      <c r="Y12" s="60">
        <v>1.5874999999999999</v>
      </c>
      <c r="Z12" s="60">
        <v>1.25</v>
      </c>
      <c r="AA12" s="60">
        <v>1.4624999999999999</v>
      </c>
      <c r="AB12" s="60">
        <v>1.7124999999999999</v>
      </c>
      <c r="AC12" s="60">
        <v>1.65</v>
      </c>
      <c r="AD12" s="60">
        <v>1.8625</v>
      </c>
      <c r="AE12" s="60">
        <v>1.8875</v>
      </c>
      <c r="AF12" s="60">
        <v>1.875</v>
      </c>
      <c r="AG12" s="60">
        <v>1.7749999999999999</v>
      </c>
      <c r="AH12" s="60">
        <v>1.825</v>
      </c>
      <c r="AI12" s="60">
        <v>1.8875</v>
      </c>
      <c r="AJ12" s="60">
        <v>1.7875000000000001</v>
      </c>
      <c r="AK12" s="60">
        <v>1.625</v>
      </c>
      <c r="AL12" s="60">
        <v>1.675</v>
      </c>
      <c r="AM12" s="60">
        <v>1.6</v>
      </c>
      <c r="AN12" s="60">
        <v>1.6875</v>
      </c>
      <c r="AO12" s="60">
        <v>1.5874999999999999</v>
      </c>
      <c r="AP12" s="60">
        <v>1.625</v>
      </c>
      <c r="AQ12" s="60">
        <v>1.5874999999999999</v>
      </c>
      <c r="AR12" s="60">
        <v>1.5625</v>
      </c>
      <c r="AS12" s="60">
        <v>1.6875</v>
      </c>
      <c r="AT12" s="60">
        <v>1.65</v>
      </c>
      <c r="AU12" s="60">
        <v>1.75</v>
      </c>
      <c r="AV12" s="60">
        <v>1.6125</v>
      </c>
      <c r="AW12" s="60">
        <v>1.7875000000000001</v>
      </c>
      <c r="AX12" s="60">
        <v>1.7875000000000001</v>
      </c>
      <c r="AY12" s="60">
        <v>1.8625</v>
      </c>
      <c r="AZ12" s="60">
        <v>1.6875</v>
      </c>
      <c r="BA12" s="60">
        <v>2.0125000000000002</v>
      </c>
      <c r="BB12" s="60">
        <v>2.0625</v>
      </c>
      <c r="BC12" s="60">
        <v>1.875</v>
      </c>
      <c r="BD12" s="60">
        <v>1.9624999999999999</v>
      </c>
      <c r="BE12" s="60">
        <v>2.0125000000000002</v>
      </c>
      <c r="BF12" s="60">
        <v>2.2250000000000001</v>
      </c>
      <c r="BG12" s="60">
        <v>2.0499999999999998</v>
      </c>
      <c r="BH12" s="60">
        <v>1.9</v>
      </c>
      <c r="BI12" s="60">
        <v>1.9125000000000001</v>
      </c>
      <c r="BJ12" s="60">
        <v>1.9125000000000001</v>
      </c>
      <c r="BK12" s="60">
        <v>2.0750000000000002</v>
      </c>
      <c r="BL12" s="60">
        <v>2.1625000000000001</v>
      </c>
      <c r="BM12" s="60">
        <v>1.9624999999999999</v>
      </c>
      <c r="BN12" s="60">
        <v>2.0125000000000002</v>
      </c>
      <c r="BO12" s="60">
        <v>1.9750000000000001</v>
      </c>
      <c r="BP12" s="60">
        <v>2.1749999999999998</v>
      </c>
      <c r="BQ12" s="60">
        <v>2.15</v>
      </c>
      <c r="BR12" s="60">
        <v>2.0750000000000002</v>
      </c>
      <c r="BS12" s="60">
        <v>1.8625</v>
      </c>
      <c r="BT12" s="60">
        <v>1.9624999999999999</v>
      </c>
      <c r="BU12" s="60">
        <v>1.7875000000000001</v>
      </c>
      <c r="BV12" s="60">
        <v>1.85</v>
      </c>
      <c r="BW12" s="60">
        <v>1.7</v>
      </c>
      <c r="BX12" s="60">
        <v>1.6625000000000001</v>
      </c>
      <c r="BY12" s="60">
        <v>1.675</v>
      </c>
      <c r="BZ12" s="60">
        <v>1.3875</v>
      </c>
      <c r="CA12" s="60">
        <v>1.6</v>
      </c>
      <c r="CB12" s="60">
        <v>1.7625</v>
      </c>
      <c r="CC12" s="60">
        <v>1.5625</v>
      </c>
      <c r="CD12" s="60">
        <v>1.65</v>
      </c>
      <c r="CE12" s="60">
        <v>1.65</v>
      </c>
      <c r="CF12" s="60">
        <v>1.325</v>
      </c>
      <c r="CG12" s="60">
        <v>1.7375</v>
      </c>
      <c r="CH12" s="60">
        <v>1.4</v>
      </c>
      <c r="CI12" s="60">
        <v>1.5</v>
      </c>
      <c r="CJ12" s="60">
        <v>1.4375</v>
      </c>
      <c r="CK12" s="60">
        <v>1.625</v>
      </c>
      <c r="CL12" s="60">
        <v>1.5375000000000001</v>
      </c>
      <c r="CM12" s="60">
        <v>1.5625</v>
      </c>
      <c r="CN12" s="60">
        <v>1.4875</v>
      </c>
      <c r="CO12" s="60">
        <v>1.5375000000000001</v>
      </c>
      <c r="CP12" s="60">
        <v>1.625</v>
      </c>
      <c r="CQ12" s="60">
        <v>1.575</v>
      </c>
      <c r="CR12" s="60">
        <v>1.4125000000000001</v>
      </c>
      <c r="CS12" s="60">
        <v>1.4375</v>
      </c>
      <c r="CT12" s="60">
        <v>1.4375</v>
      </c>
      <c r="CV12" s="5" t="s">
        <v>527</v>
      </c>
      <c r="CW12" s="5">
        <v>500</v>
      </c>
      <c r="CX12" s="63">
        <v>7.3233999999999994E-2</v>
      </c>
      <c r="CY12" s="5">
        <v>5</v>
      </c>
      <c r="DA12" s="5">
        <v>68.25</v>
      </c>
      <c r="DB12" s="5">
        <v>82.65</v>
      </c>
      <c r="DC12" s="5">
        <v>78.09</v>
      </c>
      <c r="DD12" s="5">
        <v>79.23</v>
      </c>
      <c r="DE12" s="5">
        <v>81.510000000000005</v>
      </c>
      <c r="DF12" s="5">
        <v>74.67</v>
      </c>
      <c r="DG12" s="5">
        <v>72.959999999999994</v>
      </c>
      <c r="DH12" s="5">
        <v>78.09</v>
      </c>
      <c r="DI12" s="5">
        <v>61.56</v>
      </c>
      <c r="DJ12" s="5">
        <v>72.39</v>
      </c>
      <c r="DK12" s="5">
        <v>83.79</v>
      </c>
      <c r="DL12" s="5">
        <v>80.94</v>
      </c>
      <c r="DM12" s="5">
        <v>90.63</v>
      </c>
      <c r="DN12" s="5">
        <v>91.77</v>
      </c>
      <c r="DO12" s="5">
        <v>91.2</v>
      </c>
      <c r="DP12" s="5">
        <v>86.64</v>
      </c>
      <c r="DQ12" s="5">
        <v>88.92</v>
      </c>
      <c r="DR12" s="5">
        <v>91.2</v>
      </c>
      <c r="DS12" s="5">
        <v>87.21</v>
      </c>
      <c r="DT12" s="5">
        <v>79.8</v>
      </c>
      <c r="DU12" s="5">
        <v>82.08</v>
      </c>
      <c r="DV12" s="5">
        <v>78.66</v>
      </c>
      <c r="DW12" s="5">
        <v>82.65</v>
      </c>
      <c r="DX12" s="5">
        <v>78.09</v>
      </c>
      <c r="DY12" s="5">
        <v>79.8</v>
      </c>
      <c r="DZ12" s="5">
        <v>78.09</v>
      </c>
      <c r="EA12" s="5">
        <v>76.95</v>
      </c>
      <c r="EB12" s="5">
        <v>82.65</v>
      </c>
      <c r="EC12" s="5">
        <v>80.94</v>
      </c>
      <c r="ED12" s="5">
        <v>85.5</v>
      </c>
      <c r="EE12" s="5">
        <v>78.66</v>
      </c>
      <c r="EF12" s="5">
        <v>87.21</v>
      </c>
      <c r="EG12" s="5">
        <v>84.36</v>
      </c>
      <c r="EH12" s="5">
        <v>90.63</v>
      </c>
      <c r="EI12" s="5">
        <v>82.65</v>
      </c>
      <c r="EJ12" s="5">
        <v>97.47</v>
      </c>
      <c r="EK12" s="5">
        <v>99.75</v>
      </c>
      <c r="EL12" s="5">
        <v>90.63</v>
      </c>
      <c r="EM12" s="5">
        <v>94.62</v>
      </c>
      <c r="EN12" s="5">
        <v>97.47</v>
      </c>
      <c r="EO12" s="5">
        <v>107.16</v>
      </c>
      <c r="EP12" s="5">
        <v>99.18</v>
      </c>
      <c r="EQ12" s="5">
        <v>92.34</v>
      </c>
      <c r="ER12" s="5">
        <v>92.91</v>
      </c>
      <c r="ES12" s="5">
        <v>92.91</v>
      </c>
      <c r="ET12" s="5">
        <v>100.32</v>
      </c>
      <c r="EU12" s="5">
        <v>104.31</v>
      </c>
      <c r="EV12" s="5">
        <v>95.19</v>
      </c>
      <c r="EW12" s="5">
        <v>97.47</v>
      </c>
      <c r="EX12" s="5">
        <v>95.76</v>
      </c>
      <c r="EY12" s="5">
        <v>104.88</v>
      </c>
      <c r="EZ12" s="5">
        <v>103.74</v>
      </c>
      <c r="FA12" s="5">
        <v>100.32</v>
      </c>
      <c r="FB12" s="5">
        <v>90.63</v>
      </c>
      <c r="FC12" s="5">
        <v>95.19</v>
      </c>
      <c r="FD12" s="5">
        <v>87.21</v>
      </c>
      <c r="FE12" s="5">
        <v>90.06</v>
      </c>
      <c r="FF12" s="5">
        <v>83.22</v>
      </c>
      <c r="FG12" s="5">
        <v>81.510000000000005</v>
      </c>
      <c r="FH12" s="5">
        <v>82.08</v>
      </c>
      <c r="FI12" s="5">
        <v>68.400000000000006</v>
      </c>
      <c r="FJ12" s="5">
        <v>78.66</v>
      </c>
      <c r="FK12" s="5">
        <v>86.07</v>
      </c>
      <c r="FL12" s="5">
        <v>76.38</v>
      </c>
      <c r="FM12" s="5">
        <v>80.94</v>
      </c>
      <c r="FN12" s="5">
        <v>80.94</v>
      </c>
      <c r="FO12" s="5">
        <v>65.55</v>
      </c>
      <c r="FP12" s="5">
        <v>84.93</v>
      </c>
      <c r="FQ12" s="5">
        <v>68.97</v>
      </c>
      <c r="FR12" s="5">
        <v>74.099999999999994</v>
      </c>
      <c r="FS12" s="5">
        <v>70.680000000000007</v>
      </c>
      <c r="FT12" s="5">
        <v>79.8</v>
      </c>
      <c r="FU12" s="5">
        <v>75.81</v>
      </c>
      <c r="FV12" s="5">
        <v>76.95</v>
      </c>
      <c r="FW12" s="5">
        <v>73.53</v>
      </c>
      <c r="FX12" s="5">
        <v>75.81</v>
      </c>
      <c r="FY12" s="5">
        <v>79.8</v>
      </c>
      <c r="FZ12" s="5">
        <v>77.52</v>
      </c>
      <c r="GA12" s="5">
        <v>70.11</v>
      </c>
      <c r="GB12" s="5">
        <v>71.25</v>
      </c>
      <c r="GC12" s="5">
        <v>71.25</v>
      </c>
    </row>
    <row r="13" spans="1:185">
      <c r="A13" s="67">
        <v>11</v>
      </c>
      <c r="B13" s="13">
        <v>10</v>
      </c>
      <c r="C13" s="5">
        <v>10</v>
      </c>
      <c r="D13" s="5">
        <f t="shared" si="0"/>
        <v>100</v>
      </c>
      <c r="E13" s="5">
        <v>3</v>
      </c>
      <c r="F13" s="60">
        <f t="shared" si="1"/>
        <v>30</v>
      </c>
      <c r="G13" s="60">
        <f t="shared" si="2"/>
        <v>65</v>
      </c>
      <c r="H13" s="13">
        <v>10</v>
      </c>
      <c r="I13" s="5">
        <v>10</v>
      </c>
      <c r="J13" s="5">
        <f t="shared" si="3"/>
        <v>100</v>
      </c>
      <c r="K13" s="60">
        <v>1.5249999999999999</v>
      </c>
      <c r="L13" s="68">
        <v>15.25</v>
      </c>
      <c r="M13" s="68">
        <f t="shared" si="4"/>
        <v>57.625</v>
      </c>
      <c r="N13" s="75">
        <v>7147.65</v>
      </c>
      <c r="O13" s="5">
        <v>-59.252825549999997</v>
      </c>
      <c r="P13" s="5">
        <v>44.747174450000003</v>
      </c>
      <c r="Q13" s="5">
        <v>-62.966615699999991</v>
      </c>
      <c r="R13" s="5">
        <v>41.033384300000002</v>
      </c>
      <c r="T13" s="60">
        <v>1.7124999999999999</v>
      </c>
      <c r="U13" s="60">
        <v>1.7124999999999999</v>
      </c>
      <c r="V13" s="60">
        <v>1.8374999999999999</v>
      </c>
      <c r="W13" s="60">
        <v>1.7625</v>
      </c>
      <c r="X13" s="60">
        <v>1.8125</v>
      </c>
      <c r="Y13" s="60">
        <v>1.7124999999999999</v>
      </c>
      <c r="Z13" s="60">
        <v>1.5</v>
      </c>
      <c r="AA13" s="60">
        <v>1.675</v>
      </c>
      <c r="AB13" s="60">
        <v>1.8</v>
      </c>
      <c r="AC13" s="60">
        <v>1.65</v>
      </c>
      <c r="AD13" s="60">
        <v>1.55</v>
      </c>
      <c r="AE13" s="60">
        <v>1.6</v>
      </c>
      <c r="AF13" s="60">
        <v>1.8625</v>
      </c>
      <c r="AG13" s="60">
        <v>1.8625</v>
      </c>
      <c r="AH13" s="60">
        <v>1.825</v>
      </c>
      <c r="AI13" s="60">
        <v>1.9125000000000001</v>
      </c>
      <c r="AJ13" s="60">
        <v>1.7124999999999999</v>
      </c>
      <c r="AK13" s="60">
        <v>1.4750000000000001</v>
      </c>
      <c r="AL13" s="60">
        <v>1.7375</v>
      </c>
      <c r="AM13" s="60">
        <v>1.75</v>
      </c>
      <c r="AN13" s="60">
        <v>1.7250000000000001</v>
      </c>
      <c r="AO13" s="60">
        <v>1.7749999999999999</v>
      </c>
      <c r="AP13" s="60">
        <v>1.7749999999999999</v>
      </c>
      <c r="AQ13" s="60">
        <v>1.7124999999999999</v>
      </c>
      <c r="AR13" s="60">
        <v>1.75</v>
      </c>
      <c r="AS13" s="60">
        <v>1.6875</v>
      </c>
      <c r="AT13" s="60">
        <v>1.55</v>
      </c>
      <c r="AU13" s="60">
        <v>1.5625</v>
      </c>
      <c r="AV13" s="60">
        <v>1.7749999999999999</v>
      </c>
      <c r="AW13" s="60">
        <v>1.7625</v>
      </c>
      <c r="AX13" s="60">
        <v>1.7625</v>
      </c>
      <c r="AY13" s="60">
        <v>1.7875000000000001</v>
      </c>
      <c r="AZ13" s="60">
        <v>1.9</v>
      </c>
      <c r="BA13" s="60">
        <v>2.2625000000000002</v>
      </c>
      <c r="BB13" s="60">
        <v>2.1875</v>
      </c>
      <c r="BC13" s="60">
        <v>2.2250000000000001</v>
      </c>
      <c r="BD13" s="60">
        <v>2.1625000000000001</v>
      </c>
      <c r="BE13" s="60">
        <v>2.4500000000000002</v>
      </c>
      <c r="BF13" s="60">
        <v>2.3250000000000002</v>
      </c>
      <c r="BG13" s="60">
        <v>2.2250000000000001</v>
      </c>
      <c r="BH13" s="60">
        <v>1.9125000000000001</v>
      </c>
      <c r="BI13" s="60">
        <v>2.1375000000000002</v>
      </c>
      <c r="BJ13" s="60">
        <v>2.2374999999999998</v>
      </c>
      <c r="BK13" s="60">
        <v>2.2625000000000002</v>
      </c>
      <c r="BL13" s="60">
        <v>2.2749999999999999</v>
      </c>
      <c r="BM13" s="60">
        <v>2.3250000000000002</v>
      </c>
      <c r="BN13" s="60">
        <v>2.4125000000000001</v>
      </c>
      <c r="BO13" s="60">
        <v>2.2000000000000002</v>
      </c>
      <c r="BP13" s="60">
        <v>2.125</v>
      </c>
      <c r="BQ13" s="60">
        <v>2.2250000000000001</v>
      </c>
      <c r="BR13" s="60">
        <v>2.15</v>
      </c>
      <c r="BS13" s="60">
        <v>2.0125000000000002</v>
      </c>
      <c r="BT13" s="60">
        <v>1.9750000000000001</v>
      </c>
      <c r="BU13" s="60">
        <v>1.8875</v>
      </c>
      <c r="BV13" s="60">
        <v>1.8125</v>
      </c>
      <c r="BW13" s="60">
        <v>1.7</v>
      </c>
      <c r="BX13" s="60">
        <v>1.7</v>
      </c>
      <c r="BY13" s="60">
        <v>1.5625</v>
      </c>
      <c r="BZ13" s="60">
        <v>1.6625000000000001</v>
      </c>
      <c r="CA13" s="60">
        <v>1.9125000000000001</v>
      </c>
      <c r="CB13" s="60">
        <v>1.85</v>
      </c>
      <c r="CC13" s="60">
        <v>1.6875</v>
      </c>
      <c r="CD13" s="60">
        <v>1.9125000000000001</v>
      </c>
      <c r="CE13" s="60">
        <v>1.625</v>
      </c>
      <c r="CF13" s="60">
        <v>1.8625</v>
      </c>
      <c r="CG13" s="60">
        <v>1.6875</v>
      </c>
      <c r="CH13" s="60">
        <v>1.5125</v>
      </c>
      <c r="CI13" s="60">
        <v>1.4750000000000001</v>
      </c>
      <c r="CJ13" s="60">
        <v>1.4125000000000001</v>
      </c>
      <c r="CK13" s="60">
        <v>1.5249999999999999</v>
      </c>
      <c r="CL13" s="60">
        <v>1.5249999999999999</v>
      </c>
      <c r="CM13" s="60">
        <v>1.3</v>
      </c>
      <c r="CN13" s="60">
        <v>1.5375000000000001</v>
      </c>
      <c r="CO13" s="60">
        <v>1.6375</v>
      </c>
      <c r="CP13" s="60">
        <v>1.7250000000000001</v>
      </c>
      <c r="CQ13" s="60">
        <v>1.4875</v>
      </c>
      <c r="CR13" s="60">
        <v>1.35</v>
      </c>
      <c r="CS13" s="60">
        <v>1.575</v>
      </c>
      <c r="CT13" s="60">
        <v>1.5249999999999999</v>
      </c>
      <c r="CV13" s="5" t="s">
        <v>528</v>
      </c>
      <c r="CW13" s="5">
        <v>500</v>
      </c>
      <c r="CX13" s="63">
        <v>7.6338000000000003E-2</v>
      </c>
      <c r="CY13" s="5">
        <v>7</v>
      </c>
      <c r="DA13" s="5">
        <v>76.8</v>
      </c>
      <c r="DB13" s="5">
        <v>83.79</v>
      </c>
      <c r="DC13" s="5">
        <v>83.79</v>
      </c>
      <c r="DD13" s="5">
        <v>83.79</v>
      </c>
      <c r="DE13" s="5">
        <v>89.49</v>
      </c>
      <c r="DF13" s="5">
        <v>86.07</v>
      </c>
      <c r="DG13" s="5">
        <v>88.35</v>
      </c>
      <c r="DH13" s="5">
        <v>83.79</v>
      </c>
      <c r="DI13" s="5">
        <v>73.53</v>
      </c>
      <c r="DJ13" s="5">
        <v>82.08</v>
      </c>
      <c r="DK13" s="5">
        <v>87.78</v>
      </c>
      <c r="DL13" s="5">
        <v>80.94</v>
      </c>
      <c r="DM13" s="5">
        <v>75.81</v>
      </c>
      <c r="DN13" s="5">
        <v>78.66</v>
      </c>
      <c r="DO13" s="5">
        <v>90.63</v>
      </c>
      <c r="DP13" s="5">
        <v>90.63</v>
      </c>
      <c r="DQ13" s="5">
        <v>88.92</v>
      </c>
      <c r="DR13" s="5">
        <v>92.91</v>
      </c>
      <c r="DS13" s="5">
        <v>83.79</v>
      </c>
      <c r="DT13" s="5">
        <v>71.819999999999993</v>
      </c>
      <c r="DU13" s="5">
        <v>84.93</v>
      </c>
      <c r="DV13" s="5">
        <v>85.5</v>
      </c>
      <c r="DW13" s="5">
        <v>84.36</v>
      </c>
      <c r="DX13" s="5">
        <v>86.64</v>
      </c>
      <c r="DY13" s="5">
        <v>86.64</v>
      </c>
      <c r="DZ13" s="5">
        <v>83.79</v>
      </c>
      <c r="EA13" s="5">
        <v>85.5</v>
      </c>
      <c r="EB13" s="5">
        <v>82.65</v>
      </c>
      <c r="EC13" s="5">
        <v>76.38</v>
      </c>
      <c r="ED13" s="5">
        <v>76.95</v>
      </c>
      <c r="EE13" s="5">
        <v>86.64</v>
      </c>
      <c r="EF13" s="5">
        <v>86.07</v>
      </c>
      <c r="EG13" s="5">
        <v>85.5</v>
      </c>
      <c r="EH13" s="5">
        <v>87.21</v>
      </c>
      <c r="EI13" s="5">
        <v>92.34</v>
      </c>
      <c r="EJ13" s="5">
        <v>108.87</v>
      </c>
      <c r="EK13" s="5">
        <v>105.45</v>
      </c>
      <c r="EL13" s="5">
        <v>107.16</v>
      </c>
      <c r="EM13" s="5">
        <v>104.31</v>
      </c>
      <c r="EN13" s="5">
        <v>117.42</v>
      </c>
      <c r="EO13" s="5">
        <v>111.72</v>
      </c>
      <c r="EP13" s="5">
        <v>107.16</v>
      </c>
      <c r="EQ13" s="5">
        <v>92.91</v>
      </c>
      <c r="ER13" s="5">
        <v>103.17</v>
      </c>
      <c r="ES13" s="5">
        <v>107.73</v>
      </c>
      <c r="ET13" s="5">
        <v>108.87</v>
      </c>
      <c r="EU13" s="5">
        <v>109.44</v>
      </c>
      <c r="EV13" s="5">
        <v>111.72</v>
      </c>
      <c r="EW13" s="5">
        <v>115.71</v>
      </c>
      <c r="EX13" s="5">
        <v>106.02</v>
      </c>
      <c r="EY13" s="5">
        <v>102.6</v>
      </c>
      <c r="EZ13" s="5">
        <v>107.16</v>
      </c>
      <c r="FA13" s="5">
        <v>103.74</v>
      </c>
      <c r="FB13" s="5">
        <v>97.47</v>
      </c>
      <c r="FC13" s="5">
        <v>95.19</v>
      </c>
      <c r="FD13" s="5">
        <v>91.77</v>
      </c>
      <c r="FE13" s="5">
        <v>88.35</v>
      </c>
      <c r="FF13" s="5">
        <v>82.65</v>
      </c>
      <c r="FG13" s="5">
        <v>83.22</v>
      </c>
      <c r="FH13" s="5">
        <v>76.38</v>
      </c>
      <c r="FI13" s="5">
        <v>80.94</v>
      </c>
      <c r="FJ13" s="5">
        <v>92.91</v>
      </c>
      <c r="FK13" s="5">
        <v>90.06</v>
      </c>
      <c r="FL13" s="5">
        <v>82.65</v>
      </c>
      <c r="FM13" s="5">
        <v>92.91</v>
      </c>
      <c r="FN13" s="5">
        <v>79.23</v>
      </c>
      <c r="FO13" s="5">
        <v>90.63</v>
      </c>
      <c r="FP13" s="5">
        <v>82.65</v>
      </c>
      <c r="FQ13" s="5">
        <v>74.67</v>
      </c>
      <c r="FR13" s="5">
        <v>72.959999999999994</v>
      </c>
      <c r="FS13" s="5">
        <v>69.540000000000006</v>
      </c>
      <c r="FT13" s="5">
        <v>75.239999999999995</v>
      </c>
      <c r="FU13" s="5">
        <v>75.239999999999995</v>
      </c>
      <c r="FV13" s="5">
        <v>63.84</v>
      </c>
      <c r="FW13" s="5">
        <v>75.81</v>
      </c>
      <c r="FX13" s="5">
        <v>80.37</v>
      </c>
      <c r="FY13" s="5">
        <v>84.36</v>
      </c>
      <c r="FZ13" s="5">
        <v>72.959999999999994</v>
      </c>
      <c r="GA13" s="5">
        <v>67.260000000000005</v>
      </c>
      <c r="GB13" s="5">
        <v>77.52</v>
      </c>
      <c r="GC13" s="5">
        <v>75.239999999999995</v>
      </c>
    </row>
    <row r="14" spans="1:185">
      <c r="A14" s="67">
        <v>12</v>
      </c>
      <c r="B14" s="13">
        <v>10</v>
      </c>
      <c r="C14" s="5">
        <v>8</v>
      </c>
      <c r="D14" s="5">
        <f t="shared" si="0"/>
        <v>80</v>
      </c>
      <c r="E14" s="5">
        <v>3</v>
      </c>
      <c r="F14" s="60">
        <f t="shared" si="1"/>
        <v>37.5</v>
      </c>
      <c r="G14" s="60">
        <f t="shared" si="2"/>
        <v>58.75</v>
      </c>
      <c r="H14" s="13">
        <v>10</v>
      </c>
      <c r="I14" s="5">
        <v>9</v>
      </c>
      <c r="J14" s="5">
        <f t="shared" si="3"/>
        <v>90</v>
      </c>
      <c r="K14" s="60">
        <v>1.375</v>
      </c>
      <c r="L14" s="68">
        <v>13.750000000000002</v>
      </c>
      <c r="M14" s="68">
        <f t="shared" si="4"/>
        <v>51.875</v>
      </c>
      <c r="N14" s="75">
        <v>6426.0300000000016</v>
      </c>
      <c r="O14" s="5">
        <v>-57.956540449999999</v>
      </c>
      <c r="P14" s="5">
        <v>46.043459549999994</v>
      </c>
      <c r="Q14" s="5">
        <v>-58.581950400000004</v>
      </c>
      <c r="R14" s="5">
        <v>45.418049600000003</v>
      </c>
      <c r="T14" s="60">
        <v>1.3374999999999999</v>
      </c>
      <c r="U14" s="60">
        <v>1.45</v>
      </c>
      <c r="V14" s="60">
        <v>1.6375</v>
      </c>
      <c r="W14" s="60">
        <v>1.5249999999999999</v>
      </c>
      <c r="X14" s="60">
        <v>1.2375</v>
      </c>
      <c r="Y14" s="60">
        <v>1.5</v>
      </c>
      <c r="Z14" s="60">
        <v>1.45</v>
      </c>
      <c r="AA14" s="60">
        <v>1.5</v>
      </c>
      <c r="AB14" s="60">
        <v>1.5375000000000001</v>
      </c>
      <c r="AC14" s="60">
        <v>1.65</v>
      </c>
      <c r="AD14" s="60">
        <v>1.5874999999999999</v>
      </c>
      <c r="AE14" s="60">
        <v>1.5375000000000001</v>
      </c>
      <c r="AF14" s="60">
        <v>1.5249999999999999</v>
      </c>
      <c r="AG14" s="60">
        <v>1.7375</v>
      </c>
      <c r="AH14" s="60">
        <v>1.3374999999999999</v>
      </c>
      <c r="AI14" s="60">
        <v>1.4750000000000001</v>
      </c>
      <c r="AJ14" s="60">
        <v>1.75</v>
      </c>
      <c r="AK14" s="60">
        <v>1.2375</v>
      </c>
      <c r="AL14" s="60">
        <v>1.4375</v>
      </c>
      <c r="AM14" s="60">
        <v>1.5625</v>
      </c>
      <c r="AN14" s="60">
        <v>1.6</v>
      </c>
      <c r="AO14" s="60">
        <v>1.575</v>
      </c>
      <c r="AP14" s="60">
        <v>1.6</v>
      </c>
      <c r="AQ14" s="60">
        <v>1.5874999999999999</v>
      </c>
      <c r="AR14" s="60">
        <v>1.5625</v>
      </c>
      <c r="AS14" s="60">
        <v>1.6</v>
      </c>
      <c r="AT14" s="60">
        <v>1.4624999999999999</v>
      </c>
      <c r="AU14" s="60">
        <v>1.5874999999999999</v>
      </c>
      <c r="AV14" s="60">
        <v>1.4375</v>
      </c>
      <c r="AW14" s="60">
        <v>1.7875000000000001</v>
      </c>
      <c r="AX14" s="60">
        <v>1.7875000000000001</v>
      </c>
      <c r="AY14" s="60">
        <v>1.4750000000000001</v>
      </c>
      <c r="AZ14" s="60">
        <v>1.8374999999999999</v>
      </c>
      <c r="BA14" s="60">
        <v>1.55</v>
      </c>
      <c r="BB14" s="60">
        <v>1.8625</v>
      </c>
      <c r="BC14" s="60">
        <v>2</v>
      </c>
      <c r="BD14" s="60">
        <v>1.9750000000000001</v>
      </c>
      <c r="BE14" s="60">
        <v>1.9</v>
      </c>
      <c r="BF14" s="60">
        <v>2.0125000000000002</v>
      </c>
      <c r="BG14" s="60">
        <v>2.1375000000000002</v>
      </c>
      <c r="BH14" s="60">
        <v>1.8374999999999999</v>
      </c>
      <c r="BI14" s="60">
        <v>1.9</v>
      </c>
      <c r="BJ14" s="60">
        <v>1.9624999999999999</v>
      </c>
      <c r="BK14" s="60">
        <v>1.925</v>
      </c>
      <c r="BL14" s="60">
        <v>1.7749999999999999</v>
      </c>
      <c r="BM14" s="60">
        <v>2</v>
      </c>
      <c r="BN14" s="60">
        <v>2.0499999999999998</v>
      </c>
      <c r="BO14" s="60">
        <v>2.1</v>
      </c>
      <c r="BP14" s="60">
        <v>1.75</v>
      </c>
      <c r="BQ14" s="60">
        <v>1.95</v>
      </c>
      <c r="BR14" s="60">
        <v>1.825</v>
      </c>
      <c r="BS14" s="60">
        <v>1.8875</v>
      </c>
      <c r="BT14" s="60">
        <v>2</v>
      </c>
      <c r="BU14" s="60">
        <v>1.675</v>
      </c>
      <c r="BV14" s="60">
        <v>1.6</v>
      </c>
      <c r="BW14" s="60">
        <v>1.2625</v>
      </c>
      <c r="BX14" s="60">
        <v>1.5874999999999999</v>
      </c>
      <c r="BY14" s="60">
        <v>1.3875</v>
      </c>
      <c r="BZ14" s="60">
        <v>1.5</v>
      </c>
      <c r="CA14" s="60">
        <v>1.575</v>
      </c>
      <c r="CB14" s="60">
        <v>1.55</v>
      </c>
      <c r="CC14" s="60">
        <v>1.6</v>
      </c>
      <c r="CD14" s="60">
        <v>1.625</v>
      </c>
      <c r="CE14" s="60">
        <v>1.6375</v>
      </c>
      <c r="CF14" s="60">
        <v>1.6375</v>
      </c>
      <c r="CG14" s="60">
        <v>1.325</v>
      </c>
      <c r="CH14" s="60">
        <v>1.4375</v>
      </c>
      <c r="CI14" s="60">
        <v>1.425</v>
      </c>
      <c r="CJ14" s="60">
        <v>1.6375</v>
      </c>
      <c r="CK14" s="60">
        <v>1.4750000000000001</v>
      </c>
      <c r="CL14" s="60">
        <v>1.4624999999999999</v>
      </c>
      <c r="CM14" s="60">
        <v>1.4750000000000001</v>
      </c>
      <c r="CN14" s="60">
        <v>1.4125000000000001</v>
      </c>
      <c r="CO14" s="60">
        <v>1.4</v>
      </c>
      <c r="CP14" s="60">
        <v>1.5125</v>
      </c>
      <c r="CQ14" s="60">
        <v>1.4624999999999999</v>
      </c>
      <c r="CR14" s="60">
        <v>1.2749999999999999</v>
      </c>
      <c r="CS14" s="60">
        <v>1.4624999999999999</v>
      </c>
      <c r="CT14" s="60">
        <v>1.2875000000000001</v>
      </c>
      <c r="CV14" s="5" t="s">
        <v>529</v>
      </c>
      <c r="CW14" s="5">
        <v>500</v>
      </c>
      <c r="CX14" s="63">
        <v>7.1774000000000004E-2</v>
      </c>
      <c r="CY14" s="5">
        <v>7</v>
      </c>
      <c r="DA14" s="5">
        <v>69.959999999999994</v>
      </c>
      <c r="DB14" s="5">
        <v>75.81</v>
      </c>
      <c r="DC14" s="5">
        <v>66.69</v>
      </c>
      <c r="DD14" s="5">
        <v>71.819999999999993</v>
      </c>
      <c r="DE14" s="5">
        <v>80.37</v>
      </c>
      <c r="DF14" s="5">
        <v>75.239999999999995</v>
      </c>
      <c r="DG14" s="5">
        <v>61.56</v>
      </c>
      <c r="DH14" s="5">
        <v>74.099999999999994</v>
      </c>
      <c r="DI14" s="5">
        <v>71.819999999999993</v>
      </c>
      <c r="DJ14" s="5">
        <v>74.099999999999994</v>
      </c>
      <c r="DK14" s="5">
        <v>75.81</v>
      </c>
      <c r="DL14" s="5">
        <v>80.94</v>
      </c>
      <c r="DM14" s="5">
        <v>78.09</v>
      </c>
      <c r="DN14" s="5">
        <v>75.81</v>
      </c>
      <c r="DO14" s="5">
        <v>75.239999999999995</v>
      </c>
      <c r="DP14" s="5">
        <v>84.93</v>
      </c>
      <c r="DQ14" s="5">
        <v>66.12</v>
      </c>
      <c r="DR14" s="5">
        <v>72.39</v>
      </c>
      <c r="DS14" s="5">
        <v>85.5</v>
      </c>
      <c r="DT14" s="5">
        <v>60.99</v>
      </c>
      <c r="DU14" s="5">
        <v>70.680000000000007</v>
      </c>
      <c r="DV14" s="5">
        <v>76.95</v>
      </c>
      <c r="DW14" s="5">
        <v>78.66</v>
      </c>
      <c r="DX14" s="5">
        <v>77.52</v>
      </c>
      <c r="DY14" s="5">
        <v>78.66</v>
      </c>
      <c r="DZ14" s="5">
        <v>78.09</v>
      </c>
      <c r="EA14" s="5">
        <v>76.95</v>
      </c>
      <c r="EB14" s="5">
        <v>78.66</v>
      </c>
      <c r="EC14" s="5">
        <v>72.39</v>
      </c>
      <c r="ED14" s="5">
        <v>78.09</v>
      </c>
      <c r="EE14" s="5">
        <v>71.25</v>
      </c>
      <c r="EF14" s="5">
        <v>87.21</v>
      </c>
      <c r="EG14" s="5">
        <v>91.2</v>
      </c>
      <c r="EH14" s="5">
        <v>72.39</v>
      </c>
      <c r="EI14" s="5">
        <v>89.49</v>
      </c>
      <c r="EJ14" s="5">
        <v>75.81</v>
      </c>
      <c r="EK14" s="5">
        <v>90.63</v>
      </c>
      <c r="EL14" s="5">
        <v>96.9</v>
      </c>
      <c r="EM14" s="5">
        <v>95.76</v>
      </c>
      <c r="EN14" s="5">
        <v>92.34</v>
      </c>
      <c r="EO14" s="5">
        <v>97.47</v>
      </c>
      <c r="EP14" s="5">
        <v>103.17</v>
      </c>
      <c r="EQ14" s="5">
        <v>89.49</v>
      </c>
      <c r="ER14" s="5">
        <v>92.34</v>
      </c>
      <c r="ES14" s="5">
        <v>95.19</v>
      </c>
      <c r="ET14" s="5">
        <v>93.48</v>
      </c>
      <c r="EU14" s="5">
        <v>86.64</v>
      </c>
      <c r="EV14" s="5">
        <v>96.9</v>
      </c>
      <c r="EW14" s="5">
        <v>99.18</v>
      </c>
      <c r="EX14" s="5">
        <v>101.46</v>
      </c>
      <c r="EY14" s="5">
        <v>84.36</v>
      </c>
      <c r="EZ14" s="5">
        <v>94.62</v>
      </c>
      <c r="FA14" s="5">
        <v>88.92</v>
      </c>
      <c r="FB14" s="5">
        <v>91.77</v>
      </c>
      <c r="FC14" s="5">
        <v>96.9</v>
      </c>
      <c r="FD14" s="5">
        <v>82.08</v>
      </c>
      <c r="FE14" s="5">
        <v>78.66</v>
      </c>
      <c r="FF14" s="5">
        <v>62.13</v>
      </c>
      <c r="FG14" s="5">
        <v>78.09</v>
      </c>
      <c r="FH14" s="5">
        <v>67.83</v>
      </c>
      <c r="FI14" s="5">
        <v>73.53</v>
      </c>
      <c r="FJ14" s="5">
        <v>76.95</v>
      </c>
      <c r="FK14" s="5">
        <v>75.81</v>
      </c>
      <c r="FL14" s="5">
        <v>78.66</v>
      </c>
      <c r="FM14" s="5">
        <v>79.8</v>
      </c>
      <c r="FN14" s="5">
        <v>80.37</v>
      </c>
      <c r="FO14" s="5">
        <v>80.37</v>
      </c>
      <c r="FP14" s="5">
        <v>65.55</v>
      </c>
      <c r="FQ14" s="5">
        <v>71.25</v>
      </c>
      <c r="FR14" s="5">
        <v>70.680000000000007</v>
      </c>
      <c r="FS14" s="5">
        <v>80.37</v>
      </c>
      <c r="FT14" s="5">
        <v>72.959999999999994</v>
      </c>
      <c r="FU14" s="5">
        <v>72.39</v>
      </c>
      <c r="FV14" s="5">
        <v>72.959999999999994</v>
      </c>
      <c r="FW14" s="5">
        <v>70.11</v>
      </c>
      <c r="FX14" s="5">
        <v>69.540000000000006</v>
      </c>
      <c r="FY14" s="5">
        <v>74.67</v>
      </c>
      <c r="FZ14" s="5">
        <v>72.39</v>
      </c>
      <c r="GA14" s="5">
        <v>63.27</v>
      </c>
      <c r="GB14" s="5">
        <v>72.39</v>
      </c>
      <c r="GC14" s="5">
        <v>64.41</v>
      </c>
    </row>
    <row r="15" spans="1:185">
      <c r="A15" s="67">
        <v>13</v>
      </c>
      <c r="B15" s="13">
        <v>10</v>
      </c>
      <c r="C15" s="5">
        <v>10</v>
      </c>
      <c r="D15" s="5">
        <f t="shared" si="0"/>
        <v>100</v>
      </c>
      <c r="E15" s="5">
        <v>7</v>
      </c>
      <c r="F15" s="5">
        <f t="shared" si="1"/>
        <v>70</v>
      </c>
      <c r="G15" s="5">
        <f t="shared" si="2"/>
        <v>85</v>
      </c>
      <c r="H15" s="13">
        <v>10</v>
      </c>
      <c r="I15" s="5">
        <v>10</v>
      </c>
      <c r="J15" s="5">
        <f t="shared" si="3"/>
        <v>100</v>
      </c>
      <c r="K15" s="60">
        <v>1.5</v>
      </c>
      <c r="L15" s="68">
        <v>15</v>
      </c>
      <c r="M15" s="68">
        <f t="shared" si="4"/>
        <v>57.5</v>
      </c>
      <c r="N15" s="75">
        <v>7203.5100000000011</v>
      </c>
      <c r="O15" s="5">
        <v>-58.364445050000008</v>
      </c>
      <c r="P15" s="5">
        <v>45.63555495</v>
      </c>
      <c r="Q15" s="5">
        <v>-57.078747300000011</v>
      </c>
      <c r="R15" s="5">
        <v>46.921252699999989</v>
      </c>
      <c r="T15" s="60">
        <v>1.7749999999999999</v>
      </c>
      <c r="U15" s="60">
        <v>1.7250000000000001</v>
      </c>
      <c r="V15" s="60">
        <v>1.7625</v>
      </c>
      <c r="W15" s="60">
        <v>1.7124999999999999</v>
      </c>
      <c r="X15" s="60">
        <v>1.75</v>
      </c>
      <c r="Y15" s="60">
        <v>1.7875000000000001</v>
      </c>
      <c r="Z15" s="60">
        <v>1.7625</v>
      </c>
      <c r="AA15" s="60">
        <v>1.7375</v>
      </c>
      <c r="AB15" s="60">
        <v>1.825</v>
      </c>
      <c r="AC15" s="60">
        <v>1.95</v>
      </c>
      <c r="AD15" s="60">
        <v>1.5249999999999999</v>
      </c>
      <c r="AE15" s="60">
        <v>1.9375</v>
      </c>
      <c r="AF15" s="60">
        <v>1.8125</v>
      </c>
      <c r="AG15" s="60">
        <v>1.6375</v>
      </c>
      <c r="AH15" s="60">
        <v>1.5</v>
      </c>
      <c r="AI15" s="60">
        <v>1.7625</v>
      </c>
      <c r="AJ15" s="60">
        <v>1.825</v>
      </c>
      <c r="AK15" s="60">
        <v>1.5125</v>
      </c>
      <c r="AL15" s="60">
        <v>1.9125000000000001</v>
      </c>
      <c r="AM15" s="60">
        <v>1.75</v>
      </c>
      <c r="AN15" s="60">
        <v>1.7250000000000001</v>
      </c>
      <c r="AO15" s="60">
        <v>1.875</v>
      </c>
      <c r="AP15" s="60">
        <v>1.875</v>
      </c>
      <c r="AQ15" s="60">
        <v>1.875</v>
      </c>
      <c r="AR15" s="60">
        <v>1.65</v>
      </c>
      <c r="AS15" s="60">
        <v>1.8374999999999999</v>
      </c>
      <c r="AT15" s="60">
        <v>1.7875000000000001</v>
      </c>
      <c r="AU15" s="60">
        <v>1.65</v>
      </c>
      <c r="AV15" s="60">
        <v>1.8625</v>
      </c>
      <c r="AW15" s="60">
        <v>1.9624999999999999</v>
      </c>
      <c r="AX15" s="60">
        <v>1.9624999999999999</v>
      </c>
      <c r="AY15" s="60">
        <v>2</v>
      </c>
      <c r="AZ15" s="60">
        <v>2</v>
      </c>
      <c r="BA15" s="60">
        <v>1.65</v>
      </c>
      <c r="BB15" s="60">
        <v>2.1</v>
      </c>
      <c r="BC15" s="60">
        <v>2.0874999999999999</v>
      </c>
      <c r="BD15" s="60">
        <v>2.1</v>
      </c>
      <c r="BE15" s="60">
        <v>2.0125000000000002</v>
      </c>
      <c r="BF15" s="60">
        <v>1.825</v>
      </c>
      <c r="BG15" s="60">
        <v>2.15</v>
      </c>
      <c r="BH15" s="60">
        <v>2.0375000000000001</v>
      </c>
      <c r="BI15" s="60">
        <v>2.1</v>
      </c>
      <c r="BJ15" s="60">
        <v>2.1124999999999998</v>
      </c>
      <c r="BK15" s="60">
        <v>2.2124999999999999</v>
      </c>
      <c r="BL15" s="60">
        <v>2.1375000000000002</v>
      </c>
      <c r="BM15" s="60">
        <v>2.1124999999999998</v>
      </c>
      <c r="BN15" s="60">
        <v>2.1</v>
      </c>
      <c r="BO15" s="60">
        <v>2.0499999999999998</v>
      </c>
      <c r="BP15" s="60">
        <v>2.0625</v>
      </c>
      <c r="BQ15" s="60">
        <v>2.1124999999999998</v>
      </c>
      <c r="BR15" s="60">
        <v>2.0125000000000002</v>
      </c>
      <c r="BS15" s="60">
        <v>2</v>
      </c>
      <c r="BT15" s="60">
        <v>2.0625</v>
      </c>
      <c r="BU15" s="60">
        <v>1.625</v>
      </c>
      <c r="BV15" s="60">
        <v>1.7250000000000001</v>
      </c>
      <c r="BW15" s="60">
        <v>1.8</v>
      </c>
      <c r="BX15" s="60">
        <v>1.75</v>
      </c>
      <c r="BY15" s="60">
        <v>1.75</v>
      </c>
      <c r="BZ15" s="60">
        <v>1.6875</v>
      </c>
      <c r="CA15" s="60">
        <v>1.55</v>
      </c>
      <c r="CB15" s="60">
        <v>1.7625</v>
      </c>
      <c r="CC15" s="60">
        <v>1.7875000000000001</v>
      </c>
      <c r="CD15" s="60">
        <v>1.875</v>
      </c>
      <c r="CE15" s="60">
        <v>1.8</v>
      </c>
      <c r="CF15" s="60">
        <v>1.8875</v>
      </c>
      <c r="CG15" s="60">
        <v>1.5625</v>
      </c>
      <c r="CH15" s="60">
        <v>1.4375</v>
      </c>
      <c r="CI15" s="60">
        <v>1.6625000000000001</v>
      </c>
      <c r="CJ15" s="60">
        <v>1.675</v>
      </c>
      <c r="CK15" s="60">
        <v>1.5249999999999999</v>
      </c>
      <c r="CL15" s="60">
        <v>1.7</v>
      </c>
      <c r="CM15" s="60">
        <v>1.7</v>
      </c>
      <c r="CN15" s="60">
        <v>1.8125</v>
      </c>
      <c r="CO15" s="60">
        <v>1.8125</v>
      </c>
      <c r="CP15" s="60">
        <v>1.7749999999999999</v>
      </c>
      <c r="CQ15" s="60">
        <v>1.825</v>
      </c>
      <c r="CR15" s="60">
        <v>1.7749999999999999</v>
      </c>
      <c r="CS15" s="60">
        <v>1.9</v>
      </c>
      <c r="CT15" s="60">
        <v>1.3875</v>
      </c>
      <c r="CV15" s="5" t="s">
        <v>530</v>
      </c>
      <c r="CW15" s="5">
        <v>500</v>
      </c>
      <c r="CX15" s="63">
        <v>7.6224142857142865E-2</v>
      </c>
      <c r="CY15" s="5">
        <v>3</v>
      </c>
      <c r="DA15" s="5">
        <v>75.66</v>
      </c>
      <c r="DB15" s="5">
        <v>90.06</v>
      </c>
      <c r="DC15" s="5">
        <v>86.64</v>
      </c>
      <c r="DD15" s="5">
        <v>84.36</v>
      </c>
      <c r="DE15" s="5">
        <v>86.07</v>
      </c>
      <c r="DF15" s="5">
        <v>83.79</v>
      </c>
      <c r="DG15" s="5">
        <v>85.5</v>
      </c>
      <c r="DH15" s="5">
        <v>87.21</v>
      </c>
      <c r="DI15" s="5">
        <v>86.07</v>
      </c>
      <c r="DJ15" s="5">
        <v>84.93</v>
      </c>
      <c r="DK15" s="5">
        <v>88.92</v>
      </c>
      <c r="DL15" s="5">
        <v>94.62</v>
      </c>
      <c r="DM15" s="5">
        <v>74.67</v>
      </c>
      <c r="DN15" s="5">
        <v>94.05</v>
      </c>
      <c r="DO15" s="5">
        <v>87.78</v>
      </c>
      <c r="DP15" s="5">
        <v>79.8</v>
      </c>
      <c r="DQ15" s="5">
        <v>73.53</v>
      </c>
      <c r="DR15" s="5">
        <v>85.5</v>
      </c>
      <c r="DS15" s="5">
        <v>88.92</v>
      </c>
      <c r="DT15" s="5">
        <v>74.099999999999994</v>
      </c>
      <c r="DU15" s="5">
        <v>92.91</v>
      </c>
      <c r="DV15" s="5">
        <v>85.5</v>
      </c>
      <c r="DW15" s="5">
        <v>84.36</v>
      </c>
      <c r="DX15" s="5">
        <v>91.2</v>
      </c>
      <c r="DY15" s="5">
        <v>91.2</v>
      </c>
      <c r="DZ15" s="5">
        <v>91.2</v>
      </c>
      <c r="EA15" s="5">
        <v>80.94</v>
      </c>
      <c r="EB15" s="5">
        <v>89.49</v>
      </c>
      <c r="EC15" s="5">
        <v>87.21</v>
      </c>
      <c r="ED15" s="5">
        <v>80.94</v>
      </c>
      <c r="EE15" s="5">
        <v>90.63</v>
      </c>
      <c r="EF15" s="5">
        <v>95.19</v>
      </c>
      <c r="EG15" s="5">
        <v>95.76</v>
      </c>
      <c r="EH15" s="5">
        <v>96.9</v>
      </c>
      <c r="EI15" s="5">
        <v>96.9</v>
      </c>
      <c r="EJ15" s="5">
        <v>80.37</v>
      </c>
      <c r="EK15" s="5">
        <v>101.46</v>
      </c>
      <c r="EL15" s="5">
        <v>100.89</v>
      </c>
      <c r="EM15" s="5">
        <v>101.46</v>
      </c>
      <c r="EN15" s="5">
        <v>97.47</v>
      </c>
      <c r="EO15" s="5">
        <v>87.78</v>
      </c>
      <c r="EP15" s="5">
        <v>103.74</v>
      </c>
      <c r="EQ15" s="5">
        <v>98.61</v>
      </c>
      <c r="ER15" s="5">
        <v>101.46</v>
      </c>
      <c r="ES15" s="5">
        <v>102.03</v>
      </c>
      <c r="ET15" s="5">
        <v>106.59</v>
      </c>
      <c r="EU15" s="5">
        <v>103.17</v>
      </c>
      <c r="EV15" s="5">
        <v>102.03</v>
      </c>
      <c r="EW15" s="5">
        <v>101.46</v>
      </c>
      <c r="EX15" s="5">
        <v>99.18</v>
      </c>
      <c r="EY15" s="5">
        <v>99.75</v>
      </c>
      <c r="EZ15" s="5">
        <v>102.03</v>
      </c>
      <c r="FA15" s="5">
        <v>97.47</v>
      </c>
      <c r="FB15" s="5">
        <v>96.9</v>
      </c>
      <c r="FC15" s="5">
        <v>99.75</v>
      </c>
      <c r="FD15" s="5">
        <v>79.8</v>
      </c>
      <c r="FE15" s="5">
        <v>84.36</v>
      </c>
      <c r="FF15" s="5">
        <v>87.78</v>
      </c>
      <c r="FG15" s="5">
        <v>85.5</v>
      </c>
      <c r="FH15" s="5">
        <v>85.5</v>
      </c>
      <c r="FI15" s="5">
        <v>82.08</v>
      </c>
      <c r="FJ15" s="5">
        <v>75.81</v>
      </c>
      <c r="FK15" s="5">
        <v>86.07</v>
      </c>
      <c r="FL15" s="5">
        <v>87.21</v>
      </c>
      <c r="FM15" s="5">
        <v>91.2</v>
      </c>
      <c r="FN15" s="5">
        <v>87.78</v>
      </c>
      <c r="FO15" s="5">
        <v>91.77</v>
      </c>
      <c r="FP15" s="5">
        <v>76.95</v>
      </c>
      <c r="FQ15" s="5">
        <v>70.680000000000007</v>
      </c>
      <c r="FR15" s="5">
        <v>81.510000000000005</v>
      </c>
      <c r="FS15" s="5">
        <v>82.08</v>
      </c>
      <c r="FT15" s="5">
        <v>75.239999999999995</v>
      </c>
      <c r="FU15" s="5">
        <v>83.22</v>
      </c>
      <c r="FV15" s="5">
        <v>83.22</v>
      </c>
      <c r="FW15" s="5">
        <v>88.35</v>
      </c>
      <c r="FX15" s="5">
        <v>88.35</v>
      </c>
      <c r="FY15" s="5">
        <v>86.64</v>
      </c>
      <c r="FZ15" s="5">
        <v>88.92</v>
      </c>
      <c r="GA15" s="5">
        <v>86.64</v>
      </c>
      <c r="GB15" s="5">
        <v>92.34</v>
      </c>
      <c r="GC15" s="5">
        <v>68.400000000000006</v>
      </c>
    </row>
    <row r="16" spans="1:185">
      <c r="A16" s="67">
        <v>14</v>
      </c>
      <c r="B16" s="13">
        <v>10</v>
      </c>
      <c r="C16" s="5">
        <v>10</v>
      </c>
      <c r="D16" s="5">
        <f t="shared" si="0"/>
        <v>100</v>
      </c>
      <c r="E16" s="5">
        <v>1</v>
      </c>
      <c r="F16" s="5">
        <f t="shared" si="1"/>
        <v>10</v>
      </c>
      <c r="G16" s="5">
        <f t="shared" si="2"/>
        <v>55</v>
      </c>
      <c r="H16" s="13">
        <v>10</v>
      </c>
      <c r="I16" s="5">
        <v>8</v>
      </c>
      <c r="J16" s="5">
        <f t="shared" si="3"/>
        <v>80</v>
      </c>
      <c r="K16" s="60">
        <v>1.75</v>
      </c>
      <c r="L16" s="68">
        <v>17.5</v>
      </c>
      <c r="M16" s="68">
        <f t="shared" si="4"/>
        <v>48.75</v>
      </c>
      <c r="N16" s="75">
        <v>7623.5999999999985</v>
      </c>
      <c r="O16" s="5">
        <v>-58.506715849999999</v>
      </c>
      <c r="P16" s="5">
        <v>45.493284150000001</v>
      </c>
      <c r="Q16" s="5">
        <v>-59.110606399999995</v>
      </c>
      <c r="R16" s="5">
        <v>44.889393600000005</v>
      </c>
      <c r="T16" s="60">
        <v>1.7625</v>
      </c>
      <c r="U16" s="60">
        <v>1.7625</v>
      </c>
      <c r="V16" s="60">
        <v>1.75</v>
      </c>
      <c r="W16" s="60">
        <v>1.675</v>
      </c>
      <c r="X16" s="60">
        <v>1.8625</v>
      </c>
      <c r="Y16" s="60">
        <v>1.8</v>
      </c>
      <c r="Z16" s="60">
        <v>1.9375</v>
      </c>
      <c r="AA16" s="60">
        <v>1.8125</v>
      </c>
      <c r="AB16" s="60">
        <v>1.85</v>
      </c>
      <c r="AC16" s="60">
        <v>1.9750000000000001</v>
      </c>
      <c r="AD16" s="60">
        <v>1.6125</v>
      </c>
      <c r="AE16" s="60">
        <v>2</v>
      </c>
      <c r="AF16" s="60">
        <v>1.925</v>
      </c>
      <c r="AG16" s="60">
        <v>1.7749999999999999</v>
      </c>
      <c r="AH16" s="60">
        <v>1.6375</v>
      </c>
      <c r="AI16" s="60">
        <v>1.5625</v>
      </c>
      <c r="AJ16" s="60">
        <v>1.925</v>
      </c>
      <c r="AK16" s="60">
        <v>1.7875000000000001</v>
      </c>
      <c r="AL16" s="60">
        <v>1.5249999999999999</v>
      </c>
      <c r="AM16" s="60">
        <v>1.875</v>
      </c>
      <c r="AN16" s="60">
        <v>1.9750000000000001</v>
      </c>
      <c r="AO16" s="60">
        <v>1.9125000000000001</v>
      </c>
      <c r="AP16" s="60">
        <v>1.7375</v>
      </c>
      <c r="AQ16" s="60">
        <v>1.8625</v>
      </c>
      <c r="AR16" s="60">
        <v>1.85</v>
      </c>
      <c r="AS16" s="60">
        <v>1.85</v>
      </c>
      <c r="AT16" s="60">
        <v>1.9375</v>
      </c>
      <c r="AU16" s="60">
        <v>1.925</v>
      </c>
      <c r="AV16" s="60">
        <v>2.0249999999999999</v>
      </c>
      <c r="AW16" s="60">
        <v>2.0625</v>
      </c>
      <c r="AX16" s="60">
        <v>2.0625</v>
      </c>
      <c r="AY16" s="60">
        <v>2.2999999999999998</v>
      </c>
      <c r="AZ16" s="60">
        <v>2.2250000000000001</v>
      </c>
      <c r="BA16" s="60">
        <v>2.25</v>
      </c>
      <c r="BB16" s="60">
        <v>2.2000000000000002</v>
      </c>
      <c r="BC16" s="60">
        <v>2.4125000000000001</v>
      </c>
      <c r="BD16" s="60">
        <v>2.3250000000000002</v>
      </c>
      <c r="BE16" s="60">
        <v>2.1875</v>
      </c>
      <c r="BF16" s="60">
        <v>2.15</v>
      </c>
      <c r="BG16" s="60">
        <v>2.2625000000000002</v>
      </c>
      <c r="BH16" s="60">
        <v>2.2374999999999998</v>
      </c>
      <c r="BI16" s="60">
        <v>2.2625000000000002</v>
      </c>
      <c r="BJ16" s="60">
        <v>2.2124999999999999</v>
      </c>
      <c r="BK16" s="60">
        <v>2.3374999999999999</v>
      </c>
      <c r="BL16" s="60">
        <v>2.2625000000000002</v>
      </c>
      <c r="BM16" s="60">
        <v>2.3250000000000002</v>
      </c>
      <c r="BN16" s="60">
        <v>2.125</v>
      </c>
      <c r="BO16" s="60">
        <v>2.0499999999999998</v>
      </c>
      <c r="BP16" s="60">
        <v>2.2875000000000001</v>
      </c>
      <c r="BQ16" s="60">
        <v>2.3624999999999998</v>
      </c>
      <c r="BR16" s="60">
        <v>2.2875000000000001</v>
      </c>
      <c r="BS16" s="60">
        <v>2.2250000000000001</v>
      </c>
      <c r="BT16" s="60">
        <v>2.4125000000000001</v>
      </c>
      <c r="BU16" s="60">
        <v>2.0249999999999999</v>
      </c>
      <c r="BV16" s="60">
        <v>1.875</v>
      </c>
      <c r="BW16" s="60">
        <v>1.9125000000000001</v>
      </c>
      <c r="BX16" s="60">
        <v>1.9125000000000001</v>
      </c>
      <c r="BY16" s="60">
        <v>2.0249999999999999</v>
      </c>
      <c r="BZ16" s="60">
        <v>1.4375</v>
      </c>
      <c r="CA16" s="60">
        <v>1.75</v>
      </c>
      <c r="CB16" s="60">
        <v>2</v>
      </c>
      <c r="CC16" s="60">
        <v>1.8875</v>
      </c>
      <c r="CD16" s="60">
        <v>1.75</v>
      </c>
      <c r="CE16" s="60">
        <v>1.9624999999999999</v>
      </c>
      <c r="CF16" s="60">
        <v>1.6125</v>
      </c>
      <c r="CG16" s="60">
        <v>1.8374999999999999</v>
      </c>
      <c r="CH16" s="60">
        <v>1.825</v>
      </c>
      <c r="CI16" s="60">
        <v>1.8625</v>
      </c>
      <c r="CJ16" s="60">
        <v>1.6875</v>
      </c>
      <c r="CK16" s="60">
        <v>1.8</v>
      </c>
      <c r="CL16" s="60">
        <v>1.75</v>
      </c>
      <c r="CM16" s="60">
        <v>1.825</v>
      </c>
      <c r="CN16" s="60">
        <v>1.95</v>
      </c>
      <c r="CO16" s="60">
        <v>1.7375</v>
      </c>
      <c r="CP16" s="60">
        <v>1.6625000000000001</v>
      </c>
      <c r="CQ16" s="60">
        <v>1.7625</v>
      </c>
      <c r="CR16" s="60">
        <v>1.7</v>
      </c>
      <c r="CS16" s="60">
        <v>1.7875000000000001</v>
      </c>
      <c r="CT16" s="60">
        <v>1.6375</v>
      </c>
      <c r="CV16" s="5" t="s">
        <v>531</v>
      </c>
      <c r="CW16" s="5">
        <v>500</v>
      </c>
      <c r="CX16" s="63">
        <v>8.3642999999999995E-2</v>
      </c>
      <c r="CY16" s="5">
        <v>9</v>
      </c>
      <c r="DA16" s="5">
        <v>87.06</v>
      </c>
      <c r="DB16" s="5">
        <v>79.8</v>
      </c>
      <c r="DC16" s="5">
        <v>86.07</v>
      </c>
      <c r="DD16" s="5">
        <v>86.07</v>
      </c>
      <c r="DE16" s="5">
        <v>85.5</v>
      </c>
      <c r="DF16" s="5">
        <v>82.08</v>
      </c>
      <c r="DG16" s="5">
        <v>90.63</v>
      </c>
      <c r="DH16" s="5">
        <v>87.78</v>
      </c>
      <c r="DI16" s="5">
        <v>94.05</v>
      </c>
      <c r="DJ16" s="5">
        <v>88.35</v>
      </c>
      <c r="DK16" s="5">
        <v>90.06</v>
      </c>
      <c r="DL16" s="5">
        <v>95.76</v>
      </c>
      <c r="DM16" s="5">
        <v>78.66</v>
      </c>
      <c r="DN16" s="5">
        <v>96.9</v>
      </c>
      <c r="DO16" s="5">
        <v>93.48</v>
      </c>
      <c r="DP16" s="5">
        <v>86.07</v>
      </c>
      <c r="DQ16" s="5">
        <v>79.8</v>
      </c>
      <c r="DR16" s="5">
        <v>76.38</v>
      </c>
      <c r="DS16" s="5">
        <v>93.48</v>
      </c>
      <c r="DT16" s="5">
        <v>87.21</v>
      </c>
      <c r="DU16" s="5">
        <v>74.67</v>
      </c>
      <c r="DV16" s="5">
        <v>91.2</v>
      </c>
      <c r="DW16" s="5">
        <v>95.76</v>
      </c>
      <c r="DX16" s="5">
        <v>92.91</v>
      </c>
      <c r="DY16" s="5">
        <v>84.93</v>
      </c>
      <c r="DZ16" s="5">
        <v>90.63</v>
      </c>
      <c r="EA16" s="5">
        <v>90.06</v>
      </c>
      <c r="EB16" s="5">
        <v>90.06</v>
      </c>
      <c r="EC16" s="5">
        <v>94.05</v>
      </c>
      <c r="ED16" s="5">
        <v>93.48</v>
      </c>
      <c r="EE16" s="5">
        <v>98.04</v>
      </c>
      <c r="EF16" s="5">
        <v>99.75</v>
      </c>
      <c r="EG16" s="5">
        <v>106.02</v>
      </c>
      <c r="EH16" s="5">
        <v>110.58</v>
      </c>
      <c r="EI16" s="5">
        <v>107.16</v>
      </c>
      <c r="EJ16" s="5">
        <v>108.3</v>
      </c>
      <c r="EK16" s="5">
        <v>106.02</v>
      </c>
      <c r="EL16" s="5">
        <v>115.71</v>
      </c>
      <c r="EM16" s="5">
        <v>111.72</v>
      </c>
      <c r="EN16" s="5">
        <v>105.45</v>
      </c>
      <c r="EO16" s="5">
        <v>103.17</v>
      </c>
      <c r="EP16" s="5">
        <v>108.87</v>
      </c>
      <c r="EQ16" s="5">
        <v>107.73</v>
      </c>
      <c r="ER16" s="5">
        <v>108.87</v>
      </c>
      <c r="ES16" s="5">
        <v>106.59</v>
      </c>
      <c r="ET16" s="5">
        <v>112.29</v>
      </c>
      <c r="EU16" s="5">
        <v>108.87</v>
      </c>
      <c r="EV16" s="5">
        <v>111.72</v>
      </c>
      <c r="EW16" s="5">
        <v>102.03</v>
      </c>
      <c r="EX16" s="5">
        <v>98.61</v>
      </c>
      <c r="EY16" s="5">
        <v>110.01</v>
      </c>
      <c r="EZ16" s="5">
        <v>113.43</v>
      </c>
      <c r="FA16" s="5">
        <v>110.01</v>
      </c>
      <c r="FB16" s="5">
        <v>107.16</v>
      </c>
      <c r="FC16" s="5">
        <v>115.71</v>
      </c>
      <c r="FD16" s="5">
        <v>98.04</v>
      </c>
      <c r="FE16" s="5">
        <v>91.2</v>
      </c>
      <c r="FF16" s="5">
        <v>92.91</v>
      </c>
      <c r="FG16" s="5">
        <v>92.91</v>
      </c>
      <c r="FH16" s="5">
        <v>98.04</v>
      </c>
      <c r="FI16" s="5">
        <v>70.11</v>
      </c>
      <c r="FJ16" s="5">
        <v>84.93</v>
      </c>
      <c r="FK16" s="5">
        <v>96.9</v>
      </c>
      <c r="FL16" s="5">
        <v>91.77</v>
      </c>
      <c r="FM16" s="5">
        <v>84.93</v>
      </c>
      <c r="FN16" s="5">
        <v>95.19</v>
      </c>
      <c r="FO16" s="5">
        <v>78.66</v>
      </c>
      <c r="FP16" s="5">
        <v>89.49</v>
      </c>
      <c r="FQ16" s="5">
        <v>88.92</v>
      </c>
      <c r="FR16" s="5">
        <v>90.63</v>
      </c>
      <c r="FS16" s="5">
        <v>82.65</v>
      </c>
      <c r="FT16" s="5">
        <v>87.78</v>
      </c>
      <c r="FU16" s="5">
        <v>85.5</v>
      </c>
      <c r="FV16" s="5">
        <v>88.92</v>
      </c>
      <c r="FW16" s="5">
        <v>94.62</v>
      </c>
      <c r="FX16" s="5">
        <v>84.93</v>
      </c>
      <c r="FY16" s="5">
        <v>80.94</v>
      </c>
      <c r="FZ16" s="5">
        <v>86.07</v>
      </c>
      <c r="GA16" s="5">
        <v>83.22</v>
      </c>
      <c r="GB16" s="5">
        <v>87.21</v>
      </c>
      <c r="GC16" s="5">
        <v>80.37</v>
      </c>
    </row>
    <row r="17" spans="1:185">
      <c r="A17" s="67">
        <v>15</v>
      </c>
      <c r="B17" s="13">
        <v>10</v>
      </c>
      <c r="C17" s="5">
        <v>7</v>
      </c>
      <c r="D17" s="5">
        <f t="shared" si="0"/>
        <v>70</v>
      </c>
      <c r="E17" s="5">
        <v>1</v>
      </c>
      <c r="F17" s="60">
        <f t="shared" si="1"/>
        <v>14.285714285714285</v>
      </c>
      <c r="G17" s="60">
        <f t="shared" si="2"/>
        <v>42.142857142857139</v>
      </c>
      <c r="H17" s="13">
        <v>10</v>
      </c>
      <c r="I17" s="5">
        <v>10</v>
      </c>
      <c r="J17" s="5">
        <f t="shared" si="3"/>
        <v>100</v>
      </c>
      <c r="K17" s="60">
        <v>1.1125</v>
      </c>
      <c r="L17" s="68">
        <v>11.125</v>
      </c>
      <c r="M17" s="68">
        <f t="shared" si="4"/>
        <v>55.5625</v>
      </c>
      <c r="N17" s="5">
        <v>5767.1100000000006</v>
      </c>
      <c r="O17" s="5">
        <v>-60.527975350000006</v>
      </c>
      <c r="P17" s="5">
        <v>43.472024649999994</v>
      </c>
      <c r="Q17" s="5">
        <v>-58.556849999999997</v>
      </c>
      <c r="R17" s="5">
        <v>45.443150000000003</v>
      </c>
      <c r="T17" s="60">
        <v>1.1625000000000001</v>
      </c>
      <c r="U17" s="60">
        <v>1.2124999999999999</v>
      </c>
      <c r="V17" s="60">
        <v>1.35</v>
      </c>
      <c r="W17" s="60">
        <v>1.2625</v>
      </c>
      <c r="X17" s="60">
        <v>1.3625</v>
      </c>
      <c r="Y17" s="60">
        <v>1.3625</v>
      </c>
      <c r="Z17" s="60">
        <v>1.2749999999999999</v>
      </c>
      <c r="AA17" s="60">
        <v>1.3374999999999999</v>
      </c>
      <c r="AB17" s="60">
        <v>1.375</v>
      </c>
      <c r="AC17" s="60">
        <v>1.3625</v>
      </c>
      <c r="AD17" s="60">
        <v>1.3875</v>
      </c>
      <c r="AE17" s="60">
        <v>1.4</v>
      </c>
      <c r="AF17" s="60">
        <v>1.375</v>
      </c>
      <c r="AG17" s="60">
        <v>1.3625</v>
      </c>
      <c r="AH17" s="60">
        <v>1.375</v>
      </c>
      <c r="AI17" s="60">
        <v>1.2875000000000001</v>
      </c>
      <c r="AJ17" s="60">
        <v>1.2375</v>
      </c>
      <c r="AK17" s="60">
        <v>1.1000000000000001</v>
      </c>
      <c r="AL17" s="60">
        <v>1.325</v>
      </c>
      <c r="AM17" s="60">
        <v>1.35</v>
      </c>
      <c r="AN17" s="60">
        <v>1.2124999999999999</v>
      </c>
      <c r="AO17" s="60">
        <v>1.3</v>
      </c>
      <c r="AP17" s="60">
        <v>1.2250000000000001</v>
      </c>
      <c r="AQ17" s="60">
        <v>1.325</v>
      </c>
      <c r="AR17" s="60">
        <v>1.4</v>
      </c>
      <c r="AS17" s="60">
        <v>1.55</v>
      </c>
      <c r="AT17" s="60">
        <v>1.55</v>
      </c>
      <c r="AU17" s="60">
        <v>1.5249999999999999</v>
      </c>
      <c r="AV17" s="60">
        <v>1.575</v>
      </c>
      <c r="AW17" s="60">
        <v>1.3374999999999999</v>
      </c>
      <c r="AX17" s="60">
        <v>1.3374999999999999</v>
      </c>
      <c r="AY17" s="60">
        <v>1.6375</v>
      </c>
      <c r="AZ17" s="60">
        <v>1.7250000000000001</v>
      </c>
      <c r="BA17" s="60">
        <v>1.4125000000000001</v>
      </c>
      <c r="BB17" s="60">
        <v>1.825</v>
      </c>
      <c r="BC17" s="60">
        <v>1.7625</v>
      </c>
      <c r="BD17" s="60">
        <v>1.85</v>
      </c>
      <c r="BE17" s="60">
        <v>1.825</v>
      </c>
      <c r="BF17" s="60">
        <v>1.2124999999999999</v>
      </c>
      <c r="BG17" s="60">
        <v>1.65</v>
      </c>
      <c r="BH17" s="60">
        <v>1.8875</v>
      </c>
      <c r="BI17" s="60">
        <v>1.75</v>
      </c>
      <c r="BJ17" s="60">
        <v>1.5125</v>
      </c>
      <c r="BK17" s="60">
        <v>1.95</v>
      </c>
      <c r="BL17" s="60">
        <v>1.8374999999999999</v>
      </c>
      <c r="BM17" s="60">
        <v>1.7749999999999999</v>
      </c>
      <c r="BN17" s="60">
        <v>1.9624999999999999</v>
      </c>
      <c r="BO17" s="60">
        <v>1.625</v>
      </c>
      <c r="BP17" s="60">
        <v>1.425</v>
      </c>
      <c r="BQ17" s="60">
        <v>1.825</v>
      </c>
      <c r="BR17" s="60">
        <v>1.9</v>
      </c>
      <c r="BS17" s="60">
        <v>1.5874999999999999</v>
      </c>
      <c r="BT17" s="60">
        <v>1.65</v>
      </c>
      <c r="BU17" s="60">
        <v>1.2875000000000001</v>
      </c>
      <c r="BV17" s="60">
        <v>1.325</v>
      </c>
      <c r="BW17" s="60">
        <v>1.4125000000000001</v>
      </c>
      <c r="BX17" s="60">
        <v>1.2625</v>
      </c>
      <c r="BY17" s="60">
        <v>1.4125000000000001</v>
      </c>
      <c r="BZ17" s="60">
        <v>1.2875000000000001</v>
      </c>
      <c r="CA17" s="60">
        <v>1.1000000000000001</v>
      </c>
      <c r="CB17" s="60">
        <v>1.5125</v>
      </c>
      <c r="CC17" s="60">
        <v>1.2875000000000001</v>
      </c>
      <c r="CD17" s="60">
        <v>1.3625</v>
      </c>
      <c r="CE17" s="60">
        <v>1.4</v>
      </c>
      <c r="CF17" s="60">
        <v>1.2625</v>
      </c>
      <c r="CG17" s="60">
        <v>1.2749999999999999</v>
      </c>
      <c r="CH17" s="60">
        <v>1.2875000000000001</v>
      </c>
      <c r="CI17" s="60">
        <v>1.2875000000000001</v>
      </c>
      <c r="CJ17" s="60">
        <v>1.2375</v>
      </c>
      <c r="CK17" s="60">
        <v>1.35</v>
      </c>
      <c r="CL17" s="60">
        <v>1.3125</v>
      </c>
      <c r="CM17" s="60">
        <v>1.3374999999999999</v>
      </c>
      <c r="CN17" s="60">
        <v>1.4750000000000001</v>
      </c>
      <c r="CO17" s="60">
        <v>1.375</v>
      </c>
      <c r="CP17" s="60">
        <v>1.4624999999999999</v>
      </c>
      <c r="CQ17" s="60">
        <v>1.35</v>
      </c>
      <c r="CR17" s="60">
        <v>1.3</v>
      </c>
      <c r="CS17" s="60">
        <v>1.4750000000000001</v>
      </c>
      <c r="CT17" s="60">
        <v>1.2625</v>
      </c>
      <c r="CV17" s="5" t="s">
        <v>532</v>
      </c>
      <c r="CW17" s="5">
        <v>500</v>
      </c>
      <c r="CX17" s="63">
        <v>8.7304000000000007E-2</v>
      </c>
      <c r="CY17" s="5">
        <v>9</v>
      </c>
      <c r="DA17" s="5">
        <v>57.99</v>
      </c>
      <c r="DB17" s="5">
        <v>66.69</v>
      </c>
      <c r="DC17" s="5">
        <v>58.71</v>
      </c>
      <c r="DD17" s="5">
        <v>60.99</v>
      </c>
      <c r="DE17" s="5">
        <v>67.260000000000005</v>
      </c>
      <c r="DF17" s="5">
        <v>63.27</v>
      </c>
      <c r="DG17" s="5">
        <v>67.83</v>
      </c>
      <c r="DH17" s="5">
        <v>67.83</v>
      </c>
      <c r="DI17" s="5">
        <v>63.84</v>
      </c>
      <c r="DJ17" s="5">
        <v>66.12</v>
      </c>
      <c r="DK17" s="5">
        <v>68.400000000000006</v>
      </c>
      <c r="DL17" s="5">
        <v>67.260000000000005</v>
      </c>
      <c r="DM17" s="5">
        <v>68.97</v>
      </c>
      <c r="DN17" s="5">
        <v>69.540000000000006</v>
      </c>
      <c r="DO17" s="5">
        <v>68.400000000000006</v>
      </c>
      <c r="DP17" s="5">
        <v>67.83</v>
      </c>
      <c r="DQ17" s="5">
        <v>68.400000000000006</v>
      </c>
      <c r="DR17" s="5">
        <v>64.41</v>
      </c>
      <c r="DS17" s="5">
        <v>60.99</v>
      </c>
      <c r="DT17" s="5">
        <v>55.29</v>
      </c>
      <c r="DU17" s="5">
        <v>66.12</v>
      </c>
      <c r="DV17" s="5">
        <v>67.260000000000005</v>
      </c>
      <c r="DW17" s="5">
        <v>60.99</v>
      </c>
      <c r="DX17" s="5">
        <v>64.98</v>
      </c>
      <c r="DY17" s="5">
        <v>61.56</v>
      </c>
      <c r="DZ17" s="5">
        <v>66.12</v>
      </c>
      <c r="EA17" s="5">
        <v>69.540000000000006</v>
      </c>
      <c r="EB17" s="5">
        <v>76.38</v>
      </c>
      <c r="EC17" s="5">
        <v>76.38</v>
      </c>
      <c r="ED17" s="5">
        <v>75.239999999999995</v>
      </c>
      <c r="EE17" s="5">
        <v>77.52</v>
      </c>
      <c r="EF17" s="5">
        <v>65.55</v>
      </c>
      <c r="EG17" s="5">
        <v>76.95</v>
      </c>
      <c r="EH17" s="5">
        <v>80.37</v>
      </c>
      <c r="EI17" s="5">
        <v>84.36</v>
      </c>
      <c r="EJ17" s="5">
        <v>68.97</v>
      </c>
      <c r="EK17" s="5">
        <v>88.92</v>
      </c>
      <c r="EL17" s="5">
        <v>86.07</v>
      </c>
      <c r="EM17" s="5">
        <v>90.06</v>
      </c>
      <c r="EN17" s="5">
        <v>88.92</v>
      </c>
      <c r="EO17" s="5">
        <v>59.85</v>
      </c>
      <c r="EP17" s="5">
        <v>80.94</v>
      </c>
      <c r="EQ17" s="5">
        <v>91.77</v>
      </c>
      <c r="ER17" s="5">
        <v>85.5</v>
      </c>
      <c r="ES17" s="5">
        <v>74.099999999999994</v>
      </c>
      <c r="ET17" s="5">
        <v>94.62</v>
      </c>
      <c r="EU17" s="5">
        <v>88.92</v>
      </c>
      <c r="EV17" s="5">
        <v>86.64</v>
      </c>
      <c r="EW17" s="5">
        <v>95.19</v>
      </c>
      <c r="EX17" s="5">
        <v>79.23</v>
      </c>
      <c r="EY17" s="5">
        <v>70.11</v>
      </c>
      <c r="EZ17" s="5">
        <v>88.92</v>
      </c>
      <c r="FA17" s="5">
        <v>92.34</v>
      </c>
      <c r="FB17" s="5">
        <v>77.52</v>
      </c>
      <c r="FC17" s="5">
        <v>80.94</v>
      </c>
      <c r="FD17" s="5">
        <v>64.41</v>
      </c>
      <c r="FE17" s="5">
        <v>66.12</v>
      </c>
      <c r="FF17" s="5">
        <v>70.11</v>
      </c>
      <c r="FG17" s="5">
        <v>62.7</v>
      </c>
      <c r="FH17" s="5">
        <v>70.11</v>
      </c>
      <c r="FI17" s="5">
        <v>63.84</v>
      </c>
      <c r="FJ17" s="5">
        <v>54.72</v>
      </c>
      <c r="FK17" s="5">
        <v>74.67</v>
      </c>
      <c r="FL17" s="5">
        <v>64.41</v>
      </c>
      <c r="FM17" s="5">
        <v>67.83</v>
      </c>
      <c r="FN17" s="5">
        <v>69.540000000000006</v>
      </c>
      <c r="FO17" s="5">
        <v>63.27</v>
      </c>
      <c r="FP17" s="5">
        <v>63.84</v>
      </c>
      <c r="FQ17" s="5">
        <v>64.41</v>
      </c>
      <c r="FR17" s="5">
        <v>64.41</v>
      </c>
      <c r="FS17" s="5">
        <v>62.13</v>
      </c>
      <c r="FT17" s="5">
        <v>67.260000000000005</v>
      </c>
      <c r="FU17" s="5">
        <v>65.55</v>
      </c>
      <c r="FV17" s="5">
        <v>66.69</v>
      </c>
      <c r="FW17" s="5">
        <v>72.959999999999994</v>
      </c>
      <c r="FX17" s="5">
        <v>68.400000000000006</v>
      </c>
      <c r="FY17" s="5">
        <v>72.39</v>
      </c>
      <c r="FZ17" s="5">
        <v>67.260000000000005</v>
      </c>
      <c r="GA17" s="5">
        <v>64.98</v>
      </c>
      <c r="GB17" s="5">
        <v>72.959999999999994</v>
      </c>
      <c r="GC17" s="5">
        <v>63.27</v>
      </c>
    </row>
    <row r="18" spans="1:185">
      <c r="A18" s="67">
        <v>16</v>
      </c>
      <c r="B18" s="13">
        <v>10</v>
      </c>
      <c r="C18" s="5">
        <v>10</v>
      </c>
      <c r="D18" s="5">
        <f t="shared" si="0"/>
        <v>100</v>
      </c>
      <c r="E18" s="5">
        <v>5</v>
      </c>
      <c r="F18" s="60">
        <f t="shared" si="1"/>
        <v>50</v>
      </c>
      <c r="G18" s="60">
        <f t="shared" si="2"/>
        <v>75</v>
      </c>
      <c r="H18" s="13">
        <v>10</v>
      </c>
      <c r="I18" s="5">
        <v>8</v>
      </c>
      <c r="J18" s="5">
        <f t="shared" si="3"/>
        <v>80</v>
      </c>
      <c r="K18" s="60">
        <v>1.4750000000000001</v>
      </c>
      <c r="L18" s="68">
        <v>14.750000000000002</v>
      </c>
      <c r="M18" s="68">
        <f t="shared" si="4"/>
        <v>47.375</v>
      </c>
      <c r="N18" s="75">
        <v>6936.7500000000009</v>
      </c>
      <c r="O18" s="5">
        <v>-60.757881399999995</v>
      </c>
      <c r="P18" s="5">
        <v>43.242118600000005</v>
      </c>
      <c r="Q18" s="5">
        <v>-61.149335600000008</v>
      </c>
      <c r="R18" s="5">
        <v>42.850664399999999</v>
      </c>
      <c r="T18" s="60">
        <v>1.7</v>
      </c>
      <c r="U18" s="60">
        <v>1.6375</v>
      </c>
      <c r="V18" s="60">
        <v>1.6375</v>
      </c>
      <c r="W18" s="60">
        <v>1.575</v>
      </c>
      <c r="X18" s="60">
        <v>1.6375</v>
      </c>
      <c r="Y18" s="60">
        <v>1.6</v>
      </c>
      <c r="Z18" s="60">
        <v>1.6875</v>
      </c>
      <c r="AA18" s="60">
        <v>1.5874999999999999</v>
      </c>
      <c r="AB18" s="60">
        <v>1.5625</v>
      </c>
      <c r="AC18" s="60">
        <v>1.7250000000000001</v>
      </c>
      <c r="AD18" s="60">
        <v>1.7250000000000001</v>
      </c>
      <c r="AE18" s="60">
        <v>1.7749999999999999</v>
      </c>
      <c r="AF18" s="60">
        <v>1.925</v>
      </c>
      <c r="AG18" s="60">
        <v>1.75</v>
      </c>
      <c r="AH18" s="60">
        <v>1.8374999999999999</v>
      </c>
      <c r="AI18" s="60">
        <v>1.85</v>
      </c>
      <c r="AJ18" s="60">
        <v>1.5125</v>
      </c>
      <c r="AK18" s="60">
        <v>1.575</v>
      </c>
      <c r="AL18" s="60">
        <v>1.675</v>
      </c>
      <c r="AM18" s="60">
        <v>1.5874999999999999</v>
      </c>
      <c r="AN18" s="60">
        <v>1.65</v>
      </c>
      <c r="AO18" s="60">
        <v>1.625</v>
      </c>
      <c r="AP18" s="60">
        <v>1.65</v>
      </c>
      <c r="AQ18" s="60">
        <v>1.7124999999999999</v>
      </c>
      <c r="AR18" s="60">
        <v>1.7</v>
      </c>
      <c r="AS18" s="60">
        <v>1.9624999999999999</v>
      </c>
      <c r="AT18" s="60">
        <v>1.95</v>
      </c>
      <c r="AU18" s="60">
        <v>1.7875000000000001</v>
      </c>
      <c r="AV18" s="60">
        <v>1.8374999999999999</v>
      </c>
      <c r="AW18" s="60">
        <v>2.0125000000000002</v>
      </c>
      <c r="AX18" s="60">
        <v>2.0125000000000002</v>
      </c>
      <c r="AY18" s="60">
        <v>2.0249999999999999</v>
      </c>
      <c r="AZ18" s="60">
        <v>1.925</v>
      </c>
      <c r="BA18" s="60">
        <v>2.1</v>
      </c>
      <c r="BB18" s="60">
        <v>2.0750000000000002</v>
      </c>
      <c r="BC18" s="60">
        <v>1.925</v>
      </c>
      <c r="BD18" s="60">
        <v>2.1</v>
      </c>
      <c r="BE18" s="60">
        <v>2.1375000000000002</v>
      </c>
      <c r="BF18" s="60">
        <v>1.7250000000000001</v>
      </c>
      <c r="BG18" s="60">
        <v>2.0125000000000002</v>
      </c>
      <c r="BH18" s="60">
        <v>1.9750000000000001</v>
      </c>
      <c r="BI18" s="60">
        <v>2.0125000000000002</v>
      </c>
      <c r="BJ18" s="60">
        <v>1.95</v>
      </c>
      <c r="BK18" s="60">
        <v>2.0499999999999998</v>
      </c>
      <c r="BL18" s="60">
        <v>2.0499999999999998</v>
      </c>
      <c r="BM18" s="60">
        <v>1.9875</v>
      </c>
      <c r="BN18" s="60">
        <v>2.1124999999999998</v>
      </c>
      <c r="BO18" s="60">
        <v>1.85</v>
      </c>
      <c r="BP18" s="60">
        <v>1.9375</v>
      </c>
      <c r="BQ18" s="60">
        <v>1.9750000000000001</v>
      </c>
      <c r="BR18" s="60">
        <v>2.0375000000000001</v>
      </c>
      <c r="BS18" s="60">
        <v>1.8875</v>
      </c>
      <c r="BT18" s="60">
        <v>2.0125000000000002</v>
      </c>
      <c r="BU18" s="60">
        <v>1.4375</v>
      </c>
      <c r="BV18" s="60">
        <v>1.6375</v>
      </c>
      <c r="BW18" s="60">
        <v>1.7875000000000001</v>
      </c>
      <c r="BX18" s="60">
        <v>1.7124999999999999</v>
      </c>
      <c r="BY18" s="60">
        <v>1.625</v>
      </c>
      <c r="BZ18" s="60">
        <v>1.65</v>
      </c>
      <c r="CA18" s="60">
        <v>1.8</v>
      </c>
      <c r="CB18" s="60">
        <v>1.7250000000000001</v>
      </c>
      <c r="CC18" s="60">
        <v>1.75</v>
      </c>
      <c r="CD18" s="60">
        <v>1.7</v>
      </c>
      <c r="CE18" s="60">
        <v>1.45</v>
      </c>
      <c r="CF18" s="60">
        <v>1.7</v>
      </c>
      <c r="CG18" s="60">
        <v>1.5874999999999999</v>
      </c>
      <c r="CH18" s="60">
        <v>1.3125</v>
      </c>
      <c r="CI18" s="60">
        <v>1.5375000000000001</v>
      </c>
      <c r="CJ18" s="60">
        <v>1.5125</v>
      </c>
      <c r="CK18" s="60">
        <v>1.4</v>
      </c>
      <c r="CL18" s="60">
        <v>1.575</v>
      </c>
      <c r="CM18" s="60">
        <v>1.6</v>
      </c>
      <c r="CN18" s="60">
        <v>1.575</v>
      </c>
      <c r="CO18" s="60">
        <v>1.5375000000000001</v>
      </c>
      <c r="CP18" s="60">
        <v>1.6</v>
      </c>
      <c r="CQ18" s="60">
        <v>1.575</v>
      </c>
      <c r="CR18" s="60">
        <v>1.55</v>
      </c>
      <c r="CS18" s="60">
        <v>1.7375</v>
      </c>
      <c r="CT18" s="60">
        <v>1.4875</v>
      </c>
      <c r="CV18" s="5" t="s">
        <v>533</v>
      </c>
      <c r="CW18" s="5">
        <v>500</v>
      </c>
      <c r="CX18" s="63">
        <v>7.940040000000001E-2</v>
      </c>
      <c r="CY18" s="5">
        <v>5</v>
      </c>
      <c r="DA18" s="5">
        <v>74.52</v>
      </c>
      <c r="DB18" s="5">
        <v>82.08</v>
      </c>
      <c r="DC18" s="5">
        <v>83.22</v>
      </c>
      <c r="DD18" s="5">
        <v>80.37</v>
      </c>
      <c r="DE18" s="5">
        <v>80.37</v>
      </c>
      <c r="DF18" s="5">
        <v>77.52</v>
      </c>
      <c r="DG18" s="5">
        <v>80.37</v>
      </c>
      <c r="DH18" s="5">
        <v>78.66</v>
      </c>
      <c r="DI18" s="5">
        <v>82.65</v>
      </c>
      <c r="DJ18" s="5">
        <v>78.09</v>
      </c>
      <c r="DK18" s="5">
        <v>76.95</v>
      </c>
      <c r="DL18" s="5">
        <v>84.36</v>
      </c>
      <c r="DM18" s="5">
        <v>83.79</v>
      </c>
      <c r="DN18" s="5">
        <v>86.64</v>
      </c>
      <c r="DO18" s="5">
        <v>93.48</v>
      </c>
      <c r="DP18" s="5">
        <v>85.5</v>
      </c>
      <c r="DQ18" s="5">
        <v>89.49</v>
      </c>
      <c r="DR18" s="5">
        <v>90.06</v>
      </c>
      <c r="DS18" s="5">
        <v>74.099999999999994</v>
      </c>
      <c r="DT18" s="5">
        <v>77.52</v>
      </c>
      <c r="DU18" s="5">
        <v>81.510000000000005</v>
      </c>
      <c r="DV18" s="5">
        <v>78.09</v>
      </c>
      <c r="DW18" s="5">
        <v>80.94</v>
      </c>
      <c r="DX18" s="5">
        <v>79.8</v>
      </c>
      <c r="DY18" s="5">
        <v>80.94</v>
      </c>
      <c r="DZ18" s="5">
        <v>83.79</v>
      </c>
      <c r="EA18" s="5">
        <v>83.22</v>
      </c>
      <c r="EB18" s="5">
        <v>95.19</v>
      </c>
      <c r="EC18" s="5">
        <v>94.62</v>
      </c>
      <c r="ED18" s="5">
        <v>87.21</v>
      </c>
      <c r="EE18" s="5">
        <v>89.49</v>
      </c>
      <c r="EF18" s="5">
        <v>97.47</v>
      </c>
      <c r="EG18" s="5">
        <v>100.32</v>
      </c>
      <c r="EH18" s="5">
        <v>98.04</v>
      </c>
      <c r="EI18" s="5">
        <v>93.48</v>
      </c>
      <c r="EJ18" s="5">
        <v>101.46</v>
      </c>
      <c r="EK18" s="5">
        <v>100.32</v>
      </c>
      <c r="EL18" s="5">
        <v>93.48</v>
      </c>
      <c r="EM18" s="5">
        <v>101.46</v>
      </c>
      <c r="EN18" s="5">
        <v>103.17</v>
      </c>
      <c r="EO18" s="5">
        <v>83.79</v>
      </c>
      <c r="EP18" s="5">
        <v>97.47</v>
      </c>
      <c r="EQ18" s="5">
        <v>95.76</v>
      </c>
      <c r="ER18" s="5">
        <v>97.47</v>
      </c>
      <c r="ES18" s="5">
        <v>94.62</v>
      </c>
      <c r="ET18" s="5">
        <v>99.18</v>
      </c>
      <c r="EU18" s="5">
        <v>99.18</v>
      </c>
      <c r="EV18" s="5">
        <v>96.33</v>
      </c>
      <c r="EW18" s="5">
        <v>102.03</v>
      </c>
      <c r="EX18" s="5">
        <v>89.49</v>
      </c>
      <c r="EY18" s="5">
        <v>94.05</v>
      </c>
      <c r="EZ18" s="5">
        <v>95.76</v>
      </c>
      <c r="FA18" s="5">
        <v>98.61</v>
      </c>
      <c r="FB18" s="5">
        <v>91.77</v>
      </c>
      <c r="FC18" s="5">
        <v>97.47</v>
      </c>
      <c r="FD18" s="5">
        <v>71.25</v>
      </c>
      <c r="FE18" s="5">
        <v>80.37</v>
      </c>
      <c r="FF18" s="5">
        <v>87.21</v>
      </c>
      <c r="FG18" s="5">
        <v>83.79</v>
      </c>
      <c r="FH18" s="5">
        <v>79.23</v>
      </c>
      <c r="FI18" s="5">
        <v>80.37</v>
      </c>
      <c r="FJ18" s="5">
        <v>87.78</v>
      </c>
      <c r="FK18" s="5">
        <v>84.36</v>
      </c>
      <c r="FL18" s="5">
        <v>85.5</v>
      </c>
      <c r="FM18" s="5">
        <v>83.22</v>
      </c>
      <c r="FN18" s="5">
        <v>70.680000000000007</v>
      </c>
      <c r="FO18" s="5">
        <v>83.22</v>
      </c>
      <c r="FP18" s="5">
        <v>78.09</v>
      </c>
      <c r="FQ18" s="5">
        <v>64.98</v>
      </c>
      <c r="FR18" s="5">
        <v>75.81</v>
      </c>
      <c r="FS18" s="5">
        <v>74.67</v>
      </c>
      <c r="FT18" s="5">
        <v>68.97</v>
      </c>
      <c r="FU18" s="5">
        <v>77.52</v>
      </c>
      <c r="FV18" s="5">
        <v>78.66</v>
      </c>
      <c r="FW18" s="5">
        <v>77.52</v>
      </c>
      <c r="FX18" s="5">
        <v>75.81</v>
      </c>
      <c r="FY18" s="5">
        <v>78.66</v>
      </c>
      <c r="FZ18" s="5">
        <v>77.52</v>
      </c>
      <c r="GA18" s="5">
        <v>76.38</v>
      </c>
      <c r="GB18" s="5">
        <v>84.93</v>
      </c>
      <c r="GC18" s="5">
        <v>73.53</v>
      </c>
    </row>
    <row r="19" spans="1:185">
      <c r="A19" s="67">
        <v>17</v>
      </c>
      <c r="B19" s="13">
        <v>10</v>
      </c>
      <c r="C19" s="5">
        <v>9</v>
      </c>
      <c r="D19" s="5">
        <f t="shared" si="0"/>
        <v>90</v>
      </c>
      <c r="E19" s="5">
        <v>3</v>
      </c>
      <c r="F19" s="60">
        <f t="shared" si="1"/>
        <v>33.333333333333329</v>
      </c>
      <c r="G19" s="60">
        <f t="shared" si="2"/>
        <v>61.666666666666664</v>
      </c>
      <c r="H19" s="13">
        <v>10</v>
      </c>
      <c r="I19" s="5">
        <v>9</v>
      </c>
      <c r="J19" s="5">
        <f t="shared" si="3"/>
        <v>90</v>
      </c>
      <c r="K19" s="60">
        <v>0.92500000000000004</v>
      </c>
      <c r="L19" s="68">
        <v>9.25</v>
      </c>
      <c r="M19" s="68">
        <f t="shared" si="4"/>
        <v>49.625</v>
      </c>
      <c r="N19" s="5">
        <v>5237.579999999999</v>
      </c>
      <c r="O19" s="5">
        <v>-60.3697169</v>
      </c>
      <c r="P19" s="5">
        <v>43.6302831</v>
      </c>
      <c r="Q19" s="5">
        <v>-59.003938500000004</v>
      </c>
      <c r="R19" s="5">
        <v>44.996061499999996</v>
      </c>
      <c r="T19" s="60">
        <v>1.2</v>
      </c>
      <c r="U19" s="60">
        <v>1.2250000000000001</v>
      </c>
      <c r="V19" s="60">
        <v>1.125</v>
      </c>
      <c r="W19" s="60">
        <v>1</v>
      </c>
      <c r="X19" s="60">
        <v>0.96250000000000002</v>
      </c>
      <c r="Y19" s="60">
        <v>1.0625</v>
      </c>
      <c r="Z19" s="60">
        <v>1.1125</v>
      </c>
      <c r="AA19" s="60">
        <v>1.175</v>
      </c>
      <c r="AB19" s="60">
        <v>1.05</v>
      </c>
      <c r="AC19" s="60">
        <v>1.2875000000000001</v>
      </c>
      <c r="AD19" s="60">
        <v>1.375</v>
      </c>
      <c r="AE19" s="60">
        <v>1.3875</v>
      </c>
      <c r="AF19" s="60">
        <v>1.4</v>
      </c>
      <c r="AG19" s="60">
        <v>1.2625</v>
      </c>
      <c r="AH19" s="60">
        <v>1.4125000000000001</v>
      </c>
      <c r="AI19" s="60">
        <v>1.2875000000000001</v>
      </c>
      <c r="AJ19" s="60">
        <v>1.325</v>
      </c>
      <c r="AK19" s="60">
        <v>1.1375</v>
      </c>
      <c r="AL19" s="60">
        <v>1.2250000000000001</v>
      </c>
      <c r="AM19" s="60">
        <v>1.2124999999999999</v>
      </c>
      <c r="AN19" s="60">
        <v>1.2375</v>
      </c>
      <c r="AO19" s="60">
        <v>1.1875</v>
      </c>
      <c r="AP19" s="60">
        <v>1.075</v>
      </c>
      <c r="AQ19" s="60">
        <v>1.3875</v>
      </c>
      <c r="AR19" s="60">
        <v>1.3875</v>
      </c>
      <c r="AS19" s="60">
        <v>1.5625</v>
      </c>
      <c r="AT19" s="60">
        <v>1.5</v>
      </c>
      <c r="AU19" s="60">
        <v>1.5375000000000001</v>
      </c>
      <c r="AV19" s="60">
        <v>1.6125</v>
      </c>
      <c r="AW19" s="60">
        <v>1.6625000000000001</v>
      </c>
      <c r="AX19" s="60">
        <v>1.6625000000000001</v>
      </c>
      <c r="AY19" s="60">
        <v>1.675</v>
      </c>
      <c r="AZ19" s="60">
        <v>1.65</v>
      </c>
      <c r="BA19" s="60">
        <v>1.7124999999999999</v>
      </c>
      <c r="BB19" s="60">
        <v>1.65</v>
      </c>
      <c r="BC19" s="60">
        <v>1.7875000000000001</v>
      </c>
      <c r="BD19" s="60">
        <v>1.55</v>
      </c>
      <c r="BE19" s="60">
        <v>1.5625</v>
      </c>
      <c r="BF19" s="60">
        <v>1.4375</v>
      </c>
      <c r="BG19" s="60">
        <v>1.5249999999999999</v>
      </c>
      <c r="BH19" s="60">
        <v>1.55</v>
      </c>
      <c r="BI19" s="60">
        <v>1.5125</v>
      </c>
      <c r="BJ19" s="60">
        <v>1.7375</v>
      </c>
      <c r="BK19" s="60">
        <v>1.75</v>
      </c>
      <c r="BL19" s="60">
        <v>1.5375000000000001</v>
      </c>
      <c r="BM19" s="60">
        <v>1.4375</v>
      </c>
      <c r="BN19" s="60">
        <v>1.5874999999999999</v>
      </c>
      <c r="BO19" s="60">
        <v>1.7</v>
      </c>
      <c r="BP19" s="60">
        <v>1.425</v>
      </c>
      <c r="BQ19" s="60">
        <v>1.5249999999999999</v>
      </c>
      <c r="BR19" s="60">
        <v>1.575</v>
      </c>
      <c r="BS19" s="60">
        <v>1.3625</v>
      </c>
      <c r="BT19" s="60">
        <v>1.2749999999999999</v>
      </c>
      <c r="BU19" s="60">
        <v>1.0874999999999999</v>
      </c>
      <c r="BV19" s="60">
        <v>0.75</v>
      </c>
      <c r="BW19" s="60">
        <v>1.2375</v>
      </c>
      <c r="BX19" s="60">
        <v>1.1125</v>
      </c>
      <c r="BY19" s="60">
        <v>1.1625000000000001</v>
      </c>
      <c r="BZ19" s="60">
        <v>1.05</v>
      </c>
      <c r="CA19" s="60">
        <v>1.1375</v>
      </c>
      <c r="CB19" s="60">
        <v>0.98750000000000004</v>
      </c>
      <c r="CC19" s="60">
        <v>1.2875000000000001</v>
      </c>
      <c r="CD19" s="60">
        <v>1.1875</v>
      </c>
      <c r="CE19" s="60">
        <v>1.2124999999999999</v>
      </c>
      <c r="CF19" s="60">
        <v>1.0125</v>
      </c>
      <c r="CG19" s="60">
        <v>1.0874999999999999</v>
      </c>
      <c r="CH19" s="60">
        <v>1.0249999999999999</v>
      </c>
      <c r="CI19" s="60">
        <v>0.95</v>
      </c>
      <c r="CJ19" s="60">
        <v>1.075</v>
      </c>
      <c r="CK19" s="60">
        <v>1.175</v>
      </c>
      <c r="CL19" s="60">
        <v>1.0249999999999999</v>
      </c>
      <c r="CM19" s="60">
        <v>1</v>
      </c>
      <c r="CN19" s="60">
        <v>1.0874999999999999</v>
      </c>
      <c r="CO19" s="60">
        <v>1.075</v>
      </c>
      <c r="CP19" s="60">
        <v>1.0625</v>
      </c>
      <c r="CQ19" s="60">
        <v>1.1375</v>
      </c>
      <c r="CR19" s="60">
        <v>1.0375000000000001</v>
      </c>
      <c r="CS19" s="60">
        <v>1.1875</v>
      </c>
      <c r="CT19" s="60">
        <v>1.0249999999999999</v>
      </c>
      <c r="CV19" s="5" t="s">
        <v>534</v>
      </c>
      <c r="CW19" s="5">
        <v>500</v>
      </c>
      <c r="CX19" s="63">
        <v>7.4188333333333342E-2</v>
      </c>
      <c r="CY19" s="5">
        <v>7</v>
      </c>
      <c r="DA19" s="5">
        <v>49.44</v>
      </c>
      <c r="DB19" s="5">
        <v>54.72</v>
      </c>
      <c r="DC19" s="5">
        <v>60.42</v>
      </c>
      <c r="DD19" s="5">
        <v>61.56</v>
      </c>
      <c r="DE19" s="5">
        <v>57</v>
      </c>
      <c r="DF19" s="5">
        <v>51.3</v>
      </c>
      <c r="DG19" s="5">
        <v>49.02</v>
      </c>
      <c r="DH19" s="5">
        <v>54.15</v>
      </c>
      <c r="DI19" s="5">
        <v>56.43</v>
      </c>
      <c r="DJ19" s="5">
        <v>59.28</v>
      </c>
      <c r="DK19" s="5">
        <v>53.01</v>
      </c>
      <c r="DL19" s="5">
        <v>63.84</v>
      </c>
      <c r="DM19" s="5">
        <v>68.400000000000006</v>
      </c>
      <c r="DN19" s="5">
        <v>68.97</v>
      </c>
      <c r="DO19" s="5">
        <v>69.540000000000006</v>
      </c>
      <c r="DP19" s="5">
        <v>62.7</v>
      </c>
      <c r="DQ19" s="5">
        <v>70.11</v>
      </c>
      <c r="DR19" s="5">
        <v>64.41</v>
      </c>
      <c r="DS19" s="5">
        <v>66.12</v>
      </c>
      <c r="DT19" s="5">
        <v>57.57</v>
      </c>
      <c r="DU19" s="5">
        <v>61.56</v>
      </c>
      <c r="DV19" s="5">
        <v>60.99</v>
      </c>
      <c r="DW19" s="5">
        <v>62.13</v>
      </c>
      <c r="DX19" s="5">
        <v>59.85</v>
      </c>
      <c r="DY19" s="5">
        <v>54.72</v>
      </c>
      <c r="DZ19" s="5">
        <v>68.97</v>
      </c>
      <c r="EA19" s="5">
        <v>68.97</v>
      </c>
      <c r="EB19" s="5">
        <v>76.95</v>
      </c>
      <c r="EC19" s="5">
        <v>74.099999999999994</v>
      </c>
      <c r="ED19" s="5">
        <v>75.81</v>
      </c>
      <c r="EE19" s="5">
        <v>79.23</v>
      </c>
      <c r="EF19" s="5">
        <v>81.510000000000005</v>
      </c>
      <c r="EG19" s="5">
        <v>90.06</v>
      </c>
      <c r="EH19" s="5">
        <v>82.08</v>
      </c>
      <c r="EI19" s="5">
        <v>80.94</v>
      </c>
      <c r="EJ19" s="5">
        <v>83.79</v>
      </c>
      <c r="EK19" s="5">
        <v>80.94</v>
      </c>
      <c r="EL19" s="5">
        <v>87.21</v>
      </c>
      <c r="EM19" s="5">
        <v>76.38</v>
      </c>
      <c r="EN19" s="5">
        <v>76.95</v>
      </c>
      <c r="EO19" s="5">
        <v>70.680000000000007</v>
      </c>
      <c r="EP19" s="5">
        <v>75.239999999999995</v>
      </c>
      <c r="EQ19" s="5">
        <v>75.81</v>
      </c>
      <c r="ER19" s="5">
        <v>74.099999999999994</v>
      </c>
      <c r="ES19" s="5">
        <v>84.93</v>
      </c>
      <c r="ET19" s="5">
        <v>85.5</v>
      </c>
      <c r="EU19" s="5">
        <v>75.81</v>
      </c>
      <c r="EV19" s="5">
        <v>70.680000000000007</v>
      </c>
      <c r="EW19" s="5">
        <v>78.09</v>
      </c>
      <c r="EX19" s="5">
        <v>83.22</v>
      </c>
      <c r="EY19" s="5">
        <v>70.11</v>
      </c>
      <c r="EZ19" s="5">
        <v>75.239999999999995</v>
      </c>
      <c r="FA19" s="5">
        <v>77.52</v>
      </c>
      <c r="FB19" s="5">
        <v>67.260000000000005</v>
      </c>
      <c r="FC19" s="5">
        <v>63.27</v>
      </c>
      <c r="FD19" s="5">
        <v>55.29</v>
      </c>
      <c r="FE19" s="5">
        <v>38.76</v>
      </c>
      <c r="FF19" s="5">
        <v>62.13</v>
      </c>
      <c r="FG19" s="5">
        <v>56.43</v>
      </c>
      <c r="FH19" s="5">
        <v>58.14</v>
      </c>
      <c r="FI19" s="5">
        <v>53.01</v>
      </c>
      <c r="FJ19" s="5">
        <v>57</v>
      </c>
      <c r="FK19" s="5">
        <v>50.16</v>
      </c>
      <c r="FL19" s="5">
        <v>64.41</v>
      </c>
      <c r="FM19" s="5">
        <v>59.85</v>
      </c>
      <c r="FN19" s="5">
        <v>60.99</v>
      </c>
      <c r="FO19" s="5">
        <v>51.3</v>
      </c>
      <c r="FP19" s="5">
        <v>55.29</v>
      </c>
      <c r="FQ19" s="5">
        <v>52.44</v>
      </c>
      <c r="FR19" s="5">
        <v>49.02</v>
      </c>
      <c r="FS19" s="5">
        <v>54.72</v>
      </c>
      <c r="FT19" s="5">
        <v>59.28</v>
      </c>
      <c r="FU19" s="5">
        <v>52.44</v>
      </c>
      <c r="FV19" s="5">
        <v>51.3</v>
      </c>
      <c r="FW19" s="5">
        <v>55.29</v>
      </c>
      <c r="FX19" s="5">
        <v>54.72</v>
      </c>
      <c r="FY19" s="5">
        <v>54.15</v>
      </c>
      <c r="FZ19" s="5">
        <v>57.57</v>
      </c>
      <c r="GA19" s="5">
        <v>53.01</v>
      </c>
      <c r="GB19" s="5">
        <v>59.85</v>
      </c>
      <c r="GC19" s="5">
        <v>52.44</v>
      </c>
    </row>
    <row r="20" spans="1:185">
      <c r="A20" s="67">
        <v>18</v>
      </c>
      <c r="B20" s="13">
        <v>10</v>
      </c>
      <c r="C20" s="5">
        <v>10</v>
      </c>
      <c r="D20" s="5">
        <f t="shared" si="0"/>
        <v>100</v>
      </c>
      <c r="E20" s="5">
        <v>2</v>
      </c>
      <c r="F20" s="60">
        <f t="shared" si="1"/>
        <v>20</v>
      </c>
      <c r="G20" s="60">
        <f t="shared" si="2"/>
        <v>60</v>
      </c>
      <c r="H20" s="13">
        <v>10</v>
      </c>
      <c r="I20" s="5">
        <v>10</v>
      </c>
      <c r="J20" s="5">
        <f t="shared" si="3"/>
        <v>100</v>
      </c>
      <c r="K20" s="60">
        <v>1.175</v>
      </c>
      <c r="L20" s="68">
        <v>11.75</v>
      </c>
      <c r="M20" s="68">
        <f t="shared" si="4"/>
        <v>55.875</v>
      </c>
      <c r="N20" s="75">
        <v>6392.9700000000021</v>
      </c>
      <c r="O20" s="5">
        <v>-61.352652200000001</v>
      </c>
      <c r="P20" s="5">
        <v>42.647347799999999</v>
      </c>
      <c r="Q20" s="5">
        <v>-62.623610699999993</v>
      </c>
      <c r="R20" s="5">
        <v>41.3763893</v>
      </c>
      <c r="T20" s="60">
        <v>1.35</v>
      </c>
      <c r="U20" s="60">
        <v>1.375</v>
      </c>
      <c r="V20" s="60">
        <v>1.4</v>
      </c>
      <c r="W20" s="60">
        <v>1.2625</v>
      </c>
      <c r="X20" s="60">
        <v>1.4125000000000001</v>
      </c>
      <c r="Y20" s="60">
        <v>1.4</v>
      </c>
      <c r="Z20" s="60">
        <v>1.5</v>
      </c>
      <c r="AA20" s="60">
        <v>1.4375</v>
      </c>
      <c r="AB20" s="60">
        <v>1.3625</v>
      </c>
      <c r="AC20" s="60">
        <v>1.5</v>
      </c>
      <c r="AD20" s="60">
        <v>1.5249999999999999</v>
      </c>
      <c r="AE20" s="60">
        <v>1.5625</v>
      </c>
      <c r="AF20" s="60">
        <v>1.5874999999999999</v>
      </c>
      <c r="AG20" s="60">
        <v>1.2749999999999999</v>
      </c>
      <c r="AH20" s="60">
        <v>1.6875</v>
      </c>
      <c r="AI20" s="60">
        <v>1.5125</v>
      </c>
      <c r="AJ20" s="60">
        <v>1.45</v>
      </c>
      <c r="AK20" s="60">
        <v>1.2625</v>
      </c>
      <c r="AL20" s="60">
        <v>1.4125000000000001</v>
      </c>
      <c r="AM20" s="60">
        <v>1.3374999999999999</v>
      </c>
      <c r="AN20" s="60">
        <v>1.375</v>
      </c>
      <c r="AO20" s="60">
        <v>1.2875000000000001</v>
      </c>
      <c r="AP20" s="60">
        <v>1.3625</v>
      </c>
      <c r="AQ20" s="60">
        <v>1.7749999999999999</v>
      </c>
      <c r="AR20" s="60">
        <v>1.925</v>
      </c>
      <c r="AS20" s="60">
        <v>1.7</v>
      </c>
      <c r="AT20" s="60">
        <v>1.7749999999999999</v>
      </c>
      <c r="AU20" s="60">
        <v>1.8125</v>
      </c>
      <c r="AV20" s="60">
        <v>2.0499999999999998</v>
      </c>
      <c r="AW20" s="60">
        <v>2.125</v>
      </c>
      <c r="AX20" s="60">
        <v>2.125</v>
      </c>
      <c r="AY20" s="60">
        <v>1.9875</v>
      </c>
      <c r="AZ20" s="60">
        <v>2.1</v>
      </c>
      <c r="BA20" s="60">
        <v>2</v>
      </c>
      <c r="BB20" s="60">
        <v>2.1375000000000002</v>
      </c>
      <c r="BC20" s="60">
        <v>2.0499999999999998</v>
      </c>
      <c r="BD20" s="60">
        <v>1.95</v>
      </c>
      <c r="BE20" s="60">
        <v>1.8625</v>
      </c>
      <c r="BF20" s="60">
        <v>2.0249999999999999</v>
      </c>
      <c r="BG20" s="60">
        <v>2.0499999999999998</v>
      </c>
      <c r="BH20" s="60">
        <v>1.9750000000000001</v>
      </c>
      <c r="BI20" s="60">
        <v>1.7875000000000001</v>
      </c>
      <c r="BJ20" s="60">
        <v>2.0375000000000001</v>
      </c>
      <c r="BK20" s="60">
        <v>1.9</v>
      </c>
      <c r="BL20" s="60">
        <v>2.0874999999999999</v>
      </c>
      <c r="BM20" s="60">
        <v>2.0375000000000001</v>
      </c>
      <c r="BN20" s="60">
        <v>2.0375000000000001</v>
      </c>
      <c r="BO20" s="60">
        <v>1.8</v>
      </c>
      <c r="BP20" s="60">
        <v>1.9125000000000001</v>
      </c>
      <c r="BQ20" s="60">
        <v>1.8875</v>
      </c>
      <c r="BR20" s="60">
        <v>1.9750000000000001</v>
      </c>
      <c r="BS20" s="60">
        <v>1.75</v>
      </c>
      <c r="BT20" s="60">
        <v>1.85</v>
      </c>
      <c r="BU20" s="60">
        <v>1.4875</v>
      </c>
      <c r="BV20" s="60">
        <v>1.2124999999999999</v>
      </c>
      <c r="BW20" s="60">
        <v>1.575</v>
      </c>
      <c r="BX20" s="60">
        <v>1.4125000000000001</v>
      </c>
      <c r="BY20" s="60">
        <v>1.425</v>
      </c>
      <c r="BZ20" s="60">
        <v>1.4</v>
      </c>
      <c r="CA20" s="60">
        <v>1.6375</v>
      </c>
      <c r="CB20" s="60">
        <v>1.5</v>
      </c>
      <c r="CC20" s="60">
        <v>1.5625</v>
      </c>
      <c r="CD20" s="60">
        <v>1.4</v>
      </c>
      <c r="CE20" s="60">
        <v>1.5625</v>
      </c>
      <c r="CF20" s="60">
        <v>1.4</v>
      </c>
      <c r="CG20" s="60">
        <v>1.2749999999999999</v>
      </c>
      <c r="CH20" s="60">
        <v>1.4</v>
      </c>
      <c r="CI20" s="60">
        <v>1.2875000000000001</v>
      </c>
      <c r="CJ20" s="60">
        <v>1.3875</v>
      </c>
      <c r="CK20" s="60">
        <v>1.3125</v>
      </c>
      <c r="CL20" s="60">
        <v>1.2749999999999999</v>
      </c>
      <c r="CM20" s="60">
        <v>1.4750000000000001</v>
      </c>
      <c r="CN20" s="60">
        <v>1.425</v>
      </c>
      <c r="CO20" s="60">
        <v>1.4</v>
      </c>
      <c r="CP20" s="60">
        <v>1.3</v>
      </c>
      <c r="CQ20" s="60">
        <v>1.3625</v>
      </c>
      <c r="CR20" s="60">
        <v>1.325</v>
      </c>
      <c r="CS20" s="60">
        <v>1.3625</v>
      </c>
      <c r="CT20" s="60">
        <v>1.2749999999999999</v>
      </c>
      <c r="CV20" s="5" t="s">
        <v>535</v>
      </c>
      <c r="CW20" s="5">
        <v>500</v>
      </c>
      <c r="CX20" s="63">
        <v>6.6552500000000001E-2</v>
      </c>
      <c r="CY20" s="5">
        <v>8</v>
      </c>
      <c r="DA20" s="5">
        <v>60.84</v>
      </c>
      <c r="DB20" s="5">
        <v>74.67</v>
      </c>
      <c r="DC20" s="5">
        <v>67.260000000000005</v>
      </c>
      <c r="DD20" s="5">
        <v>68.400000000000006</v>
      </c>
      <c r="DE20" s="5">
        <v>69.540000000000006</v>
      </c>
      <c r="DF20" s="5">
        <v>63.27</v>
      </c>
      <c r="DG20" s="5">
        <v>70.11</v>
      </c>
      <c r="DH20" s="5">
        <v>69.540000000000006</v>
      </c>
      <c r="DI20" s="5">
        <v>74.099999999999994</v>
      </c>
      <c r="DJ20" s="5">
        <v>71.25</v>
      </c>
      <c r="DK20" s="5">
        <v>67.83</v>
      </c>
      <c r="DL20" s="5">
        <v>74.099999999999994</v>
      </c>
      <c r="DM20" s="5">
        <v>75.239999999999995</v>
      </c>
      <c r="DN20" s="5">
        <v>76.95</v>
      </c>
      <c r="DO20" s="5">
        <v>78.09</v>
      </c>
      <c r="DP20" s="5">
        <v>63.27</v>
      </c>
      <c r="DQ20" s="5">
        <v>82.65</v>
      </c>
      <c r="DR20" s="5">
        <v>74.099999999999994</v>
      </c>
      <c r="DS20" s="5">
        <v>71.819999999999993</v>
      </c>
      <c r="DT20" s="5">
        <v>63.27</v>
      </c>
      <c r="DU20" s="5">
        <v>70.11</v>
      </c>
      <c r="DV20" s="5">
        <v>66.69</v>
      </c>
      <c r="DW20" s="5">
        <v>68.400000000000006</v>
      </c>
      <c r="DX20" s="5">
        <v>64.41</v>
      </c>
      <c r="DY20" s="5">
        <v>67.83</v>
      </c>
      <c r="DZ20" s="5">
        <v>86.64</v>
      </c>
      <c r="EA20" s="5">
        <v>93.48</v>
      </c>
      <c r="EB20" s="5">
        <v>83.22</v>
      </c>
      <c r="EC20" s="5">
        <v>86.64</v>
      </c>
      <c r="ED20" s="5">
        <v>88.35</v>
      </c>
      <c r="EE20" s="5">
        <v>99.18</v>
      </c>
      <c r="EF20" s="5">
        <v>102.6</v>
      </c>
      <c r="EG20" s="5">
        <v>96.9</v>
      </c>
      <c r="EH20" s="5">
        <v>96.33</v>
      </c>
      <c r="EI20" s="5">
        <v>101.46</v>
      </c>
      <c r="EJ20" s="5">
        <v>96.9</v>
      </c>
      <c r="EK20" s="5">
        <v>103.17</v>
      </c>
      <c r="EL20" s="5">
        <v>99.18</v>
      </c>
      <c r="EM20" s="5">
        <v>94.62</v>
      </c>
      <c r="EN20" s="5">
        <v>90.63</v>
      </c>
      <c r="EO20" s="5">
        <v>98.04</v>
      </c>
      <c r="EP20" s="5">
        <v>99.18</v>
      </c>
      <c r="EQ20" s="5">
        <v>95.76</v>
      </c>
      <c r="ER20" s="5">
        <v>86.64</v>
      </c>
      <c r="ES20" s="5">
        <v>98.61</v>
      </c>
      <c r="ET20" s="5">
        <v>92.34</v>
      </c>
      <c r="EU20" s="5">
        <v>100.89</v>
      </c>
      <c r="EV20" s="5">
        <v>98.61</v>
      </c>
      <c r="EW20" s="5">
        <v>98.61</v>
      </c>
      <c r="EX20" s="5">
        <v>87.21</v>
      </c>
      <c r="EY20" s="5">
        <v>92.91</v>
      </c>
      <c r="EZ20" s="5">
        <v>91.77</v>
      </c>
      <c r="FA20" s="5">
        <v>95.76</v>
      </c>
      <c r="FB20" s="5">
        <v>85.5</v>
      </c>
      <c r="FC20" s="5">
        <v>90.06</v>
      </c>
      <c r="FD20" s="5">
        <v>73.53</v>
      </c>
      <c r="FE20" s="5">
        <v>60.42</v>
      </c>
      <c r="FF20" s="5">
        <v>77.52</v>
      </c>
      <c r="FG20" s="5">
        <v>70.11</v>
      </c>
      <c r="FH20" s="5">
        <v>70.680000000000007</v>
      </c>
      <c r="FI20" s="5">
        <v>68.97</v>
      </c>
      <c r="FJ20" s="5">
        <v>80.37</v>
      </c>
      <c r="FK20" s="5">
        <v>74.099999999999994</v>
      </c>
      <c r="FL20" s="5">
        <v>76.95</v>
      </c>
      <c r="FM20" s="5">
        <v>69.540000000000006</v>
      </c>
      <c r="FN20" s="5">
        <v>76.95</v>
      </c>
      <c r="FO20" s="5">
        <v>69.540000000000006</v>
      </c>
      <c r="FP20" s="5">
        <v>63.84</v>
      </c>
      <c r="FQ20" s="5">
        <v>69.540000000000006</v>
      </c>
      <c r="FR20" s="5">
        <v>63.84</v>
      </c>
      <c r="FS20" s="5">
        <v>68.97</v>
      </c>
      <c r="FT20" s="5">
        <v>65.55</v>
      </c>
      <c r="FU20" s="5">
        <v>63.84</v>
      </c>
      <c r="FV20" s="5">
        <v>72.959999999999994</v>
      </c>
      <c r="FW20" s="5">
        <v>70.680000000000007</v>
      </c>
      <c r="FX20" s="5">
        <v>69.540000000000006</v>
      </c>
      <c r="FY20" s="5">
        <v>64.98</v>
      </c>
      <c r="FZ20" s="5">
        <v>67.83</v>
      </c>
      <c r="GA20" s="5">
        <v>66.12</v>
      </c>
      <c r="GB20" s="5">
        <v>67.83</v>
      </c>
      <c r="GC20" s="5">
        <v>63.84</v>
      </c>
    </row>
    <row r="21" spans="1:185">
      <c r="A21" s="67">
        <v>19</v>
      </c>
      <c r="B21" s="13">
        <v>10</v>
      </c>
      <c r="C21" s="5">
        <v>10</v>
      </c>
      <c r="D21" s="5">
        <f t="shared" si="0"/>
        <v>100</v>
      </c>
      <c r="E21" s="5">
        <v>4</v>
      </c>
      <c r="F21" s="60">
        <f t="shared" si="1"/>
        <v>40</v>
      </c>
      <c r="G21" s="60">
        <f t="shared" si="2"/>
        <v>70</v>
      </c>
      <c r="H21" s="13">
        <v>10</v>
      </c>
      <c r="I21" s="5">
        <v>6</v>
      </c>
      <c r="J21" s="5">
        <f t="shared" si="3"/>
        <v>60</v>
      </c>
      <c r="K21" s="60">
        <v>1.3125</v>
      </c>
      <c r="L21" s="68">
        <v>13.125</v>
      </c>
      <c r="M21" s="68">
        <f t="shared" si="4"/>
        <v>36.5625</v>
      </c>
      <c r="N21" s="75">
        <v>6566.2499999999991</v>
      </c>
      <c r="O21" s="5">
        <v>-62.73093755</v>
      </c>
      <c r="P21" s="5">
        <v>41.269062449999993</v>
      </c>
      <c r="Q21" s="5">
        <v>-68.88133590000001</v>
      </c>
      <c r="R21" s="5">
        <v>35.118664100000004</v>
      </c>
      <c r="T21" s="60">
        <v>1.4875</v>
      </c>
      <c r="U21" s="60">
        <v>1.5125</v>
      </c>
      <c r="V21" s="60">
        <v>1.4</v>
      </c>
      <c r="W21" s="60">
        <v>1.3625</v>
      </c>
      <c r="X21" s="60">
        <v>1.4125000000000001</v>
      </c>
      <c r="Y21" s="60">
        <v>1.4624999999999999</v>
      </c>
      <c r="Z21" s="60">
        <v>1.425</v>
      </c>
      <c r="AA21" s="60">
        <v>1.4125000000000001</v>
      </c>
      <c r="AB21" s="60">
        <v>1.6625000000000001</v>
      </c>
      <c r="AC21" s="60">
        <v>1.45</v>
      </c>
      <c r="AD21" s="60">
        <v>1.575</v>
      </c>
      <c r="AE21" s="60">
        <v>1.4624999999999999</v>
      </c>
      <c r="AF21" s="60">
        <v>1.5125</v>
      </c>
      <c r="AG21" s="60">
        <v>1.75</v>
      </c>
      <c r="AH21" s="60">
        <v>1.75</v>
      </c>
      <c r="AI21" s="60">
        <v>1.6625000000000001</v>
      </c>
      <c r="AJ21" s="60">
        <v>1.4624999999999999</v>
      </c>
      <c r="AK21" s="60">
        <v>1.4125000000000001</v>
      </c>
      <c r="AL21" s="60">
        <v>1.5</v>
      </c>
      <c r="AM21" s="60">
        <v>1.5125</v>
      </c>
      <c r="AN21" s="60">
        <v>1.4875</v>
      </c>
      <c r="AO21" s="60">
        <v>1.5375000000000001</v>
      </c>
      <c r="AP21" s="60">
        <v>1.55</v>
      </c>
      <c r="AQ21" s="60">
        <v>2.0874999999999999</v>
      </c>
      <c r="AR21" s="60">
        <v>1.9750000000000001</v>
      </c>
      <c r="AS21" s="60">
        <v>1.7875000000000001</v>
      </c>
      <c r="AT21" s="60">
        <v>1.8374999999999999</v>
      </c>
      <c r="AU21" s="60">
        <v>2.0499999999999998</v>
      </c>
      <c r="AV21" s="60">
        <v>2.125</v>
      </c>
      <c r="AW21" s="60">
        <v>2.125</v>
      </c>
      <c r="AX21" s="60">
        <v>2.125</v>
      </c>
      <c r="AY21" s="60">
        <v>2.125</v>
      </c>
      <c r="AZ21" s="60">
        <v>2.0375000000000001</v>
      </c>
      <c r="BA21" s="60">
        <v>2.1</v>
      </c>
      <c r="BB21" s="60">
        <v>2.0125000000000002</v>
      </c>
      <c r="BC21" s="60">
        <v>2.125</v>
      </c>
      <c r="BD21" s="60">
        <v>2.0125000000000002</v>
      </c>
      <c r="BE21" s="60">
        <v>2.0625</v>
      </c>
      <c r="BF21" s="60">
        <v>2.1124999999999998</v>
      </c>
      <c r="BG21" s="60">
        <v>2.0249999999999999</v>
      </c>
      <c r="BH21" s="60">
        <v>2.0125000000000002</v>
      </c>
      <c r="BI21" s="60">
        <v>1.8875</v>
      </c>
      <c r="BJ21" s="60">
        <v>1.9750000000000001</v>
      </c>
      <c r="BK21" s="60">
        <v>2.0249999999999999</v>
      </c>
      <c r="BL21" s="60">
        <v>1.9125000000000001</v>
      </c>
      <c r="BM21" s="60">
        <v>2.0125000000000002</v>
      </c>
      <c r="BN21" s="60">
        <v>1.9624999999999999</v>
      </c>
      <c r="BO21" s="60">
        <v>1.95</v>
      </c>
      <c r="BP21" s="60">
        <v>1.9375</v>
      </c>
      <c r="BQ21" s="60">
        <v>1.7375</v>
      </c>
      <c r="BR21" s="60">
        <v>1.75</v>
      </c>
      <c r="BS21" s="60">
        <v>1.6375</v>
      </c>
      <c r="BT21" s="60">
        <v>1.825</v>
      </c>
      <c r="BU21" s="60">
        <v>1.375</v>
      </c>
      <c r="BV21" s="60">
        <v>1.075</v>
      </c>
      <c r="BW21" s="60">
        <v>1.3625</v>
      </c>
      <c r="BX21" s="60">
        <v>1.425</v>
      </c>
      <c r="BY21" s="60">
        <v>1.5249999999999999</v>
      </c>
      <c r="BZ21" s="60">
        <v>1.4375</v>
      </c>
      <c r="CA21" s="60">
        <v>1.4125000000000001</v>
      </c>
      <c r="CB21" s="60">
        <v>1.4</v>
      </c>
      <c r="CC21" s="60">
        <v>1.4875</v>
      </c>
      <c r="CD21" s="60">
        <v>1.425</v>
      </c>
      <c r="CE21" s="60">
        <v>1.45</v>
      </c>
      <c r="CF21" s="60">
        <v>1.425</v>
      </c>
      <c r="CG21" s="60">
        <v>1.375</v>
      </c>
      <c r="CH21" s="60">
        <v>1.4750000000000001</v>
      </c>
      <c r="CI21" s="60">
        <v>1.425</v>
      </c>
      <c r="CJ21" s="60">
        <v>1.4624999999999999</v>
      </c>
      <c r="CK21" s="60">
        <v>1.175</v>
      </c>
      <c r="CL21" s="60">
        <v>1.5125</v>
      </c>
      <c r="CM21" s="60">
        <v>1.5249999999999999</v>
      </c>
      <c r="CN21" s="60">
        <v>1.55</v>
      </c>
      <c r="CO21" s="60">
        <v>1.5</v>
      </c>
      <c r="CP21" s="60">
        <v>1.5125</v>
      </c>
      <c r="CQ21" s="60">
        <v>1.5</v>
      </c>
      <c r="CR21" s="60">
        <v>1.4125000000000001</v>
      </c>
      <c r="CS21" s="60">
        <v>1.4125000000000001</v>
      </c>
      <c r="CT21" s="60">
        <v>1.4624999999999999</v>
      </c>
      <c r="CV21" s="5" t="s">
        <v>536</v>
      </c>
      <c r="CW21" s="5">
        <v>500</v>
      </c>
      <c r="CX21" s="63">
        <v>6.3240749999999998E-2</v>
      </c>
      <c r="CY21" s="5">
        <v>6</v>
      </c>
      <c r="DA21" s="5">
        <v>67.11</v>
      </c>
      <c r="DB21" s="5">
        <v>73.53</v>
      </c>
      <c r="DC21" s="5">
        <v>73.53</v>
      </c>
      <c r="DD21" s="5">
        <v>74.67</v>
      </c>
      <c r="DE21" s="5">
        <v>69.540000000000006</v>
      </c>
      <c r="DF21" s="5">
        <v>67.83</v>
      </c>
      <c r="DG21" s="5">
        <v>70.11</v>
      </c>
      <c r="DH21" s="5">
        <v>72.39</v>
      </c>
      <c r="DI21" s="5">
        <v>70.680000000000007</v>
      </c>
      <c r="DJ21" s="5">
        <v>70.11</v>
      </c>
      <c r="DK21" s="5">
        <v>81.510000000000005</v>
      </c>
      <c r="DL21" s="5">
        <v>71.25</v>
      </c>
      <c r="DM21" s="5">
        <v>77.52</v>
      </c>
      <c r="DN21" s="5">
        <v>72.39</v>
      </c>
      <c r="DO21" s="5">
        <v>74.099999999999994</v>
      </c>
      <c r="DP21" s="5">
        <v>85.5</v>
      </c>
      <c r="DQ21" s="5">
        <v>85.5</v>
      </c>
      <c r="DR21" s="5">
        <v>81.510000000000005</v>
      </c>
      <c r="DS21" s="5">
        <v>72.39</v>
      </c>
      <c r="DT21" s="5">
        <v>70.11</v>
      </c>
      <c r="DU21" s="5">
        <v>74.099999999999994</v>
      </c>
      <c r="DV21" s="5">
        <v>74.67</v>
      </c>
      <c r="DW21" s="5">
        <v>73.53</v>
      </c>
      <c r="DX21" s="5">
        <v>75.81</v>
      </c>
      <c r="DY21" s="5">
        <v>76.38</v>
      </c>
      <c r="DZ21" s="5">
        <v>100.89</v>
      </c>
      <c r="EA21" s="5">
        <v>95.76</v>
      </c>
      <c r="EB21" s="5">
        <v>87.21</v>
      </c>
      <c r="EC21" s="5">
        <v>89.49</v>
      </c>
      <c r="ED21" s="5">
        <v>99.18</v>
      </c>
      <c r="EE21" s="5">
        <v>102.6</v>
      </c>
      <c r="EF21" s="5">
        <v>102.6</v>
      </c>
      <c r="EG21" s="5">
        <v>99.18</v>
      </c>
      <c r="EH21" s="5">
        <v>102.6</v>
      </c>
      <c r="EI21" s="5">
        <v>98.61</v>
      </c>
      <c r="EJ21" s="5">
        <v>101.46</v>
      </c>
      <c r="EK21" s="5">
        <v>97.47</v>
      </c>
      <c r="EL21" s="5">
        <v>102.6</v>
      </c>
      <c r="EM21" s="5">
        <v>97.47</v>
      </c>
      <c r="EN21" s="5">
        <v>99.75</v>
      </c>
      <c r="EO21" s="5">
        <v>102.03</v>
      </c>
      <c r="EP21" s="5">
        <v>98.04</v>
      </c>
      <c r="EQ21" s="5">
        <v>97.47</v>
      </c>
      <c r="ER21" s="5">
        <v>91.77</v>
      </c>
      <c r="ES21" s="5">
        <v>95.76</v>
      </c>
      <c r="ET21" s="5">
        <v>98.04</v>
      </c>
      <c r="EU21" s="5">
        <v>92.91</v>
      </c>
      <c r="EV21" s="5">
        <v>97.47</v>
      </c>
      <c r="EW21" s="5">
        <v>95.19</v>
      </c>
      <c r="EX21" s="5">
        <v>94.62</v>
      </c>
      <c r="EY21" s="5">
        <v>94.05</v>
      </c>
      <c r="EZ21" s="5">
        <v>84.36</v>
      </c>
      <c r="FA21" s="5">
        <v>85.5</v>
      </c>
      <c r="FB21" s="5">
        <v>80.37</v>
      </c>
      <c r="FC21" s="5">
        <v>88.92</v>
      </c>
      <c r="FD21" s="5">
        <v>68.400000000000006</v>
      </c>
      <c r="FE21" s="5">
        <v>53.58</v>
      </c>
      <c r="FF21" s="5">
        <v>67.260000000000005</v>
      </c>
      <c r="FG21" s="5">
        <v>70.680000000000007</v>
      </c>
      <c r="FH21" s="5">
        <v>75.239999999999995</v>
      </c>
      <c r="FI21" s="5">
        <v>71.25</v>
      </c>
      <c r="FJ21" s="5">
        <v>70.11</v>
      </c>
      <c r="FK21" s="5">
        <v>68.97</v>
      </c>
      <c r="FL21" s="5">
        <v>73.53</v>
      </c>
      <c r="FM21" s="5">
        <v>70.680000000000007</v>
      </c>
      <c r="FN21" s="5">
        <v>71.819999999999993</v>
      </c>
      <c r="FO21" s="5">
        <v>70.680000000000007</v>
      </c>
      <c r="FP21" s="5">
        <v>68.400000000000006</v>
      </c>
      <c r="FQ21" s="5">
        <v>72.959999999999994</v>
      </c>
      <c r="FR21" s="5">
        <v>70.680000000000007</v>
      </c>
      <c r="FS21" s="5">
        <v>72.39</v>
      </c>
      <c r="FT21" s="5">
        <v>58.71</v>
      </c>
      <c r="FU21" s="5">
        <v>74.67</v>
      </c>
      <c r="FV21" s="5">
        <v>75.239999999999995</v>
      </c>
      <c r="FW21" s="5">
        <v>76.38</v>
      </c>
      <c r="FX21" s="5">
        <v>74.099999999999994</v>
      </c>
      <c r="FY21" s="5">
        <v>74.67</v>
      </c>
      <c r="FZ21" s="5">
        <v>74.099999999999994</v>
      </c>
      <c r="GA21" s="5">
        <v>70.11</v>
      </c>
      <c r="GB21" s="5">
        <v>70.11</v>
      </c>
      <c r="GC21" s="5">
        <v>72.39</v>
      </c>
    </row>
    <row r="22" spans="1:185">
      <c r="A22" s="67">
        <v>20</v>
      </c>
      <c r="B22" s="13">
        <v>10</v>
      </c>
      <c r="C22" s="5">
        <v>10</v>
      </c>
      <c r="D22" s="5">
        <f t="shared" si="0"/>
        <v>100</v>
      </c>
      <c r="E22" s="5">
        <v>2</v>
      </c>
      <c r="F22" s="60">
        <f t="shared" si="1"/>
        <v>20</v>
      </c>
      <c r="G22" s="60">
        <f t="shared" si="2"/>
        <v>60</v>
      </c>
      <c r="H22" s="13">
        <v>10</v>
      </c>
      <c r="I22" s="5">
        <v>10</v>
      </c>
      <c r="J22" s="5">
        <f t="shared" si="3"/>
        <v>100</v>
      </c>
      <c r="K22" s="60">
        <v>0.6875</v>
      </c>
      <c r="L22" s="68">
        <v>6.8750000000000009</v>
      </c>
      <c r="M22" s="68">
        <f t="shared" si="4"/>
        <v>53.4375</v>
      </c>
      <c r="N22" s="5">
        <v>4481.76</v>
      </c>
      <c r="O22" s="5">
        <v>-64.605195749999993</v>
      </c>
      <c r="P22" s="5">
        <v>39.394804250000007</v>
      </c>
      <c r="Q22" s="5">
        <v>-62.955214700000013</v>
      </c>
      <c r="R22" s="5">
        <v>41.044785299999994</v>
      </c>
      <c r="T22" s="60">
        <v>0.88749999999999996</v>
      </c>
      <c r="U22" s="60">
        <v>0.86250000000000004</v>
      </c>
      <c r="V22" s="60">
        <v>1.0249999999999999</v>
      </c>
      <c r="W22" s="60">
        <v>0.95</v>
      </c>
      <c r="X22" s="60">
        <v>0.83750000000000002</v>
      </c>
      <c r="Y22" s="60">
        <v>0.78749999999999998</v>
      </c>
      <c r="Z22" s="60">
        <v>0.8</v>
      </c>
      <c r="AA22" s="60">
        <v>0.72499999999999998</v>
      </c>
      <c r="AB22" s="60">
        <v>0.97499999999999998</v>
      </c>
      <c r="AC22" s="60">
        <v>1.05</v>
      </c>
      <c r="AD22" s="60">
        <v>0.96250000000000002</v>
      </c>
      <c r="AE22" s="60">
        <v>1.0249999999999999</v>
      </c>
      <c r="AF22" s="60">
        <v>0.9375</v>
      </c>
      <c r="AG22" s="60">
        <v>1.1375</v>
      </c>
      <c r="AH22" s="60">
        <v>0.9</v>
      </c>
      <c r="AI22" s="60">
        <v>1</v>
      </c>
      <c r="AJ22" s="60">
        <v>0.875</v>
      </c>
      <c r="AK22" s="60">
        <v>0.9</v>
      </c>
      <c r="AL22" s="60">
        <v>0.91249999999999998</v>
      </c>
      <c r="AM22" s="60">
        <v>0.92500000000000004</v>
      </c>
      <c r="AN22" s="60">
        <v>0.98750000000000004</v>
      </c>
      <c r="AO22" s="60">
        <v>0.95</v>
      </c>
      <c r="AP22" s="60">
        <v>1.0249999999999999</v>
      </c>
      <c r="AQ22" s="60">
        <v>1.4624999999999999</v>
      </c>
      <c r="AR22" s="60">
        <v>1.55</v>
      </c>
      <c r="AS22" s="60">
        <v>1.2749999999999999</v>
      </c>
      <c r="AT22" s="60">
        <v>1.375</v>
      </c>
      <c r="AU22" s="60">
        <v>1.6</v>
      </c>
      <c r="AV22" s="60">
        <v>1.35</v>
      </c>
      <c r="AW22" s="60">
        <v>1.6375</v>
      </c>
      <c r="AX22" s="60">
        <v>1.6375</v>
      </c>
      <c r="AY22" s="60">
        <v>1.425</v>
      </c>
      <c r="AZ22" s="60">
        <v>1.45</v>
      </c>
      <c r="BA22" s="60">
        <v>1.5</v>
      </c>
      <c r="BB22" s="60">
        <v>1.5125</v>
      </c>
      <c r="BC22" s="60">
        <v>1.4624999999999999</v>
      </c>
      <c r="BD22" s="60">
        <v>1.3374999999999999</v>
      </c>
      <c r="BE22" s="60">
        <v>1.4375</v>
      </c>
      <c r="BF22" s="60">
        <v>1.4125000000000001</v>
      </c>
      <c r="BG22" s="60">
        <v>1.425</v>
      </c>
      <c r="BH22" s="60">
        <v>1.5125</v>
      </c>
      <c r="BI22" s="60">
        <v>1.5375000000000001</v>
      </c>
      <c r="BJ22" s="60">
        <v>1.375</v>
      </c>
      <c r="BK22" s="60">
        <v>1.4624999999999999</v>
      </c>
      <c r="BL22" s="60">
        <v>1.2749999999999999</v>
      </c>
      <c r="BM22" s="60">
        <v>1.3</v>
      </c>
      <c r="BN22" s="60">
        <v>1.3374999999999999</v>
      </c>
      <c r="BO22" s="60">
        <v>1.3374999999999999</v>
      </c>
      <c r="BP22" s="60">
        <v>1.4375</v>
      </c>
      <c r="BQ22" s="60">
        <v>1.175</v>
      </c>
      <c r="BR22" s="60">
        <v>1.3625</v>
      </c>
      <c r="BS22" s="60">
        <v>1.125</v>
      </c>
      <c r="BT22" s="60">
        <v>1.2875000000000001</v>
      </c>
      <c r="BU22" s="60">
        <v>0.9</v>
      </c>
      <c r="BV22" s="60">
        <v>0.98750000000000004</v>
      </c>
      <c r="BW22" s="60">
        <v>0.9</v>
      </c>
      <c r="BX22" s="60">
        <v>0.78749999999999998</v>
      </c>
      <c r="BY22" s="60">
        <v>0.65</v>
      </c>
      <c r="BZ22" s="60">
        <v>0.92500000000000004</v>
      </c>
      <c r="CA22" s="60">
        <v>1.0125</v>
      </c>
      <c r="CB22" s="60">
        <v>0.9</v>
      </c>
      <c r="CC22" s="60">
        <v>0.82499999999999996</v>
      </c>
      <c r="CD22" s="60">
        <v>0.78749999999999998</v>
      </c>
      <c r="CE22" s="60">
        <v>0.91249999999999998</v>
      </c>
      <c r="CF22" s="60">
        <v>0.83750000000000002</v>
      </c>
      <c r="CG22" s="60">
        <v>0.8</v>
      </c>
      <c r="CH22" s="60">
        <v>0.875</v>
      </c>
      <c r="CI22" s="60">
        <v>0.9375</v>
      </c>
      <c r="CJ22" s="60">
        <v>0.85</v>
      </c>
      <c r="CK22" s="60">
        <v>1.0125</v>
      </c>
      <c r="CL22" s="60">
        <v>0.92500000000000004</v>
      </c>
      <c r="CM22" s="60">
        <v>0.95</v>
      </c>
      <c r="CN22" s="60">
        <v>0.97499999999999998</v>
      </c>
      <c r="CO22" s="60">
        <v>0.83750000000000002</v>
      </c>
      <c r="CP22" s="60">
        <v>1</v>
      </c>
      <c r="CQ22" s="60">
        <v>0.76249999999999996</v>
      </c>
      <c r="CR22" s="60">
        <v>0.8</v>
      </c>
      <c r="CS22" s="60">
        <v>0.83750000000000002</v>
      </c>
      <c r="CT22" s="60">
        <v>0.8125</v>
      </c>
      <c r="CV22" s="5" t="s">
        <v>537</v>
      </c>
      <c r="CW22" s="5">
        <v>500</v>
      </c>
      <c r="CX22" s="63">
        <v>7.4755500000000003E-2</v>
      </c>
      <c r="CY22" s="5">
        <v>8</v>
      </c>
      <c r="DA22" s="5">
        <v>38.61</v>
      </c>
      <c r="DB22" s="5">
        <v>54.15</v>
      </c>
      <c r="DC22" s="5">
        <v>46.17</v>
      </c>
      <c r="DD22" s="5">
        <v>45.03</v>
      </c>
      <c r="DE22" s="5">
        <v>52.44</v>
      </c>
      <c r="DF22" s="5">
        <v>49.02</v>
      </c>
      <c r="DG22" s="5">
        <v>43.89</v>
      </c>
      <c r="DH22" s="5">
        <v>41.61</v>
      </c>
      <c r="DI22" s="5">
        <v>42.18</v>
      </c>
      <c r="DJ22" s="5">
        <v>38.76</v>
      </c>
      <c r="DK22" s="5">
        <v>50.16</v>
      </c>
      <c r="DL22" s="5">
        <v>53.58</v>
      </c>
      <c r="DM22" s="5">
        <v>49.02</v>
      </c>
      <c r="DN22" s="5">
        <v>52.44</v>
      </c>
      <c r="DO22" s="5">
        <v>47.88</v>
      </c>
      <c r="DP22" s="5">
        <v>57.57</v>
      </c>
      <c r="DQ22" s="5">
        <v>46.17</v>
      </c>
      <c r="DR22" s="5">
        <v>51.3</v>
      </c>
      <c r="DS22" s="5">
        <v>45.6</v>
      </c>
      <c r="DT22" s="5">
        <v>46.74</v>
      </c>
      <c r="DU22" s="5">
        <v>47.31</v>
      </c>
      <c r="DV22" s="5">
        <v>47.88</v>
      </c>
      <c r="DW22" s="5">
        <v>50.73</v>
      </c>
      <c r="DX22" s="5">
        <v>49.02</v>
      </c>
      <c r="DY22" s="5">
        <v>52.44</v>
      </c>
      <c r="DZ22" s="5">
        <v>72.39</v>
      </c>
      <c r="EA22" s="5">
        <v>76.38</v>
      </c>
      <c r="EB22" s="5">
        <v>63.84</v>
      </c>
      <c r="EC22" s="5">
        <v>68.400000000000006</v>
      </c>
      <c r="ED22" s="5">
        <v>78.66</v>
      </c>
      <c r="EE22" s="5">
        <v>67.260000000000005</v>
      </c>
      <c r="EF22" s="5">
        <v>80.37</v>
      </c>
      <c r="EG22" s="5">
        <v>75.81</v>
      </c>
      <c r="EH22" s="5">
        <v>70.11</v>
      </c>
      <c r="EI22" s="5">
        <v>71.819999999999993</v>
      </c>
      <c r="EJ22" s="5">
        <v>74.099999999999994</v>
      </c>
      <c r="EK22" s="5">
        <v>74.67</v>
      </c>
      <c r="EL22" s="5">
        <v>72.39</v>
      </c>
      <c r="EM22" s="5">
        <v>66.69</v>
      </c>
      <c r="EN22" s="5">
        <v>71.25</v>
      </c>
      <c r="EO22" s="5">
        <v>69.540000000000006</v>
      </c>
      <c r="EP22" s="5">
        <v>70.680000000000007</v>
      </c>
      <c r="EQ22" s="5">
        <v>74.67</v>
      </c>
      <c r="ER22" s="5">
        <v>75.81</v>
      </c>
      <c r="ES22" s="5">
        <v>68.400000000000006</v>
      </c>
      <c r="ET22" s="5">
        <v>72.39</v>
      </c>
      <c r="EU22" s="5">
        <v>63.84</v>
      </c>
      <c r="EV22" s="5">
        <v>64.98</v>
      </c>
      <c r="EW22" s="5">
        <v>66.69</v>
      </c>
      <c r="EX22" s="5">
        <v>66.69</v>
      </c>
      <c r="EY22" s="5">
        <v>71.25</v>
      </c>
      <c r="EZ22" s="5">
        <v>58.71</v>
      </c>
      <c r="FA22" s="5">
        <v>67.83</v>
      </c>
      <c r="FB22" s="5">
        <v>57</v>
      </c>
      <c r="FC22" s="5">
        <v>64.41</v>
      </c>
      <c r="FD22" s="5">
        <v>46.74</v>
      </c>
      <c r="FE22" s="5">
        <v>50.73</v>
      </c>
      <c r="FF22" s="5">
        <v>46.17</v>
      </c>
      <c r="FG22" s="5">
        <v>41.04</v>
      </c>
      <c r="FH22" s="5">
        <v>34.770000000000003</v>
      </c>
      <c r="FI22" s="5">
        <v>47.88</v>
      </c>
      <c r="FJ22" s="5">
        <v>51.87</v>
      </c>
      <c r="FK22" s="5">
        <v>46.74</v>
      </c>
      <c r="FL22" s="5">
        <v>43.32</v>
      </c>
      <c r="FM22" s="5">
        <v>41.61</v>
      </c>
      <c r="FN22" s="5">
        <v>46.74</v>
      </c>
      <c r="FO22" s="5">
        <v>43.89</v>
      </c>
      <c r="FP22" s="5">
        <v>42.18</v>
      </c>
      <c r="FQ22" s="5">
        <v>45.6</v>
      </c>
      <c r="FR22" s="5">
        <v>48.45</v>
      </c>
      <c r="FS22" s="5">
        <v>44.46</v>
      </c>
      <c r="FT22" s="5">
        <v>51.87</v>
      </c>
      <c r="FU22" s="5">
        <v>47.88</v>
      </c>
      <c r="FV22" s="5">
        <v>49.02</v>
      </c>
      <c r="FW22" s="5">
        <v>50.16</v>
      </c>
      <c r="FX22" s="5">
        <v>43.89</v>
      </c>
      <c r="FY22" s="5">
        <v>51.3</v>
      </c>
      <c r="FZ22" s="5">
        <v>39.9</v>
      </c>
      <c r="GA22" s="5">
        <v>42.18</v>
      </c>
      <c r="GB22" s="5">
        <v>43.89</v>
      </c>
      <c r="GC22" s="5">
        <v>42.75</v>
      </c>
    </row>
    <row r="23" spans="1:185">
      <c r="A23" s="67">
        <v>21</v>
      </c>
      <c r="B23" s="13">
        <v>10</v>
      </c>
      <c r="C23" s="5">
        <v>8</v>
      </c>
      <c r="D23" s="5">
        <f t="shared" si="0"/>
        <v>80</v>
      </c>
      <c r="E23" s="5">
        <v>1</v>
      </c>
      <c r="F23" s="60">
        <f t="shared" si="1"/>
        <v>12.5</v>
      </c>
      <c r="G23" s="60">
        <f t="shared" si="2"/>
        <v>46.25</v>
      </c>
      <c r="H23" s="13">
        <v>10</v>
      </c>
      <c r="I23" s="5">
        <v>7</v>
      </c>
      <c r="J23" s="5">
        <f t="shared" si="3"/>
        <v>70</v>
      </c>
      <c r="K23" s="60">
        <v>1.3</v>
      </c>
      <c r="L23" s="68">
        <v>13</v>
      </c>
      <c r="M23" s="68">
        <f t="shared" si="4"/>
        <v>41.5</v>
      </c>
      <c r="N23" s="75">
        <v>6634.6499999999987</v>
      </c>
      <c r="O23" s="5">
        <v>-65.720587299999991</v>
      </c>
      <c r="P23" s="5">
        <v>38.279412700000002</v>
      </c>
      <c r="Q23" s="5">
        <v>-64.36315110000001</v>
      </c>
      <c r="R23" s="5">
        <v>39.636848900000004</v>
      </c>
      <c r="T23" s="60">
        <v>1.45</v>
      </c>
      <c r="U23" s="60">
        <v>1.5125</v>
      </c>
      <c r="V23" s="60">
        <v>1.6625000000000001</v>
      </c>
      <c r="W23" s="60">
        <v>1.45</v>
      </c>
      <c r="X23" s="60">
        <v>1.3875</v>
      </c>
      <c r="Y23" s="60">
        <v>1.35</v>
      </c>
      <c r="Z23" s="60">
        <v>1.2875000000000001</v>
      </c>
      <c r="AA23" s="60">
        <v>1.375</v>
      </c>
      <c r="AB23" s="60">
        <v>1.5874999999999999</v>
      </c>
      <c r="AC23" s="60">
        <v>1.7250000000000001</v>
      </c>
      <c r="AD23" s="60">
        <v>1.675</v>
      </c>
      <c r="AE23" s="60">
        <v>1.5625</v>
      </c>
      <c r="AF23" s="60">
        <v>1.4624999999999999</v>
      </c>
      <c r="AG23" s="60">
        <v>1.7375</v>
      </c>
      <c r="AH23" s="60">
        <v>1.55</v>
      </c>
      <c r="AI23" s="60">
        <v>1.4375</v>
      </c>
      <c r="AJ23" s="60">
        <v>1.6625000000000001</v>
      </c>
      <c r="AK23" s="60">
        <v>1.4875</v>
      </c>
      <c r="AL23" s="60">
        <v>1.2375</v>
      </c>
      <c r="AM23" s="60">
        <v>1.5</v>
      </c>
      <c r="AN23" s="60">
        <v>1.4125000000000001</v>
      </c>
      <c r="AO23" s="60">
        <v>1.6375</v>
      </c>
      <c r="AP23" s="60">
        <v>1.55</v>
      </c>
      <c r="AQ23" s="60">
        <v>2.125</v>
      </c>
      <c r="AR23" s="60">
        <v>2.0625</v>
      </c>
      <c r="AS23" s="60">
        <v>2</v>
      </c>
      <c r="AT23" s="60">
        <v>2.0625</v>
      </c>
      <c r="AU23" s="60">
        <v>1.9875</v>
      </c>
      <c r="AV23" s="60">
        <v>2.0125000000000002</v>
      </c>
      <c r="AW23" s="60">
        <v>2.2124999999999999</v>
      </c>
      <c r="AX23" s="60">
        <v>2.2124999999999999</v>
      </c>
      <c r="AY23" s="60">
        <v>1.7250000000000001</v>
      </c>
      <c r="AZ23" s="60">
        <v>2.15</v>
      </c>
      <c r="BA23" s="60">
        <v>2.2124999999999999</v>
      </c>
      <c r="BB23" s="60">
        <v>2.1749999999999998</v>
      </c>
      <c r="BC23" s="60">
        <v>2.15</v>
      </c>
      <c r="BD23" s="60">
        <v>2.0625</v>
      </c>
      <c r="BE23" s="60">
        <v>2.0125000000000002</v>
      </c>
      <c r="BF23" s="60">
        <v>2.0499999999999998</v>
      </c>
      <c r="BG23" s="60">
        <v>1.6625000000000001</v>
      </c>
      <c r="BH23" s="60">
        <v>2.125</v>
      </c>
      <c r="BI23" s="60">
        <v>2.2000000000000002</v>
      </c>
      <c r="BJ23" s="60">
        <v>2.1875</v>
      </c>
      <c r="BK23" s="60">
        <v>2.1375000000000002</v>
      </c>
      <c r="BL23" s="60">
        <v>2.0874999999999999</v>
      </c>
      <c r="BM23" s="60">
        <v>1.925</v>
      </c>
      <c r="BN23" s="60">
        <v>2.0499999999999998</v>
      </c>
      <c r="BO23" s="60">
        <v>1.875</v>
      </c>
      <c r="BP23" s="60">
        <v>1.875</v>
      </c>
      <c r="BQ23" s="60">
        <v>2</v>
      </c>
      <c r="BR23" s="60">
        <v>1.8</v>
      </c>
      <c r="BS23" s="60">
        <v>1.5249999999999999</v>
      </c>
      <c r="BT23" s="60">
        <v>1.7625</v>
      </c>
      <c r="BU23" s="60">
        <v>1.3875</v>
      </c>
      <c r="BV23" s="60">
        <v>1.4</v>
      </c>
      <c r="BW23" s="60">
        <v>1.1499999999999999</v>
      </c>
      <c r="BX23" s="60">
        <v>1.2625</v>
      </c>
      <c r="BY23" s="60">
        <v>1.2375</v>
      </c>
      <c r="BZ23" s="60">
        <v>1.4875</v>
      </c>
      <c r="CA23" s="60">
        <v>1.3</v>
      </c>
      <c r="CB23" s="60">
        <v>1.4</v>
      </c>
      <c r="CC23" s="60">
        <v>1.4624999999999999</v>
      </c>
      <c r="CD23" s="60">
        <v>1.1625000000000001</v>
      </c>
      <c r="CE23" s="60">
        <v>1.2375</v>
      </c>
      <c r="CF23" s="60">
        <v>1.5249999999999999</v>
      </c>
      <c r="CG23" s="60">
        <v>1.4750000000000001</v>
      </c>
      <c r="CH23" s="60">
        <v>1.6125</v>
      </c>
      <c r="CI23" s="60">
        <v>1.6625000000000001</v>
      </c>
      <c r="CJ23" s="60">
        <v>1.4750000000000001</v>
      </c>
      <c r="CK23" s="60">
        <v>1.5125</v>
      </c>
      <c r="CL23" s="60">
        <v>1.6125</v>
      </c>
      <c r="CM23" s="60">
        <v>1.5249999999999999</v>
      </c>
      <c r="CN23" s="60">
        <v>1.5</v>
      </c>
      <c r="CO23" s="60">
        <v>1.5625</v>
      </c>
      <c r="CP23" s="60">
        <v>1.4624999999999999</v>
      </c>
      <c r="CQ23" s="60">
        <v>1.5</v>
      </c>
      <c r="CR23" s="60">
        <v>1.4624999999999999</v>
      </c>
      <c r="CS23" s="60">
        <v>1.5</v>
      </c>
      <c r="CT23" s="60">
        <v>1.45</v>
      </c>
      <c r="CV23" s="5" t="s">
        <v>538</v>
      </c>
      <c r="CW23" s="5">
        <v>500</v>
      </c>
      <c r="CX23" s="63">
        <v>5.3530000000000001E-2</v>
      </c>
      <c r="CY23" s="5">
        <v>9</v>
      </c>
      <c r="DA23" s="5">
        <v>66.540000000000006</v>
      </c>
      <c r="DB23" s="5">
        <v>87.21</v>
      </c>
      <c r="DC23" s="5">
        <v>71.819999999999993</v>
      </c>
      <c r="DD23" s="5">
        <v>74.67</v>
      </c>
      <c r="DE23" s="5">
        <v>81.510000000000005</v>
      </c>
      <c r="DF23" s="5">
        <v>71.819999999999993</v>
      </c>
      <c r="DG23" s="5">
        <v>68.97</v>
      </c>
      <c r="DH23" s="5">
        <v>67.260000000000005</v>
      </c>
      <c r="DI23" s="5">
        <v>64.41</v>
      </c>
      <c r="DJ23" s="5">
        <v>68.400000000000006</v>
      </c>
      <c r="DK23" s="5">
        <v>78.09</v>
      </c>
      <c r="DL23" s="5">
        <v>84.36</v>
      </c>
      <c r="DM23" s="5">
        <v>82.08</v>
      </c>
      <c r="DN23" s="5">
        <v>76.38</v>
      </c>
      <c r="DO23" s="5">
        <v>71.25</v>
      </c>
      <c r="DP23" s="5">
        <v>84.93</v>
      </c>
      <c r="DQ23" s="5">
        <v>76.38</v>
      </c>
      <c r="DR23" s="5">
        <v>70.680000000000007</v>
      </c>
      <c r="DS23" s="5">
        <v>81.510000000000005</v>
      </c>
      <c r="DT23" s="5">
        <v>73.53</v>
      </c>
      <c r="DU23" s="5">
        <v>61.56</v>
      </c>
      <c r="DV23" s="5">
        <v>74.099999999999994</v>
      </c>
      <c r="DW23" s="5">
        <v>70.11</v>
      </c>
      <c r="DX23" s="5">
        <v>80.37</v>
      </c>
      <c r="DY23" s="5">
        <v>76.38</v>
      </c>
      <c r="DZ23" s="5">
        <v>102.6</v>
      </c>
      <c r="EA23" s="5">
        <v>99.75</v>
      </c>
      <c r="EB23" s="5">
        <v>96.9</v>
      </c>
      <c r="EC23" s="5">
        <v>99.75</v>
      </c>
      <c r="ED23" s="5">
        <v>96.33</v>
      </c>
      <c r="EE23" s="5">
        <v>96.9</v>
      </c>
      <c r="EF23" s="5">
        <v>106.59</v>
      </c>
      <c r="EG23" s="5">
        <v>104.88</v>
      </c>
      <c r="EH23" s="5">
        <v>83.79</v>
      </c>
      <c r="EI23" s="5">
        <v>103.74</v>
      </c>
      <c r="EJ23" s="5">
        <v>106.59</v>
      </c>
      <c r="EK23" s="5">
        <v>104.88</v>
      </c>
      <c r="EL23" s="5">
        <v>103.74</v>
      </c>
      <c r="EM23" s="5">
        <v>99.75</v>
      </c>
      <c r="EN23" s="5">
        <v>97.47</v>
      </c>
      <c r="EO23" s="5">
        <v>99.18</v>
      </c>
      <c r="EP23" s="5">
        <v>80.94</v>
      </c>
      <c r="EQ23" s="5">
        <v>102.6</v>
      </c>
      <c r="ER23" s="5">
        <v>106.02</v>
      </c>
      <c r="ES23" s="5">
        <v>105.45</v>
      </c>
      <c r="ET23" s="5">
        <v>103.17</v>
      </c>
      <c r="EU23" s="5">
        <v>100.89</v>
      </c>
      <c r="EV23" s="5">
        <v>93.48</v>
      </c>
      <c r="EW23" s="5">
        <v>99.18</v>
      </c>
      <c r="EX23" s="5">
        <v>91.2</v>
      </c>
      <c r="EY23" s="5">
        <v>91.2</v>
      </c>
      <c r="EZ23" s="5">
        <v>96.9</v>
      </c>
      <c r="FA23" s="5">
        <v>87.78</v>
      </c>
      <c r="FB23" s="5">
        <v>75.239999999999995</v>
      </c>
      <c r="FC23" s="5">
        <v>86.07</v>
      </c>
      <c r="FD23" s="5">
        <v>68.97</v>
      </c>
      <c r="FE23" s="5">
        <v>69.540000000000006</v>
      </c>
      <c r="FF23" s="5">
        <v>57.57</v>
      </c>
      <c r="FG23" s="5">
        <v>62.7</v>
      </c>
      <c r="FH23" s="5">
        <v>61.56</v>
      </c>
      <c r="FI23" s="5">
        <v>73.53</v>
      </c>
      <c r="FJ23" s="5">
        <v>64.98</v>
      </c>
      <c r="FK23" s="5">
        <v>69.540000000000006</v>
      </c>
      <c r="FL23" s="5">
        <v>72.39</v>
      </c>
      <c r="FM23" s="5">
        <v>58.14</v>
      </c>
      <c r="FN23" s="5">
        <v>62.13</v>
      </c>
      <c r="FO23" s="5">
        <v>75.239999999999995</v>
      </c>
      <c r="FP23" s="5">
        <v>72.959999999999994</v>
      </c>
      <c r="FQ23" s="5">
        <v>79.23</v>
      </c>
      <c r="FR23" s="5">
        <v>81.510000000000005</v>
      </c>
      <c r="FS23" s="5">
        <v>72.39</v>
      </c>
      <c r="FT23" s="5">
        <v>74.67</v>
      </c>
      <c r="FU23" s="5">
        <v>79.23</v>
      </c>
      <c r="FV23" s="5">
        <v>75.239999999999995</v>
      </c>
      <c r="FW23" s="5">
        <v>74.099999999999994</v>
      </c>
      <c r="FX23" s="5">
        <v>76.95</v>
      </c>
      <c r="FY23" s="5">
        <v>72.39</v>
      </c>
      <c r="FZ23" s="5">
        <v>74.099999999999994</v>
      </c>
      <c r="GA23" s="5">
        <v>72.39</v>
      </c>
      <c r="GB23" s="5">
        <v>74.099999999999994</v>
      </c>
      <c r="GC23" s="5">
        <v>71.819999999999993</v>
      </c>
    </row>
    <row r="24" spans="1:185">
      <c r="A24" s="67">
        <v>22</v>
      </c>
      <c r="B24" s="13">
        <v>10</v>
      </c>
      <c r="C24" s="5">
        <v>10</v>
      </c>
      <c r="D24" s="5">
        <f t="shared" si="0"/>
        <v>100</v>
      </c>
      <c r="E24" s="5">
        <v>5</v>
      </c>
      <c r="F24" s="60">
        <f t="shared" si="1"/>
        <v>50</v>
      </c>
      <c r="G24" s="60">
        <f t="shared" si="2"/>
        <v>75</v>
      </c>
      <c r="H24" s="13">
        <v>10</v>
      </c>
      <c r="I24" s="5">
        <v>10</v>
      </c>
      <c r="J24" s="5">
        <f t="shared" si="3"/>
        <v>100</v>
      </c>
      <c r="K24" s="60">
        <v>1.425</v>
      </c>
      <c r="L24" s="68">
        <v>14.250000000000002</v>
      </c>
      <c r="M24" s="68">
        <f t="shared" si="4"/>
        <v>57.125</v>
      </c>
      <c r="N24" s="75">
        <v>7479.39</v>
      </c>
      <c r="O24" s="5">
        <v>-67.442750899999993</v>
      </c>
      <c r="P24" s="5">
        <v>36.557249099999993</v>
      </c>
      <c r="Q24" s="5">
        <v>-68.330438599999994</v>
      </c>
      <c r="R24" s="5">
        <v>35.669561399999999</v>
      </c>
      <c r="T24" s="60">
        <v>1.5125</v>
      </c>
      <c r="U24" s="60">
        <v>1.5249999999999999</v>
      </c>
      <c r="V24" s="60">
        <v>2</v>
      </c>
      <c r="W24" s="60">
        <v>1.675</v>
      </c>
      <c r="X24" s="60">
        <v>1.5874999999999999</v>
      </c>
      <c r="Y24" s="60">
        <v>1.7124999999999999</v>
      </c>
      <c r="Z24" s="60">
        <v>1.5625</v>
      </c>
      <c r="AA24" s="60">
        <v>1.6375</v>
      </c>
      <c r="AB24" s="60">
        <v>1.7749999999999999</v>
      </c>
      <c r="AC24" s="60">
        <v>1.575</v>
      </c>
      <c r="AD24" s="60">
        <v>1.575</v>
      </c>
      <c r="AE24" s="60">
        <v>1.75</v>
      </c>
      <c r="AF24" s="60">
        <v>1.925</v>
      </c>
      <c r="AG24" s="60">
        <v>1.7375</v>
      </c>
      <c r="AH24" s="60">
        <v>1.7625</v>
      </c>
      <c r="AI24" s="60">
        <v>1.825</v>
      </c>
      <c r="AJ24" s="60">
        <v>1.65</v>
      </c>
      <c r="AK24" s="60">
        <v>1.575</v>
      </c>
      <c r="AL24" s="60">
        <v>1.8</v>
      </c>
      <c r="AM24" s="60">
        <v>1.7124999999999999</v>
      </c>
      <c r="AN24" s="60">
        <v>1.7375</v>
      </c>
      <c r="AO24" s="60">
        <v>1.825</v>
      </c>
      <c r="AP24" s="60">
        <v>2.0249999999999999</v>
      </c>
      <c r="AQ24" s="60">
        <v>2.2250000000000001</v>
      </c>
      <c r="AR24" s="60">
        <v>2.3125</v>
      </c>
      <c r="AS24" s="60">
        <v>2.2749999999999999</v>
      </c>
      <c r="AT24" s="60">
        <v>2.125</v>
      </c>
      <c r="AU24" s="60">
        <v>2.2625000000000002</v>
      </c>
      <c r="AV24" s="60">
        <v>2.25</v>
      </c>
      <c r="AW24" s="60">
        <v>2.4</v>
      </c>
      <c r="AX24" s="60">
        <v>2.4</v>
      </c>
      <c r="AY24" s="60">
        <v>2.2374999999999998</v>
      </c>
      <c r="AZ24" s="60">
        <v>2.375</v>
      </c>
      <c r="BA24" s="60">
        <v>2.3624999999999998</v>
      </c>
      <c r="BB24" s="60">
        <v>2.2374999999999998</v>
      </c>
      <c r="BC24" s="60">
        <v>1.9875</v>
      </c>
      <c r="BD24" s="60">
        <v>2.2374999999999998</v>
      </c>
      <c r="BE24" s="60">
        <v>2.2749999999999999</v>
      </c>
      <c r="BF24" s="60">
        <v>2.0499999999999998</v>
      </c>
      <c r="BG24" s="60">
        <v>2.15</v>
      </c>
      <c r="BH24" s="60">
        <v>2.3250000000000002</v>
      </c>
      <c r="BI24" s="60">
        <v>2.2000000000000002</v>
      </c>
      <c r="BJ24" s="60">
        <v>2.3125</v>
      </c>
      <c r="BK24" s="60">
        <v>2.3374999999999999</v>
      </c>
      <c r="BL24" s="60">
        <v>2.2124999999999999</v>
      </c>
      <c r="BM24" s="60">
        <v>1.9</v>
      </c>
      <c r="BN24" s="60">
        <v>2.2250000000000001</v>
      </c>
      <c r="BO24" s="60">
        <v>2.3374999999999999</v>
      </c>
      <c r="BP24" s="60">
        <v>2.25</v>
      </c>
      <c r="BQ24" s="60">
        <v>1.8875</v>
      </c>
      <c r="BR24" s="60">
        <v>2.3250000000000002</v>
      </c>
      <c r="BS24" s="60">
        <v>1.825</v>
      </c>
      <c r="BT24" s="60">
        <v>1.8625</v>
      </c>
      <c r="BU24" s="60">
        <v>1.4624999999999999</v>
      </c>
      <c r="BV24" s="60">
        <v>1.8875</v>
      </c>
      <c r="BW24" s="60">
        <v>1.6875</v>
      </c>
      <c r="BX24" s="60">
        <v>1.575</v>
      </c>
      <c r="BY24" s="60">
        <v>1.6</v>
      </c>
      <c r="BZ24" s="60">
        <v>1.675</v>
      </c>
      <c r="CA24" s="60">
        <v>1.8</v>
      </c>
      <c r="CB24" s="60">
        <v>1.6875</v>
      </c>
      <c r="CC24" s="60">
        <v>1.7250000000000001</v>
      </c>
      <c r="CD24" s="60">
        <v>1.6125</v>
      </c>
      <c r="CE24" s="60">
        <v>1.6125</v>
      </c>
      <c r="CF24" s="60">
        <v>1.7124999999999999</v>
      </c>
      <c r="CG24" s="60">
        <v>1.7749999999999999</v>
      </c>
      <c r="CH24" s="60">
        <v>1.8</v>
      </c>
      <c r="CI24" s="60">
        <v>1.9</v>
      </c>
      <c r="CJ24" s="60">
        <v>1.8374999999999999</v>
      </c>
      <c r="CK24" s="60">
        <v>1.7375</v>
      </c>
      <c r="CL24" s="60">
        <v>1.8374999999999999</v>
      </c>
      <c r="CM24" s="60">
        <v>1.7</v>
      </c>
      <c r="CN24" s="60">
        <v>1.8125</v>
      </c>
      <c r="CO24" s="60">
        <v>1.7375</v>
      </c>
      <c r="CP24" s="60">
        <v>1.75</v>
      </c>
      <c r="CQ24" s="60">
        <v>1.7124999999999999</v>
      </c>
      <c r="CR24" s="60">
        <v>1.625</v>
      </c>
      <c r="CS24" s="60">
        <v>1.6625000000000001</v>
      </c>
      <c r="CT24" s="60">
        <v>1.7875000000000001</v>
      </c>
      <c r="CV24" s="5" t="s">
        <v>539</v>
      </c>
      <c r="CW24" s="5">
        <v>500</v>
      </c>
      <c r="CX24" s="63">
        <v>7.3049600000000006E-2</v>
      </c>
      <c r="CY24" s="5">
        <v>5</v>
      </c>
      <c r="DA24" s="5">
        <v>72.239999999999995</v>
      </c>
      <c r="DB24" s="5">
        <v>107.73</v>
      </c>
      <c r="DC24" s="5">
        <v>74.67</v>
      </c>
      <c r="DD24" s="5">
        <v>75.239999999999995</v>
      </c>
      <c r="DE24" s="5">
        <v>96.9</v>
      </c>
      <c r="DF24" s="5">
        <v>82.08</v>
      </c>
      <c r="DG24" s="5">
        <v>78.09</v>
      </c>
      <c r="DH24" s="5">
        <v>83.79</v>
      </c>
      <c r="DI24" s="5">
        <v>76.95</v>
      </c>
      <c r="DJ24" s="5">
        <v>80.37</v>
      </c>
      <c r="DK24" s="5">
        <v>86.64</v>
      </c>
      <c r="DL24" s="5">
        <v>76.38</v>
      </c>
      <c r="DM24" s="5">
        <v>76.95</v>
      </c>
      <c r="DN24" s="5">
        <v>85.5</v>
      </c>
      <c r="DO24" s="5">
        <v>93.48</v>
      </c>
      <c r="DP24" s="5">
        <v>84.93</v>
      </c>
      <c r="DQ24" s="5">
        <v>86.07</v>
      </c>
      <c r="DR24" s="5">
        <v>88.92</v>
      </c>
      <c r="DS24" s="5">
        <v>80.37</v>
      </c>
      <c r="DT24" s="5">
        <v>77.52</v>
      </c>
      <c r="DU24" s="5">
        <v>87.78</v>
      </c>
      <c r="DV24" s="5">
        <v>83.79</v>
      </c>
      <c r="DW24" s="5">
        <v>84.93</v>
      </c>
      <c r="DX24" s="5">
        <v>88.92</v>
      </c>
      <c r="DY24" s="5">
        <v>98.04</v>
      </c>
      <c r="DZ24" s="5">
        <v>107.16</v>
      </c>
      <c r="EA24" s="5">
        <v>111.15</v>
      </c>
      <c r="EB24" s="5">
        <v>109.44</v>
      </c>
      <c r="EC24" s="5">
        <v>102.6</v>
      </c>
      <c r="ED24" s="5">
        <v>108.87</v>
      </c>
      <c r="EE24" s="5">
        <v>108.3</v>
      </c>
      <c r="EF24" s="5">
        <v>115.14</v>
      </c>
      <c r="EG24" s="5">
        <v>116.28</v>
      </c>
      <c r="EH24" s="5">
        <v>107.73</v>
      </c>
      <c r="EI24" s="5">
        <v>114</v>
      </c>
      <c r="EJ24" s="5">
        <v>113.43</v>
      </c>
      <c r="EK24" s="5">
        <v>107.73</v>
      </c>
      <c r="EL24" s="5">
        <v>95.76</v>
      </c>
      <c r="EM24" s="5">
        <v>107.73</v>
      </c>
      <c r="EN24" s="5">
        <v>109.44</v>
      </c>
      <c r="EO24" s="5">
        <v>98.61</v>
      </c>
      <c r="EP24" s="5">
        <v>103.74</v>
      </c>
      <c r="EQ24" s="5">
        <v>111.72</v>
      </c>
      <c r="ER24" s="5">
        <v>106.02</v>
      </c>
      <c r="ES24" s="5">
        <v>111.15</v>
      </c>
      <c r="ET24" s="5">
        <v>112.29</v>
      </c>
      <c r="EU24" s="5">
        <v>106.59</v>
      </c>
      <c r="EV24" s="5">
        <v>91.77</v>
      </c>
      <c r="EW24" s="5">
        <v>107.16</v>
      </c>
      <c r="EX24" s="5">
        <v>112.29</v>
      </c>
      <c r="EY24" s="5">
        <v>108.3</v>
      </c>
      <c r="EZ24" s="5">
        <v>91.77</v>
      </c>
      <c r="FA24" s="5">
        <v>111.72</v>
      </c>
      <c r="FB24" s="5">
        <v>88.92</v>
      </c>
      <c r="FC24" s="5">
        <v>90.63</v>
      </c>
      <c r="FD24" s="5">
        <v>71.819999999999993</v>
      </c>
      <c r="FE24" s="5">
        <v>91.77</v>
      </c>
      <c r="FF24" s="5">
        <v>82.08</v>
      </c>
      <c r="FG24" s="5">
        <v>76.95</v>
      </c>
      <c r="FH24" s="5">
        <v>78.66</v>
      </c>
      <c r="FI24" s="5">
        <v>82.08</v>
      </c>
      <c r="FJ24" s="5">
        <v>87.78</v>
      </c>
      <c r="FK24" s="5">
        <v>82.65</v>
      </c>
      <c r="FL24" s="5">
        <v>84.36</v>
      </c>
      <c r="FM24" s="5">
        <v>78.66</v>
      </c>
      <c r="FN24" s="5">
        <v>78.66</v>
      </c>
      <c r="FO24" s="5">
        <v>83.79</v>
      </c>
      <c r="FP24" s="5">
        <v>86.64</v>
      </c>
      <c r="FQ24" s="5">
        <v>87.78</v>
      </c>
      <c r="FR24" s="5">
        <v>92.34</v>
      </c>
      <c r="FS24" s="5">
        <v>89.49</v>
      </c>
      <c r="FT24" s="5">
        <v>84.93</v>
      </c>
      <c r="FU24" s="5">
        <v>89.49</v>
      </c>
      <c r="FV24" s="5">
        <v>82.65</v>
      </c>
      <c r="FW24" s="5">
        <v>88.35</v>
      </c>
      <c r="FX24" s="5">
        <v>84.93</v>
      </c>
      <c r="FY24" s="5">
        <v>85.5</v>
      </c>
      <c r="FZ24" s="5">
        <v>83.79</v>
      </c>
      <c r="GA24" s="5">
        <v>79.8</v>
      </c>
      <c r="GB24" s="5">
        <v>81.510000000000005</v>
      </c>
      <c r="GC24" s="5">
        <v>87.21</v>
      </c>
    </row>
    <row r="25" spans="1:185">
      <c r="A25" s="67">
        <v>23</v>
      </c>
      <c r="B25" s="13">
        <v>10</v>
      </c>
      <c r="C25" s="5">
        <v>10</v>
      </c>
      <c r="D25" s="5">
        <f t="shared" si="0"/>
        <v>100</v>
      </c>
      <c r="E25" s="5">
        <v>1</v>
      </c>
      <c r="F25" s="60">
        <f t="shared" si="1"/>
        <v>10</v>
      </c>
      <c r="G25" s="60">
        <f t="shared" si="2"/>
        <v>55</v>
      </c>
      <c r="H25" s="13">
        <v>10</v>
      </c>
      <c r="I25" s="5">
        <v>8</v>
      </c>
      <c r="J25" s="5">
        <f t="shared" si="3"/>
        <v>80</v>
      </c>
      <c r="K25" s="60">
        <v>0.92500000000000004</v>
      </c>
      <c r="L25" s="68">
        <v>9.25</v>
      </c>
      <c r="M25" s="68">
        <f t="shared" si="4"/>
        <v>44.625</v>
      </c>
      <c r="N25" s="5">
        <v>5700.42</v>
      </c>
      <c r="O25" s="5">
        <v>-66.910707900000006</v>
      </c>
      <c r="P25" s="5">
        <v>37.089292100000002</v>
      </c>
      <c r="Q25" s="5">
        <v>-66.60060949999999</v>
      </c>
      <c r="R25" s="5">
        <v>37.399390499999996</v>
      </c>
      <c r="T25" s="60">
        <v>1.2875000000000001</v>
      </c>
      <c r="U25" s="60">
        <v>1.1625000000000001</v>
      </c>
      <c r="V25" s="60">
        <v>1.45</v>
      </c>
      <c r="W25" s="60">
        <v>1.35</v>
      </c>
      <c r="X25" s="60">
        <v>1.175</v>
      </c>
      <c r="Y25" s="60">
        <v>1.1875</v>
      </c>
      <c r="Z25" s="60">
        <v>1.1625000000000001</v>
      </c>
      <c r="AA25" s="60">
        <v>1.2</v>
      </c>
      <c r="AB25" s="60">
        <v>1.3374999999999999</v>
      </c>
      <c r="AC25" s="60">
        <v>1.3875</v>
      </c>
      <c r="AD25" s="60">
        <v>1.5249999999999999</v>
      </c>
      <c r="AE25" s="60">
        <v>1.5</v>
      </c>
      <c r="AF25" s="60">
        <v>1.4624999999999999</v>
      </c>
      <c r="AG25" s="60">
        <v>1.4624999999999999</v>
      </c>
      <c r="AH25" s="60">
        <v>1.3875</v>
      </c>
      <c r="AI25" s="60">
        <v>1.4875</v>
      </c>
      <c r="AJ25" s="60">
        <v>1.4624999999999999</v>
      </c>
      <c r="AK25" s="60">
        <v>1.4624999999999999</v>
      </c>
      <c r="AL25" s="60">
        <v>1.2749999999999999</v>
      </c>
      <c r="AM25" s="60">
        <v>1.2749999999999999</v>
      </c>
      <c r="AN25" s="60">
        <v>1.2250000000000001</v>
      </c>
      <c r="AO25" s="60">
        <v>1.5874999999999999</v>
      </c>
      <c r="AP25" s="60">
        <v>1.7250000000000001</v>
      </c>
      <c r="AQ25" s="60">
        <v>1.65</v>
      </c>
      <c r="AR25" s="60">
        <v>1.575</v>
      </c>
      <c r="AS25" s="60">
        <v>1.6625000000000001</v>
      </c>
      <c r="AT25" s="60">
        <v>1.4125000000000001</v>
      </c>
      <c r="AU25" s="60">
        <v>1.875</v>
      </c>
      <c r="AV25" s="60">
        <v>1.75</v>
      </c>
      <c r="AW25" s="60">
        <v>1.7625</v>
      </c>
      <c r="AX25" s="60">
        <v>1.7625</v>
      </c>
      <c r="AY25" s="60">
        <v>1.7625</v>
      </c>
      <c r="AZ25" s="60">
        <v>1.7749999999999999</v>
      </c>
      <c r="BA25" s="60">
        <v>1.7625</v>
      </c>
      <c r="BB25" s="60">
        <v>1.8125</v>
      </c>
      <c r="BC25" s="60">
        <v>1.5874999999999999</v>
      </c>
      <c r="BD25" s="60">
        <v>1.5874999999999999</v>
      </c>
      <c r="BE25" s="60">
        <v>1.6</v>
      </c>
      <c r="BF25" s="60">
        <v>1.55</v>
      </c>
      <c r="BG25" s="60">
        <v>1.425</v>
      </c>
      <c r="BH25" s="60">
        <v>1.95</v>
      </c>
      <c r="BI25" s="60">
        <v>1.7875000000000001</v>
      </c>
      <c r="BJ25" s="60">
        <v>1.6625000000000001</v>
      </c>
      <c r="BK25" s="60">
        <v>1.6125</v>
      </c>
      <c r="BL25" s="60">
        <v>1.5375000000000001</v>
      </c>
      <c r="BM25" s="60">
        <v>1.7124999999999999</v>
      </c>
      <c r="BN25" s="60">
        <v>1.5625</v>
      </c>
      <c r="BO25" s="60">
        <v>1.6125</v>
      </c>
      <c r="BP25" s="60">
        <v>1.625</v>
      </c>
      <c r="BQ25" s="60">
        <v>1.5375000000000001</v>
      </c>
      <c r="BR25" s="60">
        <v>1.575</v>
      </c>
      <c r="BS25" s="60">
        <v>0.96250000000000002</v>
      </c>
      <c r="BT25" s="60">
        <v>1.2</v>
      </c>
      <c r="BU25" s="60">
        <v>1.1000000000000001</v>
      </c>
      <c r="BV25" s="60">
        <v>1.0375000000000001</v>
      </c>
      <c r="BW25" s="60">
        <v>1.0249999999999999</v>
      </c>
      <c r="BX25" s="60">
        <v>1.25</v>
      </c>
      <c r="BY25" s="60">
        <v>1.2124999999999999</v>
      </c>
      <c r="BZ25" s="60">
        <v>1.2375</v>
      </c>
      <c r="CA25" s="60">
        <v>1.075</v>
      </c>
      <c r="CB25" s="60">
        <v>1.2124999999999999</v>
      </c>
      <c r="CC25" s="60">
        <v>1.2749999999999999</v>
      </c>
      <c r="CD25" s="60">
        <v>1.1499999999999999</v>
      </c>
      <c r="CE25" s="60">
        <v>1.1000000000000001</v>
      </c>
      <c r="CF25" s="60">
        <v>1.2250000000000001</v>
      </c>
      <c r="CG25" s="60">
        <v>1.325</v>
      </c>
      <c r="CH25" s="60">
        <v>1.2375</v>
      </c>
      <c r="CI25" s="60">
        <v>1.3625</v>
      </c>
      <c r="CJ25" s="60">
        <v>1.2</v>
      </c>
      <c r="CK25" s="60">
        <v>1.3</v>
      </c>
      <c r="CL25" s="60">
        <v>1.425</v>
      </c>
      <c r="CM25" s="60">
        <v>1.325</v>
      </c>
      <c r="CN25" s="60">
        <v>1.4</v>
      </c>
      <c r="CO25" s="60">
        <v>1.25</v>
      </c>
      <c r="CP25" s="60">
        <v>1.2375</v>
      </c>
      <c r="CQ25" s="60">
        <v>1.2875000000000001</v>
      </c>
      <c r="CR25" s="60">
        <v>1.1499999999999999</v>
      </c>
      <c r="CS25" s="60">
        <v>1.4</v>
      </c>
      <c r="CT25" s="60">
        <v>1.2625</v>
      </c>
      <c r="CV25" s="5" t="s">
        <v>540</v>
      </c>
      <c r="CW25" s="5">
        <v>500</v>
      </c>
      <c r="CX25" s="63">
        <v>6.6165000000000002E-2</v>
      </c>
      <c r="CY25" s="5">
        <v>9</v>
      </c>
      <c r="DA25" s="5">
        <v>49.44</v>
      </c>
      <c r="DB25" s="5">
        <v>86.07</v>
      </c>
      <c r="DC25" s="5">
        <v>64.41</v>
      </c>
      <c r="DD25" s="5">
        <v>58.71</v>
      </c>
      <c r="DE25" s="5">
        <v>71.819999999999993</v>
      </c>
      <c r="DF25" s="5">
        <v>67.260000000000005</v>
      </c>
      <c r="DG25" s="5">
        <v>59.28</v>
      </c>
      <c r="DH25" s="5">
        <v>59.85</v>
      </c>
      <c r="DI25" s="5">
        <v>58.71</v>
      </c>
      <c r="DJ25" s="5">
        <v>60.42</v>
      </c>
      <c r="DK25" s="5">
        <v>66.69</v>
      </c>
      <c r="DL25" s="5">
        <v>68.97</v>
      </c>
      <c r="DM25" s="5">
        <v>75.239999999999995</v>
      </c>
      <c r="DN25" s="5">
        <v>74.099999999999994</v>
      </c>
      <c r="DO25" s="5">
        <v>72.39</v>
      </c>
      <c r="DP25" s="5">
        <v>72.39</v>
      </c>
      <c r="DQ25" s="5">
        <v>68.400000000000006</v>
      </c>
      <c r="DR25" s="5">
        <v>73.53</v>
      </c>
      <c r="DS25" s="5">
        <v>72.39</v>
      </c>
      <c r="DT25" s="5">
        <v>72.39</v>
      </c>
      <c r="DU25" s="5">
        <v>63.84</v>
      </c>
      <c r="DV25" s="5">
        <v>63.84</v>
      </c>
      <c r="DW25" s="5">
        <v>61.56</v>
      </c>
      <c r="DX25" s="5">
        <v>78.09</v>
      </c>
      <c r="DY25" s="5">
        <v>84.36</v>
      </c>
      <c r="DZ25" s="5">
        <v>80.94</v>
      </c>
      <c r="EA25" s="5">
        <v>77.52</v>
      </c>
      <c r="EB25" s="5">
        <v>81.510000000000005</v>
      </c>
      <c r="EC25" s="5">
        <v>68.97</v>
      </c>
      <c r="ED25" s="5">
        <v>91.2</v>
      </c>
      <c r="EE25" s="5">
        <v>85.5</v>
      </c>
      <c r="EF25" s="5">
        <v>86.07</v>
      </c>
      <c r="EG25" s="5">
        <v>86.64</v>
      </c>
      <c r="EH25" s="5">
        <v>86.07</v>
      </c>
      <c r="EI25" s="5">
        <v>86.64</v>
      </c>
      <c r="EJ25" s="5">
        <v>86.07</v>
      </c>
      <c r="EK25" s="5">
        <v>88.35</v>
      </c>
      <c r="EL25" s="5">
        <v>78.09</v>
      </c>
      <c r="EM25" s="5">
        <v>78.09</v>
      </c>
      <c r="EN25" s="5">
        <v>78.09</v>
      </c>
      <c r="EO25" s="5">
        <v>76.38</v>
      </c>
      <c r="EP25" s="5">
        <v>70.680000000000007</v>
      </c>
      <c r="EQ25" s="5">
        <v>94.62</v>
      </c>
      <c r="ER25" s="5">
        <v>87.21</v>
      </c>
      <c r="ES25" s="5">
        <v>81.510000000000005</v>
      </c>
      <c r="ET25" s="5">
        <v>79.23</v>
      </c>
      <c r="EU25" s="5">
        <v>75.81</v>
      </c>
      <c r="EV25" s="5">
        <v>83.79</v>
      </c>
      <c r="EW25" s="5">
        <v>76.95</v>
      </c>
      <c r="EX25" s="5">
        <v>79.23</v>
      </c>
      <c r="EY25" s="5">
        <v>79.8</v>
      </c>
      <c r="EZ25" s="5">
        <v>75.81</v>
      </c>
      <c r="FA25" s="5">
        <v>77.52</v>
      </c>
      <c r="FB25" s="5">
        <v>48.45</v>
      </c>
      <c r="FC25" s="5">
        <v>60.42</v>
      </c>
      <c r="FD25" s="5">
        <v>55.86</v>
      </c>
      <c r="FE25" s="5">
        <v>53.01</v>
      </c>
      <c r="FF25" s="5">
        <v>51.87</v>
      </c>
      <c r="FG25" s="5">
        <v>62.7</v>
      </c>
      <c r="FH25" s="5">
        <v>60.99</v>
      </c>
      <c r="FI25" s="5">
        <v>62.13</v>
      </c>
      <c r="FJ25" s="5">
        <v>54.15</v>
      </c>
      <c r="FK25" s="5">
        <v>60.99</v>
      </c>
      <c r="FL25" s="5">
        <v>63.84</v>
      </c>
      <c r="FM25" s="5">
        <v>58.14</v>
      </c>
      <c r="FN25" s="5">
        <v>55.86</v>
      </c>
      <c r="FO25" s="5">
        <v>61.56</v>
      </c>
      <c r="FP25" s="5">
        <v>66.12</v>
      </c>
      <c r="FQ25" s="5">
        <v>62.13</v>
      </c>
      <c r="FR25" s="5">
        <v>67.83</v>
      </c>
      <c r="FS25" s="5">
        <v>60.42</v>
      </c>
      <c r="FT25" s="5">
        <v>64.98</v>
      </c>
      <c r="FU25" s="5">
        <v>70.680000000000007</v>
      </c>
      <c r="FV25" s="5">
        <v>66.12</v>
      </c>
      <c r="FW25" s="5">
        <v>69.540000000000006</v>
      </c>
      <c r="FX25" s="5">
        <v>62.7</v>
      </c>
      <c r="FY25" s="5">
        <v>62.13</v>
      </c>
      <c r="FZ25" s="5">
        <v>64.41</v>
      </c>
      <c r="GA25" s="5">
        <v>58.14</v>
      </c>
      <c r="GB25" s="5">
        <v>69.540000000000006</v>
      </c>
      <c r="GC25" s="5">
        <v>63.27</v>
      </c>
    </row>
    <row r="26" spans="1:185">
      <c r="A26" s="67">
        <v>24</v>
      </c>
      <c r="B26" s="13">
        <v>10</v>
      </c>
      <c r="C26" s="5">
        <v>7</v>
      </c>
      <c r="D26" s="5">
        <f t="shared" si="0"/>
        <v>70</v>
      </c>
      <c r="E26" s="5">
        <v>3</v>
      </c>
      <c r="F26" s="60">
        <f t="shared" si="1"/>
        <v>42.857142857142854</v>
      </c>
      <c r="G26" s="60">
        <f t="shared" si="2"/>
        <v>56.428571428571431</v>
      </c>
      <c r="H26" s="13">
        <v>10</v>
      </c>
      <c r="I26" s="5">
        <v>7</v>
      </c>
      <c r="J26" s="5">
        <f t="shared" si="3"/>
        <v>70</v>
      </c>
      <c r="K26" s="60">
        <v>1.5125</v>
      </c>
      <c r="L26" s="68">
        <v>15.125</v>
      </c>
      <c r="M26" s="68">
        <f t="shared" si="4"/>
        <v>42.5625</v>
      </c>
      <c r="N26" s="75">
        <v>7995.2399999999989</v>
      </c>
      <c r="O26" s="5">
        <v>-67.862798749999996</v>
      </c>
      <c r="P26" s="5">
        <v>36.137201250000004</v>
      </c>
      <c r="Q26" s="5">
        <v>-67.045552499999999</v>
      </c>
      <c r="R26" s="5">
        <v>36.954447500000001</v>
      </c>
      <c r="T26" s="60">
        <v>1.85</v>
      </c>
      <c r="U26" s="60">
        <v>1.8625</v>
      </c>
      <c r="V26" s="60">
        <v>2.3250000000000002</v>
      </c>
      <c r="W26" s="60">
        <v>1.825</v>
      </c>
      <c r="X26" s="60">
        <v>1.6625000000000001</v>
      </c>
      <c r="Y26" s="60">
        <v>1.6875</v>
      </c>
      <c r="Z26" s="60">
        <v>1.6875</v>
      </c>
      <c r="AA26" s="60">
        <v>1.6</v>
      </c>
      <c r="AB26" s="60">
        <v>1.7749999999999999</v>
      </c>
      <c r="AC26" s="60">
        <v>1.9375</v>
      </c>
      <c r="AD26" s="60">
        <v>1.9</v>
      </c>
      <c r="AE26" s="60">
        <v>2</v>
      </c>
      <c r="AF26" s="60">
        <v>1.8374999999999999</v>
      </c>
      <c r="AG26" s="60">
        <v>1.8875</v>
      </c>
      <c r="AH26" s="60">
        <v>1.925</v>
      </c>
      <c r="AI26" s="60">
        <v>2.0375000000000001</v>
      </c>
      <c r="AJ26" s="60">
        <v>1.7</v>
      </c>
      <c r="AK26" s="60">
        <v>1.7</v>
      </c>
      <c r="AL26" s="60">
        <v>1.9624999999999999</v>
      </c>
      <c r="AM26" s="60">
        <v>1.825</v>
      </c>
      <c r="AN26" s="60">
        <v>2.2000000000000002</v>
      </c>
      <c r="AO26" s="60">
        <v>2.6124999999999998</v>
      </c>
      <c r="AP26" s="60">
        <v>2.3125</v>
      </c>
      <c r="AQ26" s="60">
        <v>2.3125</v>
      </c>
      <c r="AR26" s="60">
        <v>2.4375</v>
      </c>
      <c r="AS26" s="60">
        <v>2.5</v>
      </c>
      <c r="AT26" s="60">
        <v>2.6124999999999998</v>
      </c>
      <c r="AU26" s="60">
        <v>2.2124999999999999</v>
      </c>
      <c r="AV26" s="60">
        <v>2.6749999999999998</v>
      </c>
      <c r="AW26" s="60">
        <v>2.5750000000000002</v>
      </c>
      <c r="AX26" s="60">
        <v>2.5750000000000002</v>
      </c>
      <c r="AY26" s="60">
        <v>2.5249999999999999</v>
      </c>
      <c r="AZ26" s="60">
        <v>2.6</v>
      </c>
      <c r="BA26" s="60">
        <v>2.4500000000000002</v>
      </c>
      <c r="BB26" s="60">
        <v>2.4500000000000002</v>
      </c>
      <c r="BC26" s="60">
        <v>2.35</v>
      </c>
      <c r="BD26" s="60">
        <v>2.2374999999999998</v>
      </c>
      <c r="BE26" s="60">
        <v>2.2374999999999998</v>
      </c>
      <c r="BF26" s="60">
        <v>2.4125000000000001</v>
      </c>
      <c r="BG26" s="60">
        <v>2.2625000000000002</v>
      </c>
      <c r="BH26" s="60">
        <v>2.625</v>
      </c>
      <c r="BI26" s="60">
        <v>2.5499999999999998</v>
      </c>
      <c r="BJ26" s="60">
        <v>2.2124999999999999</v>
      </c>
      <c r="BK26" s="60">
        <v>2.2999999999999998</v>
      </c>
      <c r="BL26" s="60">
        <v>2.3125</v>
      </c>
      <c r="BM26" s="60">
        <v>2.3125</v>
      </c>
      <c r="BN26" s="60">
        <v>2.375</v>
      </c>
      <c r="BO26" s="60">
        <v>2.1625000000000001</v>
      </c>
      <c r="BP26" s="60">
        <v>1.9624999999999999</v>
      </c>
      <c r="BQ26" s="60">
        <v>1.9624999999999999</v>
      </c>
      <c r="BR26" s="60">
        <v>2.3374999999999999</v>
      </c>
      <c r="BS26" s="60">
        <v>1.8374999999999999</v>
      </c>
      <c r="BT26" s="60">
        <v>1.9375</v>
      </c>
      <c r="BU26" s="60">
        <v>1.8125</v>
      </c>
      <c r="BV26" s="60">
        <v>1.6</v>
      </c>
      <c r="BW26" s="60">
        <v>1.5625</v>
      </c>
      <c r="BX26" s="60">
        <v>1.6625000000000001</v>
      </c>
      <c r="BY26" s="60">
        <v>1.7124999999999999</v>
      </c>
      <c r="BZ26" s="60">
        <v>1.7749999999999999</v>
      </c>
      <c r="CA26" s="60">
        <v>1.7375</v>
      </c>
      <c r="CB26" s="60">
        <v>1.7875000000000001</v>
      </c>
      <c r="CC26" s="60">
        <v>1.875</v>
      </c>
      <c r="CD26" s="60">
        <v>1.6875</v>
      </c>
      <c r="CE26" s="60">
        <v>1.7</v>
      </c>
      <c r="CF26" s="60">
        <v>1.875</v>
      </c>
      <c r="CG26" s="60">
        <v>1.8875</v>
      </c>
      <c r="CH26" s="60">
        <v>1.8625</v>
      </c>
      <c r="CI26" s="60">
        <v>1.85</v>
      </c>
      <c r="CJ26" s="60">
        <v>1.925</v>
      </c>
      <c r="CK26" s="60">
        <v>1.85</v>
      </c>
      <c r="CL26" s="60">
        <v>1.8875</v>
      </c>
      <c r="CM26" s="60">
        <v>2</v>
      </c>
      <c r="CN26" s="60">
        <v>2.0375000000000001</v>
      </c>
      <c r="CO26" s="60">
        <v>1.8374999999999999</v>
      </c>
      <c r="CP26" s="60">
        <v>1.8</v>
      </c>
      <c r="CQ26" s="60">
        <v>1.825</v>
      </c>
      <c r="CR26" s="60">
        <v>1.7124999999999999</v>
      </c>
      <c r="CS26" s="60">
        <v>1.8374999999999999</v>
      </c>
      <c r="CT26" s="60">
        <v>1.7250000000000001</v>
      </c>
      <c r="CV26" s="5" t="s">
        <v>541</v>
      </c>
      <c r="CW26" s="5">
        <v>500</v>
      </c>
      <c r="CX26" s="63">
        <v>7.5992666666666667E-2</v>
      </c>
      <c r="CY26" s="5">
        <v>7</v>
      </c>
      <c r="DA26" s="5">
        <v>76.23</v>
      </c>
      <c r="DB26" s="5">
        <v>126.54</v>
      </c>
      <c r="DC26" s="5">
        <v>90.06</v>
      </c>
      <c r="DD26" s="5">
        <v>90.63</v>
      </c>
      <c r="DE26" s="5">
        <v>111.72</v>
      </c>
      <c r="DF26" s="5">
        <v>88.92</v>
      </c>
      <c r="DG26" s="5">
        <v>81.510000000000005</v>
      </c>
      <c r="DH26" s="5">
        <v>82.65</v>
      </c>
      <c r="DI26" s="5">
        <v>82.65</v>
      </c>
      <c r="DJ26" s="5">
        <v>78.66</v>
      </c>
      <c r="DK26" s="5">
        <v>86.64</v>
      </c>
      <c r="DL26" s="5">
        <v>94.05</v>
      </c>
      <c r="DM26" s="5">
        <v>92.34</v>
      </c>
      <c r="DN26" s="5">
        <v>96.9</v>
      </c>
      <c r="DO26" s="5">
        <v>88.92</v>
      </c>
      <c r="DP26" s="5">
        <v>91.2</v>
      </c>
      <c r="DQ26" s="5">
        <v>93.48</v>
      </c>
      <c r="DR26" s="5">
        <v>98.61</v>
      </c>
      <c r="DS26" s="5">
        <v>82.65</v>
      </c>
      <c r="DT26" s="5">
        <v>82.65</v>
      </c>
      <c r="DU26" s="5">
        <v>95.19</v>
      </c>
      <c r="DV26" s="5">
        <v>88.92</v>
      </c>
      <c r="DW26" s="5">
        <v>106.02</v>
      </c>
      <c r="DX26" s="5">
        <v>124.83</v>
      </c>
      <c r="DY26" s="5">
        <v>110.58</v>
      </c>
      <c r="DZ26" s="5">
        <v>111.15</v>
      </c>
      <c r="EA26" s="5">
        <v>116.85</v>
      </c>
      <c r="EB26" s="5">
        <v>119.7</v>
      </c>
      <c r="EC26" s="5">
        <v>124.83</v>
      </c>
      <c r="ED26" s="5">
        <v>106.02</v>
      </c>
      <c r="EE26" s="5">
        <v>127.68</v>
      </c>
      <c r="EF26" s="5">
        <v>123.12</v>
      </c>
      <c r="EG26" s="5">
        <v>117.42</v>
      </c>
      <c r="EH26" s="5">
        <v>120.84</v>
      </c>
      <c r="EI26" s="5">
        <v>124.26</v>
      </c>
      <c r="EJ26" s="5">
        <v>117.42</v>
      </c>
      <c r="EK26" s="5">
        <v>117.42</v>
      </c>
      <c r="EL26" s="5">
        <v>112.86</v>
      </c>
      <c r="EM26" s="5">
        <v>107.73</v>
      </c>
      <c r="EN26" s="5">
        <v>107.73</v>
      </c>
      <c r="EO26" s="5">
        <v>115.71</v>
      </c>
      <c r="EP26" s="5">
        <v>108.87</v>
      </c>
      <c r="EQ26" s="5">
        <v>125.4</v>
      </c>
      <c r="ER26" s="5">
        <v>121.98</v>
      </c>
      <c r="ES26" s="5">
        <v>106.02</v>
      </c>
      <c r="ET26" s="5">
        <v>110.58</v>
      </c>
      <c r="EU26" s="5">
        <v>111.15</v>
      </c>
      <c r="EV26" s="5">
        <v>111.15</v>
      </c>
      <c r="EW26" s="5">
        <v>114</v>
      </c>
      <c r="EX26" s="5">
        <v>104.31</v>
      </c>
      <c r="EY26" s="5">
        <v>95.19</v>
      </c>
      <c r="EZ26" s="5">
        <v>95.19</v>
      </c>
      <c r="FA26" s="5">
        <v>112.29</v>
      </c>
      <c r="FB26" s="5">
        <v>89.49</v>
      </c>
      <c r="FC26" s="5">
        <v>94.05</v>
      </c>
      <c r="FD26" s="5">
        <v>88.35</v>
      </c>
      <c r="FE26" s="5">
        <v>78.09</v>
      </c>
      <c r="FF26" s="5">
        <v>76.38</v>
      </c>
      <c r="FG26" s="5">
        <v>81.510000000000005</v>
      </c>
      <c r="FH26" s="5">
        <v>83.79</v>
      </c>
      <c r="FI26" s="5">
        <v>86.64</v>
      </c>
      <c r="FJ26" s="5">
        <v>84.93</v>
      </c>
      <c r="FK26" s="5">
        <v>87.21</v>
      </c>
      <c r="FL26" s="5">
        <v>91.2</v>
      </c>
      <c r="FM26" s="5">
        <v>82.65</v>
      </c>
      <c r="FN26" s="5">
        <v>83.22</v>
      </c>
      <c r="FO26" s="5">
        <v>91.2</v>
      </c>
      <c r="FP26" s="5">
        <v>91.77</v>
      </c>
      <c r="FQ26" s="5">
        <v>90.63</v>
      </c>
      <c r="FR26" s="5">
        <v>90.06</v>
      </c>
      <c r="FS26" s="5">
        <v>93.48</v>
      </c>
      <c r="FT26" s="5">
        <v>90.06</v>
      </c>
      <c r="FU26" s="5">
        <v>91.77</v>
      </c>
      <c r="FV26" s="5">
        <v>96.9</v>
      </c>
      <c r="FW26" s="5">
        <v>98.61</v>
      </c>
      <c r="FX26" s="5">
        <v>89.49</v>
      </c>
      <c r="FY26" s="5">
        <v>87.78</v>
      </c>
      <c r="FZ26" s="5">
        <v>88.92</v>
      </c>
      <c r="GA26" s="5">
        <v>83.79</v>
      </c>
      <c r="GB26" s="5">
        <v>89.49</v>
      </c>
      <c r="GC26" s="5">
        <v>84.36</v>
      </c>
    </row>
    <row r="27" spans="1:185">
      <c r="A27" s="67">
        <v>25</v>
      </c>
      <c r="B27" s="13">
        <v>10</v>
      </c>
      <c r="C27" s="5">
        <v>10</v>
      </c>
      <c r="D27" s="5">
        <f t="shared" si="0"/>
        <v>100</v>
      </c>
      <c r="E27" s="5">
        <v>1</v>
      </c>
      <c r="F27" s="5">
        <f t="shared" si="1"/>
        <v>10</v>
      </c>
      <c r="G27" s="5">
        <f t="shared" si="2"/>
        <v>55</v>
      </c>
      <c r="H27" s="13">
        <v>10</v>
      </c>
      <c r="I27" s="5">
        <v>10</v>
      </c>
      <c r="J27" s="5">
        <f t="shared" si="3"/>
        <v>100</v>
      </c>
      <c r="K27" s="60">
        <v>0.95</v>
      </c>
      <c r="L27" s="68">
        <v>9.5</v>
      </c>
      <c r="M27" s="68">
        <f t="shared" si="4"/>
        <v>54.75</v>
      </c>
      <c r="N27" s="5">
        <v>5048.91</v>
      </c>
      <c r="O27" s="5">
        <v>-69.354622299999988</v>
      </c>
      <c r="P27" s="5">
        <v>34.645377699999997</v>
      </c>
      <c r="Q27" s="5">
        <v>-67.910034800000005</v>
      </c>
      <c r="R27" s="5">
        <v>36.089965200000002</v>
      </c>
      <c r="T27" s="60">
        <v>1.2375</v>
      </c>
      <c r="U27" s="60">
        <v>1.1000000000000001</v>
      </c>
      <c r="V27" s="60">
        <v>1.75</v>
      </c>
      <c r="W27" s="60">
        <v>1.0874999999999999</v>
      </c>
      <c r="X27" s="60">
        <v>0.9375</v>
      </c>
      <c r="Y27" s="60">
        <v>0.98750000000000004</v>
      </c>
      <c r="Z27" s="60">
        <v>1.0125</v>
      </c>
      <c r="AA27" s="60">
        <v>0.9375</v>
      </c>
      <c r="AB27" s="60">
        <v>0.97499999999999998</v>
      </c>
      <c r="AC27" s="60">
        <v>1.0874999999999999</v>
      </c>
      <c r="AD27" s="60">
        <v>1.2250000000000001</v>
      </c>
      <c r="AE27" s="60">
        <v>1.0625</v>
      </c>
      <c r="AF27" s="60">
        <v>1.05</v>
      </c>
      <c r="AG27" s="60">
        <v>1.0874999999999999</v>
      </c>
      <c r="AH27" s="60">
        <v>1.1625000000000001</v>
      </c>
      <c r="AI27" s="60">
        <v>1</v>
      </c>
      <c r="AJ27" s="60">
        <v>1.1875</v>
      </c>
      <c r="AK27" s="60">
        <v>1.25</v>
      </c>
      <c r="AL27" s="60">
        <v>1.1125</v>
      </c>
      <c r="AM27" s="60">
        <v>1.2625</v>
      </c>
      <c r="AN27" s="60">
        <v>1.825</v>
      </c>
      <c r="AO27" s="60">
        <v>1.6875</v>
      </c>
      <c r="AP27" s="60">
        <v>1.7375</v>
      </c>
      <c r="AQ27" s="60">
        <v>1.425</v>
      </c>
      <c r="AR27" s="60">
        <v>1.9</v>
      </c>
      <c r="AS27" s="60">
        <v>1.6</v>
      </c>
      <c r="AT27" s="60">
        <v>1.8</v>
      </c>
      <c r="AU27" s="60">
        <v>1.8625</v>
      </c>
      <c r="AV27" s="60">
        <v>1.75</v>
      </c>
      <c r="AW27" s="60">
        <v>1.8</v>
      </c>
      <c r="AX27" s="60">
        <v>1.8</v>
      </c>
      <c r="AY27" s="60">
        <v>1.8374999999999999</v>
      </c>
      <c r="AZ27" s="60">
        <v>1.9875</v>
      </c>
      <c r="BA27" s="60">
        <v>1.4</v>
      </c>
      <c r="BB27" s="60">
        <v>1.4375</v>
      </c>
      <c r="BC27" s="60">
        <v>1.4125000000000001</v>
      </c>
      <c r="BD27" s="60">
        <v>1.425</v>
      </c>
      <c r="BE27" s="60">
        <v>1.3875</v>
      </c>
      <c r="BF27" s="60">
        <v>1.2375</v>
      </c>
      <c r="BG27" s="60">
        <v>1.0874999999999999</v>
      </c>
      <c r="BH27" s="60">
        <v>1.7124999999999999</v>
      </c>
      <c r="BI27" s="60">
        <v>1.8125</v>
      </c>
      <c r="BJ27" s="60">
        <v>1.4</v>
      </c>
      <c r="BK27" s="60">
        <v>0.97499999999999998</v>
      </c>
      <c r="BL27" s="60">
        <v>1.1875</v>
      </c>
      <c r="BM27" s="60">
        <v>1.2875000000000001</v>
      </c>
      <c r="BN27" s="60">
        <v>1.2749999999999999</v>
      </c>
      <c r="BO27" s="60">
        <v>1.375</v>
      </c>
      <c r="BP27" s="60">
        <v>1.1875</v>
      </c>
      <c r="BQ27" s="60">
        <v>1.2124999999999999</v>
      </c>
      <c r="BR27" s="60">
        <v>1.375</v>
      </c>
      <c r="BS27" s="60">
        <v>1.0249999999999999</v>
      </c>
      <c r="BT27" s="60">
        <v>1.1000000000000001</v>
      </c>
      <c r="BU27" s="60">
        <v>0.91249999999999998</v>
      </c>
      <c r="BV27" s="60">
        <v>0.88749999999999996</v>
      </c>
      <c r="BW27" s="60">
        <v>0.98750000000000004</v>
      </c>
      <c r="BX27" s="60">
        <v>0.97499999999999998</v>
      </c>
      <c r="BY27" s="60">
        <v>0.83750000000000002</v>
      </c>
      <c r="BZ27" s="60">
        <v>0.97499999999999998</v>
      </c>
      <c r="CA27" s="60">
        <v>0.96250000000000002</v>
      </c>
      <c r="CB27" s="60">
        <v>0.95</v>
      </c>
      <c r="CC27" s="60">
        <v>1.0625</v>
      </c>
      <c r="CD27" s="60">
        <v>1.125</v>
      </c>
      <c r="CE27" s="60">
        <v>0.97499999999999998</v>
      </c>
      <c r="CF27" s="60">
        <v>1.0625</v>
      </c>
      <c r="CG27" s="60">
        <v>1.1125</v>
      </c>
      <c r="CH27" s="60">
        <v>1.1000000000000001</v>
      </c>
      <c r="CI27" s="60">
        <v>1.1125</v>
      </c>
      <c r="CJ27" s="60">
        <v>1.0375000000000001</v>
      </c>
      <c r="CK27" s="60">
        <v>1</v>
      </c>
      <c r="CL27" s="60">
        <v>1.075</v>
      </c>
      <c r="CM27" s="60">
        <v>1.0874999999999999</v>
      </c>
      <c r="CN27" s="60">
        <v>0.92500000000000004</v>
      </c>
      <c r="CO27" s="60">
        <v>1.1375</v>
      </c>
      <c r="CP27" s="60">
        <v>1.1125</v>
      </c>
      <c r="CQ27" s="60">
        <v>1</v>
      </c>
      <c r="CR27" s="60">
        <v>0.9</v>
      </c>
      <c r="CS27" s="60">
        <v>0.9</v>
      </c>
      <c r="CT27" s="60">
        <v>0.9</v>
      </c>
      <c r="CV27" s="5" t="s">
        <v>542</v>
      </c>
      <c r="CW27" s="5">
        <v>500</v>
      </c>
      <c r="CX27" s="63">
        <v>6.6562999999999997E-2</v>
      </c>
      <c r="CY27" s="5">
        <v>9</v>
      </c>
      <c r="DA27" s="5">
        <v>50.58</v>
      </c>
      <c r="DB27" s="5">
        <v>92.34</v>
      </c>
      <c r="DC27" s="5">
        <v>62.13</v>
      </c>
      <c r="DD27" s="5">
        <v>55.86</v>
      </c>
      <c r="DE27" s="5">
        <v>85.5</v>
      </c>
      <c r="DF27" s="5">
        <v>55.29</v>
      </c>
      <c r="DG27" s="5">
        <v>48.45</v>
      </c>
      <c r="DH27" s="5">
        <v>50.73</v>
      </c>
      <c r="DI27" s="5">
        <v>51.87</v>
      </c>
      <c r="DJ27" s="5">
        <v>48.45</v>
      </c>
      <c r="DK27" s="5">
        <v>50.16</v>
      </c>
      <c r="DL27" s="5">
        <v>55.29</v>
      </c>
      <c r="DM27" s="5">
        <v>61.56</v>
      </c>
      <c r="DN27" s="5">
        <v>53.58</v>
      </c>
      <c r="DO27" s="5">
        <v>53.58</v>
      </c>
      <c r="DP27" s="5">
        <v>54.72</v>
      </c>
      <c r="DQ27" s="5">
        <v>58.71</v>
      </c>
      <c r="DR27" s="5">
        <v>50.73</v>
      </c>
      <c r="DS27" s="5">
        <v>59.85</v>
      </c>
      <c r="DT27" s="5">
        <v>62.7</v>
      </c>
      <c r="DU27" s="5">
        <v>56.43</v>
      </c>
      <c r="DV27" s="5">
        <v>63.27</v>
      </c>
      <c r="DW27" s="5">
        <v>88.92</v>
      </c>
      <c r="DX27" s="5">
        <v>82.65</v>
      </c>
      <c r="DY27" s="5">
        <v>84.93</v>
      </c>
      <c r="DZ27" s="5">
        <v>70.680000000000007</v>
      </c>
      <c r="EA27" s="5">
        <v>92.34</v>
      </c>
      <c r="EB27" s="5">
        <v>78.66</v>
      </c>
      <c r="EC27" s="5">
        <v>87.21</v>
      </c>
      <c r="ED27" s="5">
        <v>90.63</v>
      </c>
      <c r="EE27" s="5">
        <v>85.5</v>
      </c>
      <c r="EF27" s="5">
        <v>87.78</v>
      </c>
      <c r="EG27" s="5">
        <v>84.36</v>
      </c>
      <c r="EH27" s="5">
        <v>89.49</v>
      </c>
      <c r="EI27" s="5">
        <v>96.33</v>
      </c>
      <c r="EJ27" s="5">
        <v>69.540000000000006</v>
      </c>
      <c r="EK27" s="5">
        <v>71.25</v>
      </c>
      <c r="EL27" s="5">
        <v>70.11</v>
      </c>
      <c r="EM27" s="5">
        <v>70.680000000000007</v>
      </c>
      <c r="EN27" s="5">
        <v>68.97</v>
      </c>
      <c r="EO27" s="5">
        <v>62.13</v>
      </c>
      <c r="EP27" s="5">
        <v>55.29</v>
      </c>
      <c r="EQ27" s="5">
        <v>83.79</v>
      </c>
      <c r="ER27" s="5">
        <v>88.35</v>
      </c>
      <c r="ES27" s="5">
        <v>69.540000000000006</v>
      </c>
      <c r="ET27" s="5">
        <v>48.45</v>
      </c>
      <c r="EU27" s="5">
        <v>59.28</v>
      </c>
      <c r="EV27" s="5">
        <v>64.41</v>
      </c>
      <c r="EW27" s="5">
        <v>63.84</v>
      </c>
      <c r="EX27" s="5">
        <v>68.400000000000006</v>
      </c>
      <c r="EY27" s="5">
        <v>59.85</v>
      </c>
      <c r="EZ27" s="5">
        <v>60.99</v>
      </c>
      <c r="FA27" s="5">
        <v>68.400000000000006</v>
      </c>
      <c r="FB27" s="5">
        <v>52.44</v>
      </c>
      <c r="FC27" s="5">
        <v>55.29</v>
      </c>
      <c r="FD27" s="5">
        <v>47.31</v>
      </c>
      <c r="FE27" s="5">
        <v>45.6</v>
      </c>
      <c r="FF27" s="5">
        <v>50.73</v>
      </c>
      <c r="FG27" s="5">
        <v>50.16</v>
      </c>
      <c r="FH27" s="5">
        <v>43.32</v>
      </c>
      <c r="FI27" s="5">
        <v>50.16</v>
      </c>
      <c r="FJ27" s="5">
        <v>49.59</v>
      </c>
      <c r="FK27" s="5">
        <v>48.45</v>
      </c>
      <c r="FL27" s="5">
        <v>54.15</v>
      </c>
      <c r="FM27" s="5">
        <v>57</v>
      </c>
      <c r="FN27" s="5">
        <v>49.59</v>
      </c>
      <c r="FO27" s="5">
        <v>54.15</v>
      </c>
      <c r="FP27" s="5">
        <v>56.43</v>
      </c>
      <c r="FQ27" s="5">
        <v>55.86</v>
      </c>
      <c r="FR27" s="5">
        <v>56.43</v>
      </c>
      <c r="FS27" s="5">
        <v>53.01</v>
      </c>
      <c r="FT27" s="5">
        <v>51.3</v>
      </c>
      <c r="FU27" s="5">
        <v>54.72</v>
      </c>
      <c r="FV27" s="5">
        <v>55.29</v>
      </c>
      <c r="FW27" s="5">
        <v>47.88</v>
      </c>
      <c r="FX27" s="5">
        <v>57.57</v>
      </c>
      <c r="FY27" s="5">
        <v>56.43</v>
      </c>
      <c r="FZ27" s="5">
        <v>51.3</v>
      </c>
      <c r="GA27" s="5">
        <v>46.74</v>
      </c>
      <c r="GB27" s="5">
        <v>46.74</v>
      </c>
      <c r="GC27" s="5">
        <v>46.74</v>
      </c>
    </row>
    <row r="28" spans="1:185">
      <c r="A28" s="67">
        <v>26</v>
      </c>
      <c r="B28" s="13">
        <v>10</v>
      </c>
      <c r="C28" s="5">
        <v>10</v>
      </c>
      <c r="D28" s="5">
        <f t="shared" si="0"/>
        <v>100</v>
      </c>
      <c r="E28" s="5">
        <v>1</v>
      </c>
      <c r="F28" s="5">
        <f t="shared" si="1"/>
        <v>10</v>
      </c>
      <c r="G28" s="5">
        <f t="shared" si="2"/>
        <v>55</v>
      </c>
      <c r="H28" s="13">
        <v>10</v>
      </c>
      <c r="I28" s="5">
        <v>8</v>
      </c>
      <c r="J28" s="5">
        <f t="shared" si="3"/>
        <v>80</v>
      </c>
      <c r="K28" s="60">
        <v>0.57499999999999996</v>
      </c>
      <c r="L28" s="68">
        <v>5.75</v>
      </c>
      <c r="M28" s="68">
        <f t="shared" si="4"/>
        <v>42.875</v>
      </c>
      <c r="N28" s="5">
        <v>4498.8599999999988</v>
      </c>
      <c r="O28" s="5">
        <v>-68.086680949999987</v>
      </c>
      <c r="P28" s="5">
        <v>35.913319049999998</v>
      </c>
      <c r="Q28" s="5">
        <v>-68.404186100000018</v>
      </c>
      <c r="R28" s="5">
        <v>35.595813900000003</v>
      </c>
      <c r="T28" s="60">
        <v>1.05</v>
      </c>
      <c r="U28" s="60">
        <v>0.75</v>
      </c>
      <c r="V28" s="60">
        <v>1.6375</v>
      </c>
      <c r="W28" s="60">
        <v>1.0625</v>
      </c>
      <c r="X28" s="60">
        <v>0.72499999999999998</v>
      </c>
      <c r="Y28" s="60">
        <v>0.71250000000000002</v>
      </c>
      <c r="Z28" s="60">
        <v>0.7</v>
      </c>
      <c r="AA28" s="60">
        <v>0.7</v>
      </c>
      <c r="AB28" s="60">
        <v>0.63749999999999996</v>
      </c>
      <c r="AC28" s="60">
        <v>0.72499999999999998</v>
      </c>
      <c r="AD28" s="60">
        <v>0.9375</v>
      </c>
      <c r="AE28" s="60">
        <v>1.0125</v>
      </c>
      <c r="AF28" s="60">
        <v>0.875</v>
      </c>
      <c r="AG28" s="60">
        <v>0.92500000000000004</v>
      </c>
      <c r="AH28" s="60">
        <v>0.9375</v>
      </c>
      <c r="AI28" s="60">
        <v>1.0874999999999999</v>
      </c>
      <c r="AJ28" s="60">
        <v>0.98750000000000004</v>
      </c>
      <c r="AK28" s="60">
        <v>1.05</v>
      </c>
      <c r="AL28" s="60">
        <v>1.0125</v>
      </c>
      <c r="AM28" s="60">
        <v>1.1875</v>
      </c>
      <c r="AN28" s="60">
        <v>1.4750000000000001</v>
      </c>
      <c r="AO28" s="60">
        <v>1.65</v>
      </c>
      <c r="AP28" s="60">
        <v>1.8</v>
      </c>
      <c r="AQ28" s="60">
        <v>1.3875</v>
      </c>
      <c r="AR28" s="60">
        <v>1.6375</v>
      </c>
      <c r="AS28" s="60">
        <v>1.5125</v>
      </c>
      <c r="AT28" s="60">
        <v>1.6125</v>
      </c>
      <c r="AU28" s="60">
        <v>1.5625</v>
      </c>
      <c r="AV28" s="60">
        <v>1.6</v>
      </c>
      <c r="AW28" s="60">
        <v>1.5874999999999999</v>
      </c>
      <c r="AX28" s="60">
        <v>1.5874999999999999</v>
      </c>
      <c r="AY28" s="60">
        <v>1.375</v>
      </c>
      <c r="AZ28" s="60">
        <v>1.45</v>
      </c>
      <c r="BA28" s="60">
        <v>1.625</v>
      </c>
      <c r="BB28" s="60">
        <v>1.2625</v>
      </c>
      <c r="BC28" s="60">
        <v>1.35</v>
      </c>
      <c r="BD28" s="60">
        <v>1.3374999999999999</v>
      </c>
      <c r="BE28" s="60">
        <v>1.1625000000000001</v>
      </c>
      <c r="BF28" s="60">
        <v>1.1499999999999999</v>
      </c>
      <c r="BG28" s="60">
        <v>1.05</v>
      </c>
      <c r="BH28" s="60">
        <v>1.55</v>
      </c>
      <c r="BI28" s="60">
        <v>1.75</v>
      </c>
      <c r="BJ28" s="60">
        <v>1.2</v>
      </c>
      <c r="BK28" s="60">
        <v>1.3</v>
      </c>
      <c r="BL28" s="60">
        <v>1.1125</v>
      </c>
      <c r="BM28" s="60">
        <v>1.325</v>
      </c>
      <c r="BN28" s="60">
        <v>1.4</v>
      </c>
      <c r="BO28" s="60">
        <v>0.91249999999999998</v>
      </c>
      <c r="BP28" s="60">
        <v>1.05</v>
      </c>
      <c r="BQ28" s="60">
        <v>0.88749999999999996</v>
      </c>
      <c r="BR28" s="60">
        <v>1.3</v>
      </c>
      <c r="BS28" s="60">
        <v>0.92500000000000004</v>
      </c>
      <c r="BT28" s="60">
        <v>1.075</v>
      </c>
      <c r="BU28" s="60">
        <v>0.66249999999999998</v>
      </c>
      <c r="BV28" s="60">
        <v>0.9</v>
      </c>
      <c r="BW28" s="60">
        <v>0.77500000000000002</v>
      </c>
      <c r="BX28" s="60">
        <v>0.76249999999999996</v>
      </c>
      <c r="BY28" s="60">
        <v>0.75</v>
      </c>
      <c r="BZ28" s="60">
        <v>1.05</v>
      </c>
      <c r="CA28" s="60">
        <v>0.625</v>
      </c>
      <c r="CB28" s="60">
        <v>1</v>
      </c>
      <c r="CC28" s="60">
        <v>1.075</v>
      </c>
      <c r="CD28" s="60">
        <v>1.0375000000000001</v>
      </c>
      <c r="CE28" s="60">
        <v>0.78749999999999998</v>
      </c>
      <c r="CF28" s="60">
        <v>1.0125</v>
      </c>
      <c r="CG28" s="60">
        <v>1.0625</v>
      </c>
      <c r="CH28" s="60">
        <v>1</v>
      </c>
      <c r="CI28" s="60">
        <v>0.97499999999999998</v>
      </c>
      <c r="CJ28" s="60">
        <v>0.9375</v>
      </c>
      <c r="CK28" s="60">
        <v>0.82499999999999996</v>
      </c>
      <c r="CL28" s="60">
        <v>1</v>
      </c>
      <c r="CM28" s="60">
        <v>0.92500000000000004</v>
      </c>
      <c r="CN28" s="60">
        <v>0.875</v>
      </c>
      <c r="CO28" s="60">
        <v>0.73750000000000004</v>
      </c>
      <c r="CP28" s="60">
        <v>0.88749999999999996</v>
      </c>
      <c r="CQ28" s="60">
        <v>0.82499999999999996</v>
      </c>
      <c r="CR28" s="60">
        <v>0.82499999999999996</v>
      </c>
      <c r="CS28" s="60">
        <v>0.7</v>
      </c>
      <c r="CT28" s="60">
        <v>0.6</v>
      </c>
      <c r="CV28" s="5" t="s">
        <v>543</v>
      </c>
      <c r="CW28" s="5">
        <v>500</v>
      </c>
      <c r="CX28" s="63">
        <v>7.2366E-2</v>
      </c>
      <c r="CY28" s="5">
        <v>9</v>
      </c>
      <c r="DA28" s="5">
        <v>33.479999999999997</v>
      </c>
      <c r="DB28" s="5">
        <v>80.94</v>
      </c>
      <c r="DC28" s="5">
        <v>53.58</v>
      </c>
      <c r="DD28" s="5">
        <v>39.9</v>
      </c>
      <c r="DE28" s="5">
        <v>80.37</v>
      </c>
      <c r="DF28" s="5">
        <v>54.15</v>
      </c>
      <c r="DG28" s="5">
        <v>38.76</v>
      </c>
      <c r="DH28" s="5">
        <v>38.19</v>
      </c>
      <c r="DI28" s="5">
        <v>37.619999999999997</v>
      </c>
      <c r="DJ28" s="5">
        <v>37.619999999999997</v>
      </c>
      <c r="DK28" s="5">
        <v>34.770000000000003</v>
      </c>
      <c r="DL28" s="5">
        <v>38.76</v>
      </c>
      <c r="DM28" s="5">
        <v>48.45</v>
      </c>
      <c r="DN28" s="5">
        <v>51.87</v>
      </c>
      <c r="DO28" s="5">
        <v>45.6</v>
      </c>
      <c r="DP28" s="5">
        <v>47.88</v>
      </c>
      <c r="DQ28" s="5">
        <v>48.45</v>
      </c>
      <c r="DR28" s="5">
        <v>55.29</v>
      </c>
      <c r="DS28" s="5">
        <v>50.16</v>
      </c>
      <c r="DT28" s="5">
        <v>53.58</v>
      </c>
      <c r="DU28" s="5">
        <v>51.87</v>
      </c>
      <c r="DV28" s="5">
        <v>59.85</v>
      </c>
      <c r="DW28" s="5">
        <v>72.959999999999994</v>
      </c>
      <c r="DX28" s="5">
        <v>80.94</v>
      </c>
      <c r="DY28" s="5">
        <v>87.78</v>
      </c>
      <c r="DZ28" s="5">
        <v>68.97</v>
      </c>
      <c r="EA28" s="5">
        <v>80.37</v>
      </c>
      <c r="EB28" s="5">
        <v>74.67</v>
      </c>
      <c r="EC28" s="5">
        <v>79.23</v>
      </c>
      <c r="ED28" s="5">
        <v>76.38</v>
      </c>
      <c r="EE28" s="5">
        <v>78.66</v>
      </c>
      <c r="EF28" s="5">
        <v>78.09</v>
      </c>
      <c r="EG28" s="5">
        <v>85.5</v>
      </c>
      <c r="EH28" s="5">
        <v>67.83</v>
      </c>
      <c r="EI28" s="5">
        <v>71.25</v>
      </c>
      <c r="EJ28" s="5">
        <v>79.8</v>
      </c>
      <c r="EK28" s="5">
        <v>63.27</v>
      </c>
      <c r="EL28" s="5">
        <v>67.260000000000005</v>
      </c>
      <c r="EM28" s="5">
        <v>66.69</v>
      </c>
      <c r="EN28" s="5">
        <v>58.71</v>
      </c>
      <c r="EO28" s="5">
        <v>58.14</v>
      </c>
      <c r="EP28" s="5">
        <v>53.58</v>
      </c>
      <c r="EQ28" s="5">
        <v>75.81</v>
      </c>
      <c r="ER28" s="5">
        <v>85.5</v>
      </c>
      <c r="ES28" s="5">
        <v>59.85</v>
      </c>
      <c r="ET28" s="5">
        <v>64.98</v>
      </c>
      <c r="EU28" s="5">
        <v>55.86</v>
      </c>
      <c r="EV28" s="5">
        <v>66.12</v>
      </c>
      <c r="EW28" s="5">
        <v>69.540000000000006</v>
      </c>
      <c r="EX28" s="5">
        <v>46.74</v>
      </c>
      <c r="EY28" s="5">
        <v>53.58</v>
      </c>
      <c r="EZ28" s="5">
        <v>46.17</v>
      </c>
      <c r="FA28" s="5">
        <v>64.98</v>
      </c>
      <c r="FB28" s="5">
        <v>47.88</v>
      </c>
      <c r="FC28" s="5">
        <v>54.72</v>
      </c>
      <c r="FD28" s="5">
        <v>34.770000000000003</v>
      </c>
      <c r="FE28" s="5">
        <v>46.74</v>
      </c>
      <c r="FF28" s="5">
        <v>41.04</v>
      </c>
      <c r="FG28" s="5">
        <v>40.47</v>
      </c>
      <c r="FH28" s="5">
        <v>39.9</v>
      </c>
      <c r="FI28" s="5">
        <v>53.58</v>
      </c>
      <c r="FJ28" s="5">
        <v>34.200000000000003</v>
      </c>
      <c r="FK28" s="5">
        <v>50.73</v>
      </c>
      <c r="FL28" s="5">
        <v>54.72</v>
      </c>
      <c r="FM28" s="5">
        <v>53.01</v>
      </c>
      <c r="FN28" s="5">
        <v>41.61</v>
      </c>
      <c r="FO28" s="5">
        <v>51.87</v>
      </c>
      <c r="FP28" s="5">
        <v>54.15</v>
      </c>
      <c r="FQ28" s="5">
        <v>51.3</v>
      </c>
      <c r="FR28" s="5">
        <v>50.16</v>
      </c>
      <c r="FS28" s="5">
        <v>48.45</v>
      </c>
      <c r="FT28" s="5">
        <v>43.32</v>
      </c>
      <c r="FU28" s="5">
        <v>51.3</v>
      </c>
      <c r="FV28" s="5">
        <v>47.88</v>
      </c>
      <c r="FW28" s="5">
        <v>45.03</v>
      </c>
      <c r="FX28" s="5">
        <v>39.33</v>
      </c>
      <c r="FY28" s="5">
        <v>46.17</v>
      </c>
      <c r="FZ28" s="5">
        <v>43.32</v>
      </c>
      <c r="GA28" s="5">
        <v>43.32</v>
      </c>
      <c r="GB28" s="5">
        <v>37.049999999999997</v>
      </c>
      <c r="GC28" s="5">
        <v>32.49</v>
      </c>
    </row>
    <row r="29" spans="1:185">
      <c r="A29" s="67">
        <v>27</v>
      </c>
      <c r="B29" s="13">
        <v>10</v>
      </c>
      <c r="C29" s="5">
        <v>10</v>
      </c>
      <c r="D29" s="5">
        <f t="shared" si="0"/>
        <v>100</v>
      </c>
      <c r="E29" s="5">
        <v>2</v>
      </c>
      <c r="F29" s="5">
        <f t="shared" si="1"/>
        <v>20</v>
      </c>
      <c r="G29" s="5">
        <f t="shared" si="2"/>
        <v>60</v>
      </c>
      <c r="H29" s="13">
        <v>10</v>
      </c>
      <c r="I29" s="5">
        <v>10</v>
      </c>
      <c r="J29" s="5">
        <f t="shared" si="3"/>
        <v>100</v>
      </c>
      <c r="K29" s="60">
        <v>1.1125</v>
      </c>
      <c r="L29" s="68">
        <v>11.125</v>
      </c>
      <c r="M29" s="68">
        <f t="shared" si="4"/>
        <v>55.5625</v>
      </c>
      <c r="N29" s="5">
        <v>5928.4199999999983</v>
      </c>
      <c r="O29" s="5">
        <v>-68.438502150000005</v>
      </c>
      <c r="P29" s="5">
        <v>35.561497850000002</v>
      </c>
      <c r="Q29" s="5">
        <v>-65.384076199999996</v>
      </c>
      <c r="R29" s="5">
        <v>38.615923800000004</v>
      </c>
      <c r="T29" s="60">
        <v>1.375</v>
      </c>
      <c r="U29" s="60">
        <v>1.3125</v>
      </c>
      <c r="V29" s="60">
        <v>2.0125000000000002</v>
      </c>
      <c r="W29" s="60">
        <v>1.5625</v>
      </c>
      <c r="X29" s="60">
        <v>1.2625</v>
      </c>
      <c r="Y29" s="60">
        <v>1.3</v>
      </c>
      <c r="Z29" s="60">
        <v>1.2</v>
      </c>
      <c r="AA29" s="60">
        <v>1.125</v>
      </c>
      <c r="AB29" s="60">
        <v>1.1125</v>
      </c>
      <c r="AC29" s="60">
        <v>1.2124999999999999</v>
      </c>
      <c r="AD29" s="60">
        <v>1.1625000000000001</v>
      </c>
      <c r="AE29" s="60">
        <v>1.1499999999999999</v>
      </c>
      <c r="AF29" s="60">
        <v>1.3</v>
      </c>
      <c r="AG29" s="60">
        <v>1.2625</v>
      </c>
      <c r="AH29" s="60">
        <v>1.3125</v>
      </c>
      <c r="AI29" s="60">
        <v>1.3125</v>
      </c>
      <c r="AJ29" s="60">
        <v>1.2124999999999999</v>
      </c>
      <c r="AK29" s="60">
        <v>1.3625</v>
      </c>
      <c r="AL29" s="60">
        <v>1.1000000000000001</v>
      </c>
      <c r="AM29" s="60">
        <v>1.6</v>
      </c>
      <c r="AN29" s="60">
        <v>1.7124999999999999</v>
      </c>
      <c r="AO29" s="60">
        <v>1.95</v>
      </c>
      <c r="AP29" s="60">
        <v>2</v>
      </c>
      <c r="AQ29" s="60">
        <v>1.825</v>
      </c>
      <c r="AR29" s="60">
        <v>2.0499999999999998</v>
      </c>
      <c r="AS29" s="60">
        <v>1.7375</v>
      </c>
      <c r="AT29" s="60">
        <v>1.925</v>
      </c>
      <c r="AU29" s="60">
        <v>2.0625</v>
      </c>
      <c r="AV29" s="60">
        <v>1.9750000000000001</v>
      </c>
      <c r="AW29" s="60">
        <v>1.9624999999999999</v>
      </c>
      <c r="AX29" s="60">
        <v>1.9624999999999999</v>
      </c>
      <c r="AY29" s="60">
        <v>2.0249999999999999</v>
      </c>
      <c r="AZ29" s="60">
        <v>1.7875000000000001</v>
      </c>
      <c r="BA29" s="60">
        <v>1.9750000000000001</v>
      </c>
      <c r="BB29" s="60">
        <v>1.6875</v>
      </c>
      <c r="BC29" s="60">
        <v>1.7375</v>
      </c>
      <c r="BD29" s="60">
        <v>1.7749999999999999</v>
      </c>
      <c r="BE29" s="60">
        <v>1.4875</v>
      </c>
      <c r="BF29" s="60">
        <v>1.75</v>
      </c>
      <c r="BG29" s="60">
        <v>1.45</v>
      </c>
      <c r="BH29" s="60">
        <v>2.1375000000000002</v>
      </c>
      <c r="BI29" s="60">
        <v>2.0499999999999998</v>
      </c>
      <c r="BJ29" s="60">
        <v>1.7875000000000001</v>
      </c>
      <c r="BK29" s="60">
        <v>1.95</v>
      </c>
      <c r="BL29" s="60">
        <v>1.6625000000000001</v>
      </c>
      <c r="BM29" s="60">
        <v>1.6125</v>
      </c>
      <c r="BN29" s="60">
        <v>1.7749999999999999</v>
      </c>
      <c r="BO29" s="60">
        <v>1.3374999999999999</v>
      </c>
      <c r="BP29" s="60">
        <v>1.2625</v>
      </c>
      <c r="BQ29" s="60">
        <v>1.0874999999999999</v>
      </c>
      <c r="BR29" s="60">
        <v>1.6375</v>
      </c>
      <c r="BS29" s="60">
        <v>1.2124999999999999</v>
      </c>
      <c r="BT29" s="60">
        <v>1.1125</v>
      </c>
      <c r="BU29" s="60">
        <v>1.1375</v>
      </c>
      <c r="BV29" s="60">
        <v>1.1499999999999999</v>
      </c>
      <c r="BW29" s="60">
        <v>1.3125</v>
      </c>
      <c r="BX29" s="60">
        <v>1.1625000000000001</v>
      </c>
      <c r="BY29" s="60">
        <v>1.2625</v>
      </c>
      <c r="BZ29" s="60">
        <v>1.2375</v>
      </c>
      <c r="CA29" s="60">
        <v>0.98750000000000004</v>
      </c>
      <c r="CB29" s="60">
        <v>1.3374999999999999</v>
      </c>
      <c r="CC29" s="60">
        <v>1.4</v>
      </c>
      <c r="CD29" s="60">
        <v>1.4875</v>
      </c>
      <c r="CE29" s="60">
        <v>1.0375000000000001</v>
      </c>
      <c r="CF29" s="60">
        <v>1.35</v>
      </c>
      <c r="CG29" s="60">
        <v>1.2875000000000001</v>
      </c>
      <c r="CH29" s="60">
        <v>1.4875</v>
      </c>
      <c r="CI29" s="60">
        <v>1.45</v>
      </c>
      <c r="CJ29" s="60">
        <v>1.2875000000000001</v>
      </c>
      <c r="CK29" s="60">
        <v>1.375</v>
      </c>
      <c r="CL29" s="60">
        <v>1.2875000000000001</v>
      </c>
      <c r="CM29" s="60">
        <v>1.5125</v>
      </c>
      <c r="CN29" s="60">
        <v>1.425</v>
      </c>
      <c r="CO29" s="60">
        <v>1.125</v>
      </c>
      <c r="CP29" s="60">
        <v>1.4624999999999999</v>
      </c>
      <c r="CQ29" s="60">
        <v>1.05</v>
      </c>
      <c r="CR29" s="60">
        <v>1.1625000000000001</v>
      </c>
      <c r="CS29" s="60">
        <v>1.2749999999999999</v>
      </c>
      <c r="CT29" s="60">
        <v>1.2875000000000001</v>
      </c>
      <c r="CV29" s="5" t="s">
        <v>544</v>
      </c>
      <c r="CW29" s="5">
        <v>500</v>
      </c>
      <c r="CX29" s="63">
        <v>7.705999999999999E-2</v>
      </c>
      <c r="CY29" s="5">
        <v>8</v>
      </c>
      <c r="DA29" s="5">
        <v>57.99</v>
      </c>
      <c r="DB29" s="5">
        <v>91.77</v>
      </c>
      <c r="DC29" s="5">
        <v>67.83</v>
      </c>
      <c r="DD29" s="5">
        <v>65.55</v>
      </c>
      <c r="DE29" s="5">
        <v>97.47</v>
      </c>
      <c r="DF29" s="5">
        <v>76.95</v>
      </c>
      <c r="DG29" s="5">
        <v>63.27</v>
      </c>
      <c r="DH29" s="5">
        <v>64.98</v>
      </c>
      <c r="DI29" s="5">
        <v>60.42</v>
      </c>
      <c r="DJ29" s="5">
        <v>57</v>
      </c>
      <c r="DK29" s="5">
        <v>56.43</v>
      </c>
      <c r="DL29" s="5">
        <v>60.99</v>
      </c>
      <c r="DM29" s="5">
        <v>58.71</v>
      </c>
      <c r="DN29" s="5">
        <v>58.14</v>
      </c>
      <c r="DO29" s="5">
        <v>64.98</v>
      </c>
      <c r="DP29" s="5">
        <v>63.27</v>
      </c>
      <c r="DQ29" s="5">
        <v>65.55</v>
      </c>
      <c r="DR29" s="5">
        <v>65.55</v>
      </c>
      <c r="DS29" s="5">
        <v>60.99</v>
      </c>
      <c r="DT29" s="5">
        <v>67.260000000000005</v>
      </c>
      <c r="DU29" s="5">
        <v>55.29</v>
      </c>
      <c r="DV29" s="5">
        <v>78.66</v>
      </c>
      <c r="DW29" s="5">
        <v>83.22</v>
      </c>
      <c r="DX29" s="5">
        <v>94.62</v>
      </c>
      <c r="DY29" s="5">
        <v>96.9</v>
      </c>
      <c r="DZ29" s="5">
        <v>88.92</v>
      </c>
      <c r="EA29" s="5">
        <v>99.18</v>
      </c>
      <c r="EB29" s="5">
        <v>84.36</v>
      </c>
      <c r="EC29" s="5">
        <v>93.48</v>
      </c>
      <c r="ED29" s="5">
        <v>99.75</v>
      </c>
      <c r="EE29" s="5">
        <v>95.76</v>
      </c>
      <c r="EF29" s="5">
        <v>95.19</v>
      </c>
      <c r="EG29" s="5">
        <v>95.76</v>
      </c>
      <c r="EH29" s="5">
        <v>98.04</v>
      </c>
      <c r="EI29" s="5">
        <v>86.64</v>
      </c>
      <c r="EJ29" s="5">
        <v>95.76</v>
      </c>
      <c r="EK29" s="5">
        <v>82.65</v>
      </c>
      <c r="EL29" s="5">
        <v>84.93</v>
      </c>
      <c r="EM29" s="5">
        <v>86.64</v>
      </c>
      <c r="EN29" s="5">
        <v>72.959999999999994</v>
      </c>
      <c r="EO29" s="5">
        <v>85.5</v>
      </c>
      <c r="EP29" s="5">
        <v>71.819999999999993</v>
      </c>
      <c r="EQ29" s="5">
        <v>103.17</v>
      </c>
      <c r="ER29" s="5">
        <v>99.18</v>
      </c>
      <c r="ES29" s="5">
        <v>87.21</v>
      </c>
      <c r="ET29" s="5">
        <v>94.62</v>
      </c>
      <c r="EU29" s="5">
        <v>81.510000000000005</v>
      </c>
      <c r="EV29" s="5">
        <v>79.23</v>
      </c>
      <c r="EW29" s="5">
        <v>86.64</v>
      </c>
      <c r="EX29" s="5">
        <v>66.12</v>
      </c>
      <c r="EY29" s="5">
        <v>62.7</v>
      </c>
      <c r="EZ29" s="5">
        <v>54.72</v>
      </c>
      <c r="FA29" s="5">
        <v>79.8</v>
      </c>
      <c r="FB29" s="5">
        <v>60.99</v>
      </c>
      <c r="FC29" s="5">
        <v>55.86</v>
      </c>
      <c r="FD29" s="5">
        <v>57.57</v>
      </c>
      <c r="FE29" s="5">
        <v>58.14</v>
      </c>
      <c r="FF29" s="5">
        <v>65.55</v>
      </c>
      <c r="FG29" s="5">
        <v>58.71</v>
      </c>
      <c r="FH29" s="5">
        <v>63.27</v>
      </c>
      <c r="FI29" s="5">
        <v>62.13</v>
      </c>
      <c r="FJ29" s="5">
        <v>50.73</v>
      </c>
      <c r="FK29" s="5">
        <v>66.69</v>
      </c>
      <c r="FL29" s="5">
        <v>69.540000000000006</v>
      </c>
      <c r="FM29" s="5">
        <v>73.53</v>
      </c>
      <c r="FN29" s="5">
        <v>51.87</v>
      </c>
      <c r="FO29" s="5">
        <v>67.260000000000005</v>
      </c>
      <c r="FP29" s="5">
        <v>64.41</v>
      </c>
      <c r="FQ29" s="5">
        <v>73.53</v>
      </c>
      <c r="FR29" s="5">
        <v>71.819999999999993</v>
      </c>
      <c r="FS29" s="5">
        <v>64.41</v>
      </c>
      <c r="FT29" s="5">
        <v>68.400000000000006</v>
      </c>
      <c r="FU29" s="5">
        <v>64.41</v>
      </c>
      <c r="FV29" s="5">
        <v>74.67</v>
      </c>
      <c r="FW29" s="5">
        <v>70.680000000000007</v>
      </c>
      <c r="FX29" s="5">
        <v>55.86</v>
      </c>
      <c r="FY29" s="5">
        <v>72.39</v>
      </c>
      <c r="FZ29" s="5">
        <v>53.01</v>
      </c>
      <c r="GA29" s="5">
        <v>58.71</v>
      </c>
      <c r="GB29" s="5">
        <v>63.84</v>
      </c>
      <c r="GC29" s="5">
        <v>64.41</v>
      </c>
    </row>
    <row r="30" spans="1:185">
      <c r="A30" s="67">
        <v>28</v>
      </c>
      <c r="B30" s="13">
        <v>10</v>
      </c>
      <c r="C30" s="5">
        <v>10</v>
      </c>
      <c r="D30" s="5">
        <f t="shared" si="0"/>
        <v>100</v>
      </c>
      <c r="E30" s="5">
        <v>4</v>
      </c>
      <c r="F30" s="5">
        <f t="shared" si="1"/>
        <v>40</v>
      </c>
      <c r="G30" s="5">
        <f t="shared" si="2"/>
        <v>70</v>
      </c>
      <c r="H30" s="13">
        <v>10</v>
      </c>
      <c r="I30" s="5">
        <v>9</v>
      </c>
      <c r="J30" s="5">
        <f t="shared" si="3"/>
        <v>90</v>
      </c>
      <c r="K30" s="60">
        <v>1.3</v>
      </c>
      <c r="L30" s="68">
        <v>13</v>
      </c>
      <c r="M30" s="68">
        <f t="shared" si="4"/>
        <v>51.5</v>
      </c>
      <c r="N30" s="75">
        <v>7315.2300000000005</v>
      </c>
      <c r="O30" s="5">
        <v>-68.686874400000008</v>
      </c>
      <c r="P30" s="5">
        <v>35.313125599999999</v>
      </c>
      <c r="Q30" s="5">
        <v>-69.037790999999999</v>
      </c>
      <c r="R30" s="5">
        <v>34.962208999999994</v>
      </c>
      <c r="T30" s="60">
        <v>1.925</v>
      </c>
      <c r="U30" s="60">
        <v>1.9875</v>
      </c>
      <c r="V30" s="60">
        <v>2.0249999999999999</v>
      </c>
      <c r="W30" s="60">
        <v>1.9750000000000001</v>
      </c>
      <c r="X30" s="60">
        <v>1.5625</v>
      </c>
      <c r="Y30" s="60">
        <v>1.6</v>
      </c>
      <c r="Z30" s="60">
        <v>1.4624999999999999</v>
      </c>
      <c r="AA30" s="60">
        <v>1.5625</v>
      </c>
      <c r="AB30" s="60">
        <v>1.4875</v>
      </c>
      <c r="AC30" s="60">
        <v>1.4875</v>
      </c>
      <c r="AD30" s="60">
        <v>1.5874999999999999</v>
      </c>
      <c r="AE30" s="60">
        <v>1.7</v>
      </c>
      <c r="AF30" s="60">
        <v>1.75</v>
      </c>
      <c r="AG30" s="60">
        <v>1.575</v>
      </c>
      <c r="AH30" s="60">
        <v>1.7</v>
      </c>
      <c r="AI30" s="60">
        <v>1.6</v>
      </c>
      <c r="AJ30" s="60">
        <v>1.5874999999999999</v>
      </c>
      <c r="AK30" s="60">
        <v>1.7749999999999999</v>
      </c>
      <c r="AL30" s="60">
        <v>1.7250000000000001</v>
      </c>
      <c r="AM30" s="60">
        <v>1.925</v>
      </c>
      <c r="AN30" s="60">
        <v>1.95</v>
      </c>
      <c r="AO30" s="60">
        <v>2.2250000000000001</v>
      </c>
      <c r="AP30" s="60">
        <v>2.2374999999999998</v>
      </c>
      <c r="AQ30" s="60">
        <v>2.15</v>
      </c>
      <c r="AR30" s="60">
        <v>2.2875000000000001</v>
      </c>
      <c r="AS30" s="60">
        <v>2.1625000000000001</v>
      </c>
      <c r="AT30" s="60">
        <v>2.1749999999999998</v>
      </c>
      <c r="AU30" s="60">
        <v>2.35</v>
      </c>
      <c r="AV30" s="60">
        <v>2.3250000000000002</v>
      </c>
      <c r="AW30" s="60">
        <v>2.25</v>
      </c>
      <c r="AX30" s="60">
        <v>2.25</v>
      </c>
      <c r="AY30" s="60">
        <v>2.2374999999999998</v>
      </c>
      <c r="AZ30" s="60">
        <v>2.3250000000000002</v>
      </c>
      <c r="BA30" s="60">
        <v>2.3125</v>
      </c>
      <c r="BB30" s="60">
        <v>2.1625000000000001</v>
      </c>
      <c r="BC30" s="60">
        <v>2.2999999999999998</v>
      </c>
      <c r="BD30" s="60">
        <v>2.15</v>
      </c>
      <c r="BE30" s="60">
        <v>2.0375000000000001</v>
      </c>
      <c r="BF30" s="60">
        <v>2.0625</v>
      </c>
      <c r="BG30" s="60">
        <v>1.55</v>
      </c>
      <c r="BH30" s="60">
        <v>2.2999999999999998</v>
      </c>
      <c r="BI30" s="60">
        <v>2.1749999999999998</v>
      </c>
      <c r="BJ30" s="60">
        <v>2.0750000000000002</v>
      </c>
      <c r="BK30" s="60">
        <v>1.9750000000000001</v>
      </c>
      <c r="BL30" s="60">
        <v>2.2250000000000001</v>
      </c>
      <c r="BM30" s="60">
        <v>1.9125000000000001</v>
      </c>
      <c r="BN30" s="60">
        <v>2.15</v>
      </c>
      <c r="BO30" s="60">
        <v>1.7124999999999999</v>
      </c>
      <c r="BP30" s="60">
        <v>1.7</v>
      </c>
      <c r="BQ30" s="60">
        <v>1.55</v>
      </c>
      <c r="BR30" s="60">
        <v>1.9750000000000001</v>
      </c>
      <c r="BS30" s="60">
        <v>1.575</v>
      </c>
      <c r="BT30" s="60">
        <v>1.7749999999999999</v>
      </c>
      <c r="BU30" s="60">
        <v>1.5</v>
      </c>
      <c r="BV30" s="60">
        <v>1.7250000000000001</v>
      </c>
      <c r="BW30" s="60">
        <v>1.55</v>
      </c>
      <c r="BX30" s="60">
        <v>1.5625</v>
      </c>
      <c r="BY30" s="60">
        <v>1.85</v>
      </c>
      <c r="BZ30" s="60">
        <v>1.7625</v>
      </c>
      <c r="CA30" s="60">
        <v>1.4750000000000001</v>
      </c>
      <c r="CB30" s="60">
        <v>1.7250000000000001</v>
      </c>
      <c r="CC30" s="60">
        <v>1.8</v>
      </c>
      <c r="CD30" s="60">
        <v>1.825</v>
      </c>
      <c r="CE30" s="60">
        <v>1.6625000000000001</v>
      </c>
      <c r="CF30" s="60">
        <v>1.75</v>
      </c>
      <c r="CG30" s="60">
        <v>1.625</v>
      </c>
      <c r="CH30" s="60">
        <v>1.7875000000000001</v>
      </c>
      <c r="CI30" s="60">
        <v>1.7124999999999999</v>
      </c>
      <c r="CJ30" s="60">
        <v>1.6375</v>
      </c>
      <c r="CK30" s="60">
        <v>1.875</v>
      </c>
      <c r="CL30" s="60">
        <v>1.7749999999999999</v>
      </c>
      <c r="CM30" s="60">
        <v>1.5249999999999999</v>
      </c>
      <c r="CN30" s="60">
        <v>1.7875000000000001</v>
      </c>
      <c r="CO30" s="60">
        <v>1.75</v>
      </c>
      <c r="CP30" s="60">
        <v>1.8875</v>
      </c>
      <c r="CQ30" s="60">
        <v>1.675</v>
      </c>
      <c r="CR30" s="60">
        <v>1.5874999999999999</v>
      </c>
      <c r="CS30" s="60">
        <v>1.7875000000000001</v>
      </c>
      <c r="CT30" s="60">
        <v>1.5625</v>
      </c>
      <c r="CV30" s="5" t="s">
        <v>545</v>
      </c>
      <c r="CW30" s="5">
        <v>500</v>
      </c>
      <c r="CX30" s="63">
        <v>7.3207999999999995E-2</v>
      </c>
      <c r="CY30" s="5">
        <v>6</v>
      </c>
      <c r="DA30" s="5">
        <v>66.540000000000006</v>
      </c>
      <c r="DB30" s="5">
        <v>110.01</v>
      </c>
      <c r="DC30" s="5">
        <v>93.48</v>
      </c>
      <c r="DD30" s="5">
        <v>96.33</v>
      </c>
      <c r="DE30" s="5">
        <v>97.47</v>
      </c>
      <c r="DF30" s="5">
        <v>95.76</v>
      </c>
      <c r="DG30" s="5">
        <v>76.95</v>
      </c>
      <c r="DH30" s="5">
        <v>78.66</v>
      </c>
      <c r="DI30" s="5">
        <v>72.39</v>
      </c>
      <c r="DJ30" s="5">
        <v>76.95</v>
      </c>
      <c r="DK30" s="5">
        <v>73.53</v>
      </c>
      <c r="DL30" s="5">
        <v>73.53</v>
      </c>
      <c r="DM30" s="5">
        <v>78.09</v>
      </c>
      <c r="DN30" s="5">
        <v>83.22</v>
      </c>
      <c r="DO30" s="5">
        <v>85.5</v>
      </c>
      <c r="DP30" s="5">
        <v>76.95</v>
      </c>
      <c r="DQ30" s="5">
        <v>83.22</v>
      </c>
      <c r="DR30" s="5">
        <v>78.66</v>
      </c>
      <c r="DS30" s="5">
        <v>78.09</v>
      </c>
      <c r="DT30" s="5">
        <v>86.64</v>
      </c>
      <c r="DU30" s="5">
        <v>84.36</v>
      </c>
      <c r="DV30" s="5">
        <v>93.48</v>
      </c>
      <c r="DW30" s="5">
        <v>94.62</v>
      </c>
      <c r="DX30" s="5">
        <v>107.16</v>
      </c>
      <c r="DY30" s="5">
        <v>107.73</v>
      </c>
      <c r="DZ30" s="5">
        <v>103.74</v>
      </c>
      <c r="EA30" s="5">
        <v>110.01</v>
      </c>
      <c r="EB30" s="5">
        <v>104.31</v>
      </c>
      <c r="EC30" s="5">
        <v>104.88</v>
      </c>
      <c r="ED30" s="5">
        <v>112.86</v>
      </c>
      <c r="EE30" s="5">
        <v>111.72</v>
      </c>
      <c r="EF30" s="5">
        <v>108.3</v>
      </c>
      <c r="EG30" s="5">
        <v>108.3</v>
      </c>
      <c r="EH30" s="5">
        <v>107.73</v>
      </c>
      <c r="EI30" s="5">
        <v>111.72</v>
      </c>
      <c r="EJ30" s="5">
        <v>111.15</v>
      </c>
      <c r="EK30" s="5">
        <v>104.31</v>
      </c>
      <c r="EL30" s="5">
        <v>110.58</v>
      </c>
      <c r="EM30" s="5">
        <v>103.74</v>
      </c>
      <c r="EN30" s="5">
        <v>98.61</v>
      </c>
      <c r="EO30" s="5">
        <v>99.75</v>
      </c>
      <c r="EP30" s="5">
        <v>76.38</v>
      </c>
      <c r="EQ30" s="5">
        <v>110.58</v>
      </c>
      <c r="ER30" s="5">
        <v>104.88</v>
      </c>
      <c r="ES30" s="5">
        <v>100.32</v>
      </c>
      <c r="ET30" s="5">
        <v>95.76</v>
      </c>
      <c r="EU30" s="5">
        <v>107.16</v>
      </c>
      <c r="EV30" s="5">
        <v>92.34</v>
      </c>
      <c r="EW30" s="5">
        <v>103.74</v>
      </c>
      <c r="EX30" s="5">
        <v>83.79</v>
      </c>
      <c r="EY30" s="5">
        <v>83.22</v>
      </c>
      <c r="EZ30" s="5">
        <v>76.38</v>
      </c>
      <c r="FA30" s="5">
        <v>95.76</v>
      </c>
      <c r="FB30" s="5">
        <v>77.52</v>
      </c>
      <c r="FC30" s="5">
        <v>86.64</v>
      </c>
      <c r="FD30" s="5">
        <v>73.53</v>
      </c>
      <c r="FE30" s="5">
        <v>84.36</v>
      </c>
      <c r="FF30" s="5">
        <v>76.38</v>
      </c>
      <c r="FG30" s="5">
        <v>76.95</v>
      </c>
      <c r="FH30" s="5">
        <v>90.06</v>
      </c>
      <c r="FI30" s="5">
        <v>86.07</v>
      </c>
      <c r="FJ30" s="5">
        <v>72.959999999999994</v>
      </c>
      <c r="FK30" s="5">
        <v>84.36</v>
      </c>
      <c r="FL30" s="5">
        <v>87.78</v>
      </c>
      <c r="FM30" s="5">
        <v>88.92</v>
      </c>
      <c r="FN30" s="5">
        <v>81.510000000000005</v>
      </c>
      <c r="FO30" s="5">
        <v>85.5</v>
      </c>
      <c r="FP30" s="5">
        <v>79.23</v>
      </c>
      <c r="FQ30" s="5">
        <v>87.21</v>
      </c>
      <c r="FR30" s="5">
        <v>83.79</v>
      </c>
      <c r="FS30" s="5">
        <v>80.37</v>
      </c>
      <c r="FT30" s="5">
        <v>91.2</v>
      </c>
      <c r="FU30" s="5">
        <v>86.64</v>
      </c>
      <c r="FV30" s="5">
        <v>74.67</v>
      </c>
      <c r="FW30" s="5">
        <v>87.21</v>
      </c>
      <c r="FX30" s="5">
        <v>85.5</v>
      </c>
      <c r="FY30" s="5">
        <v>91.77</v>
      </c>
      <c r="FZ30" s="5">
        <v>81.510000000000005</v>
      </c>
      <c r="GA30" s="5">
        <v>78.09</v>
      </c>
      <c r="GB30" s="5">
        <v>87.21</v>
      </c>
      <c r="GC30" s="5">
        <v>76.95</v>
      </c>
    </row>
    <row r="31" spans="1:185">
      <c r="A31" s="67">
        <v>29</v>
      </c>
      <c r="B31" s="13">
        <v>10</v>
      </c>
      <c r="C31" s="5">
        <v>8</v>
      </c>
      <c r="D31" s="5">
        <f t="shared" si="0"/>
        <v>80</v>
      </c>
      <c r="E31" s="5">
        <v>3</v>
      </c>
      <c r="F31" s="60">
        <f t="shared" si="1"/>
        <v>37.5</v>
      </c>
      <c r="G31" s="60">
        <f t="shared" si="2"/>
        <v>58.75</v>
      </c>
      <c r="H31" s="13">
        <v>10</v>
      </c>
      <c r="I31" s="5">
        <v>7</v>
      </c>
      <c r="J31" s="5">
        <f t="shared" si="3"/>
        <v>70</v>
      </c>
      <c r="K31" s="60">
        <v>1.45</v>
      </c>
      <c r="L31" s="68">
        <v>14.499999999999998</v>
      </c>
      <c r="M31" s="68">
        <f t="shared" si="4"/>
        <v>42.25</v>
      </c>
      <c r="N31" s="75">
        <v>7846.4700000000012</v>
      </c>
      <c r="O31" s="5">
        <v>-68.661438899999979</v>
      </c>
      <c r="P31" s="5">
        <v>35.3385611</v>
      </c>
      <c r="Q31" s="5">
        <v>-70.744762400000013</v>
      </c>
      <c r="R31" s="5">
        <v>33.255237600000001</v>
      </c>
      <c r="T31" s="60">
        <v>2.0375000000000001</v>
      </c>
      <c r="U31" s="60">
        <v>1.9750000000000001</v>
      </c>
      <c r="V31" s="60">
        <v>1.9875</v>
      </c>
      <c r="W31" s="60">
        <v>1.9</v>
      </c>
      <c r="X31" s="60">
        <v>1.7625</v>
      </c>
      <c r="Y31" s="60">
        <v>1.8625</v>
      </c>
      <c r="Z31" s="60">
        <v>1.7124999999999999</v>
      </c>
      <c r="AA31" s="60">
        <v>1.625</v>
      </c>
      <c r="AB31" s="60">
        <v>1.8</v>
      </c>
      <c r="AC31" s="60">
        <v>1.6875</v>
      </c>
      <c r="AD31" s="60">
        <v>1.8374999999999999</v>
      </c>
      <c r="AE31" s="60">
        <v>1.875</v>
      </c>
      <c r="AF31" s="60">
        <v>1.925</v>
      </c>
      <c r="AG31" s="60">
        <v>1.75</v>
      </c>
      <c r="AH31" s="60">
        <v>2.0125000000000002</v>
      </c>
      <c r="AI31" s="60">
        <v>1.9</v>
      </c>
      <c r="AJ31" s="60">
        <v>1.9875</v>
      </c>
      <c r="AK31" s="60">
        <v>1.8625</v>
      </c>
      <c r="AL31" s="60">
        <v>1.9875</v>
      </c>
      <c r="AM31" s="60">
        <v>2.1124999999999998</v>
      </c>
      <c r="AN31" s="60">
        <v>2.2875000000000001</v>
      </c>
      <c r="AO31" s="60">
        <v>2.1875</v>
      </c>
      <c r="AP31" s="60">
        <v>2.375</v>
      </c>
      <c r="AQ31" s="60">
        <v>2.25</v>
      </c>
      <c r="AR31" s="60">
        <v>2.35</v>
      </c>
      <c r="AS31" s="60">
        <v>2.2374999999999998</v>
      </c>
      <c r="AT31" s="60">
        <v>2.2250000000000001</v>
      </c>
      <c r="AU31" s="60">
        <v>2.3374999999999999</v>
      </c>
      <c r="AV31" s="60">
        <v>2.35</v>
      </c>
      <c r="AW31" s="60">
        <v>2.3125</v>
      </c>
      <c r="AX31" s="60">
        <v>2.3125</v>
      </c>
      <c r="AY31" s="60">
        <v>2.2749999999999999</v>
      </c>
      <c r="AZ31" s="60">
        <v>2.4874999999999998</v>
      </c>
      <c r="BA31" s="60">
        <v>2.2999999999999998</v>
      </c>
      <c r="BB31" s="60">
        <v>2.2625000000000002</v>
      </c>
      <c r="BC31" s="60">
        <v>2.25</v>
      </c>
      <c r="BD31" s="60">
        <v>1.9125000000000001</v>
      </c>
      <c r="BE31" s="60">
        <v>1.925</v>
      </c>
      <c r="BF31" s="60">
        <v>2.1124999999999998</v>
      </c>
      <c r="BG31" s="60">
        <v>1.85</v>
      </c>
      <c r="BH31" s="60">
        <v>2.375</v>
      </c>
      <c r="BI31" s="60">
        <v>2.4500000000000002</v>
      </c>
      <c r="BJ31" s="60">
        <v>2.3624999999999998</v>
      </c>
      <c r="BK31" s="60">
        <v>2.2124999999999999</v>
      </c>
      <c r="BL31" s="60">
        <v>2.1875</v>
      </c>
      <c r="BM31" s="60">
        <v>2.0249999999999999</v>
      </c>
      <c r="BN31" s="60">
        <v>2.0499999999999998</v>
      </c>
      <c r="BO31" s="60">
        <v>1.875</v>
      </c>
      <c r="BP31" s="60">
        <v>1.95</v>
      </c>
      <c r="BQ31" s="60">
        <v>1.875</v>
      </c>
      <c r="BR31" s="60">
        <v>1.9</v>
      </c>
      <c r="BS31" s="60">
        <v>1.6125</v>
      </c>
      <c r="BT31" s="60">
        <v>1.75</v>
      </c>
      <c r="BU31" s="60">
        <v>1.675</v>
      </c>
      <c r="BV31" s="60">
        <v>1.5249999999999999</v>
      </c>
      <c r="BW31" s="60">
        <v>1.825</v>
      </c>
      <c r="BX31" s="60">
        <v>1.6625000000000001</v>
      </c>
      <c r="BY31" s="60">
        <v>2.1375000000000002</v>
      </c>
      <c r="BZ31" s="60">
        <v>2.0375000000000001</v>
      </c>
      <c r="CA31" s="60">
        <v>1.575</v>
      </c>
      <c r="CB31" s="60">
        <v>1.875</v>
      </c>
      <c r="CC31" s="60">
        <v>2.125</v>
      </c>
      <c r="CD31" s="60">
        <v>2.0249999999999999</v>
      </c>
      <c r="CE31" s="60">
        <v>1.7375</v>
      </c>
      <c r="CF31" s="60">
        <v>2.0625</v>
      </c>
      <c r="CG31" s="60">
        <v>1.8374999999999999</v>
      </c>
      <c r="CH31" s="60">
        <v>1.65</v>
      </c>
      <c r="CI31" s="60">
        <v>2.1124999999999998</v>
      </c>
      <c r="CJ31" s="60">
        <v>2.0375000000000001</v>
      </c>
      <c r="CK31" s="60">
        <v>1.9750000000000001</v>
      </c>
      <c r="CL31" s="60">
        <v>2.1875</v>
      </c>
      <c r="CM31" s="60">
        <v>1.8374999999999999</v>
      </c>
      <c r="CN31" s="60">
        <v>1.7875000000000001</v>
      </c>
      <c r="CO31" s="60">
        <v>2.0625</v>
      </c>
      <c r="CP31" s="60">
        <v>1.9875</v>
      </c>
      <c r="CQ31" s="60">
        <v>1.65</v>
      </c>
      <c r="CR31" s="60">
        <v>1.9</v>
      </c>
      <c r="CS31" s="60">
        <v>1.95</v>
      </c>
      <c r="CT31" s="60">
        <v>2</v>
      </c>
      <c r="CV31" s="5" t="s">
        <v>546</v>
      </c>
      <c r="CW31" s="5">
        <v>500</v>
      </c>
      <c r="CX31" s="63">
        <v>7.3430666666666672E-2</v>
      </c>
      <c r="CY31" s="5">
        <v>7</v>
      </c>
      <c r="DA31" s="5">
        <v>73.38</v>
      </c>
      <c r="DB31" s="5">
        <v>117.42</v>
      </c>
      <c r="DC31" s="5">
        <v>98.61</v>
      </c>
      <c r="DD31" s="5">
        <v>95.76</v>
      </c>
      <c r="DE31" s="5">
        <v>95.76</v>
      </c>
      <c r="DF31" s="5">
        <v>92.34</v>
      </c>
      <c r="DG31" s="5">
        <v>86.07</v>
      </c>
      <c r="DH31" s="5">
        <v>90.63</v>
      </c>
      <c r="DI31" s="5">
        <v>83.79</v>
      </c>
      <c r="DJ31" s="5">
        <v>79.8</v>
      </c>
      <c r="DK31" s="5">
        <v>87.78</v>
      </c>
      <c r="DL31" s="5">
        <v>82.65</v>
      </c>
      <c r="DM31" s="5">
        <v>89.49</v>
      </c>
      <c r="DN31" s="5">
        <v>91.2</v>
      </c>
      <c r="DO31" s="5">
        <v>93.48</v>
      </c>
      <c r="DP31" s="5">
        <v>84.93</v>
      </c>
      <c r="DQ31" s="5">
        <v>97.47</v>
      </c>
      <c r="DR31" s="5">
        <v>92.34</v>
      </c>
      <c r="DS31" s="5">
        <v>96.33</v>
      </c>
      <c r="DT31" s="5">
        <v>90.63</v>
      </c>
      <c r="DU31" s="5">
        <v>96.33</v>
      </c>
      <c r="DV31" s="5">
        <v>102.03</v>
      </c>
      <c r="DW31" s="5">
        <v>110.01</v>
      </c>
      <c r="DX31" s="5">
        <v>104.88</v>
      </c>
      <c r="DY31" s="5">
        <v>114</v>
      </c>
      <c r="DZ31" s="5">
        <v>108.3</v>
      </c>
      <c r="EA31" s="5">
        <v>112.86</v>
      </c>
      <c r="EB31" s="5">
        <v>107.73</v>
      </c>
      <c r="EC31" s="5">
        <v>106.59</v>
      </c>
      <c r="ED31" s="5">
        <v>112.29</v>
      </c>
      <c r="EE31" s="5">
        <v>112.86</v>
      </c>
      <c r="EF31" s="5">
        <v>111.15</v>
      </c>
      <c r="EG31" s="5">
        <v>119.13</v>
      </c>
      <c r="EH31" s="5">
        <v>109.44</v>
      </c>
      <c r="EI31" s="5">
        <v>119.13</v>
      </c>
      <c r="EJ31" s="5">
        <v>110.58</v>
      </c>
      <c r="EK31" s="5">
        <v>108.87</v>
      </c>
      <c r="EL31" s="5">
        <v>108.3</v>
      </c>
      <c r="EM31" s="5">
        <v>91.77</v>
      </c>
      <c r="EN31" s="5">
        <v>92.91</v>
      </c>
      <c r="EO31" s="5">
        <v>102.03</v>
      </c>
      <c r="EP31" s="5">
        <v>90.06</v>
      </c>
      <c r="EQ31" s="5">
        <v>114</v>
      </c>
      <c r="ER31" s="5">
        <v>117.42</v>
      </c>
      <c r="ES31" s="5">
        <v>113.43</v>
      </c>
      <c r="ET31" s="5">
        <v>106.59</v>
      </c>
      <c r="EU31" s="5">
        <v>105.45</v>
      </c>
      <c r="EV31" s="5">
        <v>98.04</v>
      </c>
      <c r="EW31" s="5">
        <v>99.18</v>
      </c>
      <c r="EX31" s="5">
        <v>91.2</v>
      </c>
      <c r="EY31" s="5">
        <v>94.62</v>
      </c>
      <c r="EZ31" s="5">
        <v>91.2</v>
      </c>
      <c r="FA31" s="5">
        <v>91.77</v>
      </c>
      <c r="FB31" s="5">
        <v>79.23</v>
      </c>
      <c r="FC31" s="5">
        <v>84.93</v>
      </c>
      <c r="FD31" s="5">
        <v>81.510000000000005</v>
      </c>
      <c r="FE31" s="5">
        <v>74.67</v>
      </c>
      <c r="FF31" s="5">
        <v>88.92</v>
      </c>
      <c r="FG31" s="5">
        <v>81.510000000000005</v>
      </c>
      <c r="FH31" s="5">
        <v>103.17</v>
      </c>
      <c r="FI31" s="5">
        <v>98.61</v>
      </c>
      <c r="FJ31" s="5">
        <v>77.52</v>
      </c>
      <c r="FK31" s="5">
        <v>91.2</v>
      </c>
      <c r="FL31" s="5">
        <v>102.6</v>
      </c>
      <c r="FM31" s="5">
        <v>98.04</v>
      </c>
      <c r="FN31" s="5">
        <v>84.93</v>
      </c>
      <c r="FO31" s="5">
        <v>99.75</v>
      </c>
      <c r="FP31" s="5">
        <v>88.92</v>
      </c>
      <c r="FQ31" s="5">
        <v>79.8</v>
      </c>
      <c r="FR31" s="5">
        <v>102.03</v>
      </c>
      <c r="FS31" s="5">
        <v>98.61</v>
      </c>
      <c r="FT31" s="5">
        <v>95.19</v>
      </c>
      <c r="FU31" s="5">
        <v>105.45</v>
      </c>
      <c r="FV31" s="5">
        <v>88.92</v>
      </c>
      <c r="FW31" s="5">
        <v>86.64</v>
      </c>
      <c r="FX31" s="5">
        <v>99.75</v>
      </c>
      <c r="FY31" s="5">
        <v>96.33</v>
      </c>
      <c r="FZ31" s="5">
        <v>80.37</v>
      </c>
      <c r="GA31" s="5">
        <v>92.34</v>
      </c>
      <c r="GB31" s="5">
        <v>94.62</v>
      </c>
      <c r="GC31" s="5">
        <v>96.9</v>
      </c>
    </row>
    <row r="32" spans="1:185">
      <c r="A32" s="67">
        <v>30</v>
      </c>
      <c r="B32" s="13">
        <v>10</v>
      </c>
      <c r="C32" s="5">
        <v>10</v>
      </c>
      <c r="D32" s="5">
        <f t="shared" si="0"/>
        <v>100</v>
      </c>
      <c r="E32" s="5">
        <v>1</v>
      </c>
      <c r="F32" s="5">
        <f t="shared" si="1"/>
        <v>10</v>
      </c>
      <c r="G32" s="5">
        <f t="shared" si="2"/>
        <v>55</v>
      </c>
      <c r="H32" s="13">
        <v>10</v>
      </c>
      <c r="I32" s="5">
        <v>9</v>
      </c>
      <c r="J32" s="5">
        <f t="shared" si="3"/>
        <v>90</v>
      </c>
      <c r="K32" s="60">
        <v>0.92500000000000004</v>
      </c>
      <c r="L32" s="68">
        <v>10.277777777777779</v>
      </c>
      <c r="M32" s="68">
        <f t="shared" si="4"/>
        <v>50.138888888888886</v>
      </c>
      <c r="N32" s="5">
        <v>5302.5600000000013</v>
      </c>
      <c r="O32" s="5">
        <v>-71.950491650000004</v>
      </c>
      <c r="P32" s="5">
        <v>32.049508349999996</v>
      </c>
      <c r="Q32" s="5">
        <v>-71.070947333333336</v>
      </c>
      <c r="R32" s="5">
        <v>32.929052666666664</v>
      </c>
      <c r="T32" s="60">
        <v>1.5249999999999999</v>
      </c>
      <c r="U32" s="60">
        <v>1.2875000000000001</v>
      </c>
      <c r="V32" s="60">
        <v>1.6</v>
      </c>
      <c r="W32" s="60">
        <v>1.5249999999999999</v>
      </c>
      <c r="X32" s="60">
        <v>1.3</v>
      </c>
      <c r="Y32" s="60">
        <v>1.1875</v>
      </c>
      <c r="Z32" s="60">
        <v>1.2375</v>
      </c>
      <c r="AA32" s="60">
        <v>1.1125</v>
      </c>
      <c r="AB32" s="60">
        <v>1.075</v>
      </c>
      <c r="AC32" s="60">
        <v>1</v>
      </c>
      <c r="AD32" s="60">
        <v>1.075</v>
      </c>
      <c r="AE32" s="60">
        <v>1.1125</v>
      </c>
      <c r="AF32" s="60">
        <v>1.2124999999999999</v>
      </c>
      <c r="AG32" s="60">
        <v>1.35</v>
      </c>
      <c r="AH32" s="60">
        <v>1.1625000000000001</v>
      </c>
      <c r="AI32" s="60">
        <v>1.1875</v>
      </c>
      <c r="AJ32" s="60">
        <v>1.35</v>
      </c>
      <c r="AK32" s="60">
        <v>1.1875</v>
      </c>
      <c r="AL32" s="60">
        <v>1.3625</v>
      </c>
      <c r="AM32" s="60">
        <v>1.575</v>
      </c>
      <c r="AN32" s="60">
        <v>1.5125</v>
      </c>
      <c r="AO32" s="60">
        <v>1.5625</v>
      </c>
      <c r="AP32" s="60">
        <v>1.5625</v>
      </c>
      <c r="AQ32" s="60">
        <v>1.575</v>
      </c>
      <c r="AR32" s="60">
        <v>1.75</v>
      </c>
      <c r="AS32" s="60">
        <v>1.6875</v>
      </c>
      <c r="AT32" s="60">
        <v>1.625</v>
      </c>
      <c r="AU32" s="60">
        <v>1.7875000000000001</v>
      </c>
      <c r="AV32" s="60">
        <v>1.7250000000000001</v>
      </c>
      <c r="AW32" s="60">
        <v>1.75</v>
      </c>
      <c r="AX32" s="60">
        <v>1.75</v>
      </c>
      <c r="AY32" s="60">
        <v>1.7875000000000001</v>
      </c>
      <c r="AZ32" s="60">
        <v>1.5874999999999999</v>
      </c>
      <c r="BA32" s="60">
        <v>1.6625000000000001</v>
      </c>
      <c r="BB32" s="60">
        <v>1.55</v>
      </c>
      <c r="BC32" s="60">
        <v>1.4375</v>
      </c>
      <c r="BD32" s="60">
        <v>1.55</v>
      </c>
      <c r="BE32" s="60">
        <v>1.5</v>
      </c>
      <c r="BF32" s="60">
        <v>1.25</v>
      </c>
      <c r="BG32" s="60">
        <v>1.075</v>
      </c>
      <c r="BH32" s="60">
        <v>1.8374999999999999</v>
      </c>
      <c r="BI32" s="60">
        <v>1.8</v>
      </c>
      <c r="BJ32" s="60">
        <v>1.4875</v>
      </c>
      <c r="BK32" s="60">
        <v>1.4624999999999999</v>
      </c>
      <c r="BL32" s="60">
        <v>1.4750000000000001</v>
      </c>
      <c r="BM32" s="60">
        <v>1.3875</v>
      </c>
      <c r="BN32" s="60">
        <v>1.3625</v>
      </c>
      <c r="BO32" s="60">
        <v>0.98750000000000004</v>
      </c>
      <c r="BP32" s="60">
        <v>1.1875</v>
      </c>
      <c r="BQ32" s="60">
        <v>1.2875000000000001</v>
      </c>
      <c r="BR32" s="60">
        <v>1.2124999999999999</v>
      </c>
      <c r="BS32" s="60">
        <v>1.0125</v>
      </c>
      <c r="BT32" s="60">
        <v>1.0625</v>
      </c>
      <c r="BU32" s="60">
        <v>0.95</v>
      </c>
      <c r="BV32" s="60">
        <v>0.95</v>
      </c>
      <c r="BW32" s="60">
        <v>1</v>
      </c>
      <c r="BX32" s="60">
        <v>0.98750000000000004</v>
      </c>
      <c r="BY32" s="60">
        <v>1.1375</v>
      </c>
      <c r="BZ32" s="60">
        <v>1.1625000000000001</v>
      </c>
      <c r="CA32" s="60">
        <v>0.85</v>
      </c>
      <c r="CB32" s="60">
        <v>1.0874999999999999</v>
      </c>
      <c r="CC32" s="60">
        <v>1.1125</v>
      </c>
      <c r="CD32" s="60">
        <v>1.1375</v>
      </c>
      <c r="CE32" s="60">
        <v>0.95</v>
      </c>
      <c r="CF32" s="60">
        <v>1.325</v>
      </c>
      <c r="CG32" s="60">
        <v>1.2124999999999999</v>
      </c>
      <c r="CH32" s="60">
        <v>1.2124999999999999</v>
      </c>
      <c r="CI32" s="60">
        <v>1.1625000000000001</v>
      </c>
      <c r="CJ32" s="60">
        <v>1.2375</v>
      </c>
      <c r="CK32" s="60">
        <v>1.2375</v>
      </c>
      <c r="CL32" s="60">
        <v>1.1625000000000001</v>
      </c>
      <c r="CM32" s="60">
        <v>1.3875</v>
      </c>
      <c r="CN32" s="60">
        <v>1.1625000000000001</v>
      </c>
      <c r="CO32" s="60">
        <v>1.1499999999999999</v>
      </c>
      <c r="CP32" s="60">
        <v>1.2875000000000001</v>
      </c>
      <c r="CQ32" s="60">
        <v>0.85</v>
      </c>
      <c r="CR32" s="60">
        <v>1.1875</v>
      </c>
      <c r="CS32" s="60">
        <v>1.2375</v>
      </c>
      <c r="CT32" s="60">
        <v>1.0125</v>
      </c>
      <c r="CV32" s="5" t="s">
        <v>547</v>
      </c>
      <c r="CW32" s="5">
        <v>500</v>
      </c>
      <c r="CX32" s="63">
        <v>7.8795000000000004E-2</v>
      </c>
      <c r="CY32" s="5">
        <v>9</v>
      </c>
      <c r="DA32" s="5">
        <v>49.44</v>
      </c>
      <c r="DB32" s="5">
        <v>74.67</v>
      </c>
      <c r="DC32" s="5">
        <v>75.239999999999995</v>
      </c>
      <c r="DD32" s="5">
        <v>64.41</v>
      </c>
      <c r="DE32" s="5">
        <v>78.09</v>
      </c>
      <c r="DF32" s="5">
        <v>75.239999999999995</v>
      </c>
      <c r="DG32" s="5">
        <v>64.98</v>
      </c>
      <c r="DH32" s="5">
        <v>59.85</v>
      </c>
      <c r="DI32" s="5">
        <v>62.13</v>
      </c>
      <c r="DJ32" s="5">
        <v>56.43</v>
      </c>
      <c r="DK32" s="5">
        <v>54.72</v>
      </c>
      <c r="DL32" s="5">
        <v>51.3</v>
      </c>
      <c r="DM32" s="5">
        <v>54.72</v>
      </c>
      <c r="DN32" s="5">
        <v>56.43</v>
      </c>
      <c r="DO32" s="5">
        <v>60.99</v>
      </c>
      <c r="DP32" s="5">
        <v>67.260000000000005</v>
      </c>
      <c r="DQ32" s="5">
        <v>58.71</v>
      </c>
      <c r="DR32" s="5">
        <v>59.85</v>
      </c>
      <c r="DS32" s="5">
        <v>67.260000000000005</v>
      </c>
      <c r="DT32" s="5">
        <v>59.85</v>
      </c>
      <c r="DU32" s="5">
        <v>67.83</v>
      </c>
      <c r="DV32" s="5">
        <v>77.52</v>
      </c>
      <c r="DW32" s="5">
        <v>74.67</v>
      </c>
      <c r="DX32" s="5">
        <v>76.95</v>
      </c>
      <c r="DY32" s="5">
        <v>76.38</v>
      </c>
      <c r="DZ32" s="5">
        <v>77.52</v>
      </c>
      <c r="EA32" s="5">
        <v>85.5</v>
      </c>
      <c r="EB32" s="5">
        <v>82.65</v>
      </c>
      <c r="EC32" s="5">
        <v>79.8</v>
      </c>
      <c r="ED32" s="5">
        <v>87.21</v>
      </c>
      <c r="EE32" s="5">
        <v>84.36</v>
      </c>
      <c r="EF32" s="5">
        <v>85.5</v>
      </c>
      <c r="EG32" s="5">
        <v>86.64</v>
      </c>
      <c r="EH32" s="5">
        <v>87.21</v>
      </c>
      <c r="EI32" s="5">
        <v>77.52</v>
      </c>
      <c r="EJ32" s="5">
        <v>81.510000000000005</v>
      </c>
      <c r="EK32" s="5">
        <v>76.38</v>
      </c>
      <c r="EL32" s="5">
        <v>71.25</v>
      </c>
      <c r="EM32" s="5">
        <v>76.38</v>
      </c>
      <c r="EN32" s="5">
        <v>74.099999999999994</v>
      </c>
      <c r="EO32" s="5">
        <v>62.7</v>
      </c>
      <c r="EP32" s="5">
        <v>54.15</v>
      </c>
      <c r="EQ32" s="5">
        <v>89.49</v>
      </c>
      <c r="ER32" s="5">
        <v>87.78</v>
      </c>
      <c r="ES32" s="5">
        <v>73.53</v>
      </c>
      <c r="ET32" s="5">
        <v>72.39</v>
      </c>
      <c r="EU32" s="5">
        <v>72.959999999999994</v>
      </c>
      <c r="EV32" s="5">
        <v>68.97</v>
      </c>
      <c r="EW32" s="5">
        <v>67.83</v>
      </c>
      <c r="EX32" s="5">
        <v>50.16</v>
      </c>
      <c r="EY32" s="5">
        <v>59.85</v>
      </c>
      <c r="EZ32" s="5">
        <v>64.41</v>
      </c>
      <c r="FA32" s="5">
        <v>59.85</v>
      </c>
      <c r="FB32" s="5">
        <v>51.87</v>
      </c>
      <c r="FC32" s="5">
        <v>54.15</v>
      </c>
      <c r="FD32" s="5">
        <v>48.45</v>
      </c>
      <c r="FE32" s="5">
        <v>49.02</v>
      </c>
      <c r="FF32" s="5">
        <v>51.3</v>
      </c>
      <c r="FG32" s="5">
        <v>50.73</v>
      </c>
      <c r="FH32" s="5">
        <v>57</v>
      </c>
      <c r="FI32" s="5">
        <v>58.71</v>
      </c>
      <c r="FJ32" s="5">
        <v>43.89</v>
      </c>
      <c r="FK32" s="5">
        <v>55.29</v>
      </c>
      <c r="FL32" s="5">
        <v>56.43</v>
      </c>
      <c r="FM32" s="5">
        <v>57.57</v>
      </c>
      <c r="FN32" s="5">
        <v>49.02</v>
      </c>
      <c r="FO32" s="5">
        <v>66.12</v>
      </c>
      <c r="FP32" s="5">
        <v>60.99</v>
      </c>
      <c r="FQ32" s="5">
        <v>60.99</v>
      </c>
      <c r="FR32" s="5">
        <v>58.71</v>
      </c>
      <c r="FS32" s="5">
        <v>62.13</v>
      </c>
      <c r="FT32" s="5">
        <v>62.13</v>
      </c>
      <c r="FU32" s="5">
        <v>58.71</v>
      </c>
      <c r="FV32" s="5">
        <v>68.97</v>
      </c>
      <c r="FW32" s="5">
        <v>58.14</v>
      </c>
      <c r="FX32" s="5">
        <v>58.14</v>
      </c>
      <c r="FY32" s="5">
        <v>64.41</v>
      </c>
      <c r="FZ32" s="5">
        <v>43.89</v>
      </c>
      <c r="GA32" s="5">
        <v>59.85</v>
      </c>
      <c r="GB32" s="5">
        <v>62.13</v>
      </c>
      <c r="GC32" s="5">
        <v>51.3</v>
      </c>
    </row>
    <row r="33" spans="6:107">
      <c r="F33" s="76">
        <f>AVERAGE(F4:F32)</f>
        <v>31.242474001094696</v>
      </c>
      <c r="G33" s="76">
        <f>AVERAGE(G4:G32)</f>
        <v>62.34537493158183</v>
      </c>
      <c r="L33" s="76">
        <f>AVERAGE(L4:L32)</f>
        <v>12.3433908045977</v>
      </c>
      <c r="M33" s="76">
        <f>AVERAGE(M4:M32)</f>
        <v>49.964798850574716</v>
      </c>
      <c r="N33" s="94" t="s">
        <v>1502</v>
      </c>
      <c r="O33" s="94"/>
      <c r="P33" s="94"/>
      <c r="Q33" s="94"/>
      <c r="R33" s="94"/>
      <c r="S33" s="94"/>
      <c r="T33" s="94"/>
      <c r="U33" s="94"/>
      <c r="V33" s="94"/>
      <c r="W33" s="94"/>
      <c r="X33" s="94"/>
      <c r="Y33" s="94"/>
      <c r="Z33" s="94"/>
    </row>
    <row r="35" spans="6:107">
      <c r="CV35" s="90" t="s">
        <v>785</v>
      </c>
      <c r="CW35" s="90"/>
      <c r="CX35" s="90"/>
      <c r="CY35" s="90"/>
      <c r="DA35" s="5" t="s">
        <v>1329</v>
      </c>
      <c r="DB35" s="5" t="s">
        <v>1330</v>
      </c>
      <c r="DC35" s="5" t="s">
        <v>1331</v>
      </c>
    </row>
    <row r="36" spans="6:107">
      <c r="CU36" s="61" t="s">
        <v>1114</v>
      </c>
      <c r="CV36" s="5" t="s">
        <v>1115</v>
      </c>
      <c r="CW36" s="5" t="s">
        <v>811</v>
      </c>
      <c r="CX36" s="5" t="s">
        <v>938</v>
      </c>
      <c r="CY36" s="5" t="s">
        <v>1116</v>
      </c>
      <c r="CZ36" s="5" t="s">
        <v>933</v>
      </c>
      <c r="DA36" s="5" t="s">
        <v>1070</v>
      </c>
      <c r="DB36" s="5">
        <v>0</v>
      </c>
      <c r="DC36" s="5">
        <v>0</v>
      </c>
    </row>
    <row r="37" spans="6:107">
      <c r="CU37" s="5" t="s">
        <v>1117</v>
      </c>
      <c r="CV37" s="5" t="s">
        <v>1118</v>
      </c>
      <c r="CW37" s="5" t="s">
        <v>816</v>
      </c>
      <c r="CX37" s="5" t="s">
        <v>936</v>
      </c>
      <c r="CY37" s="5">
        <v>5.0866000000000001E-2</v>
      </c>
      <c r="CZ37" s="5" t="s">
        <v>806</v>
      </c>
      <c r="DA37" s="62" t="s">
        <v>519</v>
      </c>
      <c r="DB37" s="5">
        <v>3</v>
      </c>
      <c r="DC37" s="5">
        <f>AVERAGE(CY37,CY39:CY40)</f>
        <v>6.1324333333333335E-2</v>
      </c>
    </row>
    <row r="38" spans="6:107">
      <c r="CU38" s="61" t="s">
        <v>1114</v>
      </c>
      <c r="CV38" s="5" t="s">
        <v>1119</v>
      </c>
      <c r="CW38" s="5" t="s">
        <v>811</v>
      </c>
      <c r="CX38" s="5" t="s">
        <v>812</v>
      </c>
      <c r="CY38" s="5" t="s">
        <v>1120</v>
      </c>
      <c r="CZ38" s="5" t="s">
        <v>940</v>
      </c>
      <c r="DA38" s="62" t="s">
        <v>520</v>
      </c>
      <c r="DB38" s="5">
        <v>3</v>
      </c>
      <c r="DC38" s="5">
        <f>AVERAGE(CY42,CY44,CY46)</f>
        <v>8.0334666666666665E-2</v>
      </c>
    </row>
    <row r="39" spans="6:107">
      <c r="CU39" s="5" t="s">
        <v>1121</v>
      </c>
      <c r="CV39" s="5" t="s">
        <v>1118</v>
      </c>
      <c r="CW39" s="5" t="s">
        <v>816</v>
      </c>
      <c r="CX39" s="5" t="s">
        <v>936</v>
      </c>
      <c r="CY39" s="5">
        <v>7.8578999999999996E-2</v>
      </c>
      <c r="CZ39" s="5" t="s">
        <v>806</v>
      </c>
      <c r="DA39" s="62" t="s">
        <v>521</v>
      </c>
      <c r="DB39" s="5">
        <v>2</v>
      </c>
      <c r="DC39" s="5">
        <f>AVERAGE(CY48:CY49)</f>
        <v>8.0360999999999988E-2</v>
      </c>
    </row>
    <row r="40" spans="6:107">
      <c r="CU40" s="5" t="s">
        <v>1122</v>
      </c>
      <c r="CV40" s="5" t="s">
        <v>1118</v>
      </c>
      <c r="CW40" s="5" t="s">
        <v>816</v>
      </c>
      <c r="CX40" s="5" t="s">
        <v>936</v>
      </c>
      <c r="CY40" s="5">
        <v>5.4528E-2</v>
      </c>
      <c r="CZ40" s="5" t="s">
        <v>806</v>
      </c>
      <c r="DA40" s="62" t="s">
        <v>522</v>
      </c>
      <c r="DB40" s="5">
        <v>2</v>
      </c>
      <c r="DC40" s="5">
        <f>AVERAGE(CY51,CY53)</f>
        <v>6.8153999999999992E-2</v>
      </c>
    </row>
    <row r="41" spans="6:107">
      <c r="CU41" s="61" t="s">
        <v>1114</v>
      </c>
      <c r="CV41" s="5" t="s">
        <v>1123</v>
      </c>
      <c r="CW41" s="5" t="s">
        <v>811</v>
      </c>
      <c r="CX41" s="5" t="s">
        <v>812</v>
      </c>
      <c r="CY41" s="5" t="s">
        <v>1124</v>
      </c>
      <c r="CZ41" s="5" t="s">
        <v>940</v>
      </c>
      <c r="DA41" s="5" t="s">
        <v>523</v>
      </c>
      <c r="DB41" s="5">
        <v>6</v>
      </c>
      <c r="DC41" s="5">
        <f>AVERAGE(CY55:CY57,CY59:CY60,CY62)</f>
        <v>7.8128166666666665E-2</v>
      </c>
    </row>
    <row r="42" spans="6:107">
      <c r="CU42" s="5" t="s">
        <v>1125</v>
      </c>
      <c r="CV42" s="5" t="s">
        <v>1118</v>
      </c>
      <c r="CW42" s="5" t="s">
        <v>816</v>
      </c>
      <c r="CX42" s="5" t="s">
        <v>936</v>
      </c>
      <c r="CY42" s="5">
        <v>8.1532999999999994E-2</v>
      </c>
      <c r="CZ42" s="5" t="s">
        <v>806</v>
      </c>
      <c r="DA42" s="5" t="s">
        <v>524</v>
      </c>
      <c r="DB42" s="5">
        <v>4</v>
      </c>
      <c r="DC42" s="5">
        <f>AVERAGE(CY64,CY65,CY67,CY69)</f>
        <v>6.9826750000000007E-2</v>
      </c>
    </row>
    <row r="43" spans="6:107">
      <c r="CU43" s="61" t="s">
        <v>1114</v>
      </c>
      <c r="CV43" s="5" t="s">
        <v>1126</v>
      </c>
      <c r="CW43" s="5" t="s">
        <v>811</v>
      </c>
      <c r="CX43" s="5" t="s">
        <v>812</v>
      </c>
      <c r="CY43" s="5" t="s">
        <v>1127</v>
      </c>
      <c r="CZ43" s="5" t="s">
        <v>940</v>
      </c>
      <c r="DA43" s="5" t="s">
        <v>525</v>
      </c>
      <c r="DB43" s="5">
        <v>3</v>
      </c>
      <c r="DC43" s="5">
        <f>AVERAGE(CY71:CY73)</f>
        <v>7.4274666666666669E-2</v>
      </c>
    </row>
    <row r="44" spans="6:107">
      <c r="CU44" s="5" t="s">
        <v>1128</v>
      </c>
      <c r="CV44" s="5" t="s">
        <v>1118</v>
      </c>
      <c r="CW44" s="5" t="s">
        <v>816</v>
      </c>
      <c r="CX44" s="5" t="s">
        <v>936</v>
      </c>
      <c r="CY44" s="5">
        <v>8.0702999999999997E-2</v>
      </c>
      <c r="CZ44" s="5" t="s">
        <v>806</v>
      </c>
      <c r="DA44" s="5" t="s">
        <v>526</v>
      </c>
      <c r="DB44" s="5">
        <v>3</v>
      </c>
      <c r="DC44" s="5">
        <f>AVERAGE(CY75,CY77,CY79)</f>
        <v>6.4153666666666664E-2</v>
      </c>
    </row>
    <row r="45" spans="6:107">
      <c r="CU45" s="61" t="s">
        <v>1114</v>
      </c>
      <c r="CV45" s="5" t="s">
        <v>1129</v>
      </c>
      <c r="CW45" s="5" t="s">
        <v>811</v>
      </c>
      <c r="CX45" s="5" t="s">
        <v>812</v>
      </c>
      <c r="CY45" s="5" t="s">
        <v>1130</v>
      </c>
      <c r="CZ45" s="5" t="s">
        <v>940</v>
      </c>
      <c r="DA45" s="5" t="s">
        <v>527</v>
      </c>
      <c r="DB45" s="5">
        <v>5</v>
      </c>
      <c r="DC45" s="5">
        <f>AVERAGE(CY81,CY83,CY85,CY87,CY88)</f>
        <v>7.3233999999999994E-2</v>
      </c>
    </row>
    <row r="46" spans="6:107">
      <c r="CU46" s="5" t="s">
        <v>1131</v>
      </c>
      <c r="CV46" s="5" t="s">
        <v>1118</v>
      </c>
      <c r="CW46" s="5" t="s">
        <v>816</v>
      </c>
      <c r="CX46" s="5" t="s">
        <v>936</v>
      </c>
      <c r="CY46" s="5">
        <v>7.8768000000000005E-2</v>
      </c>
      <c r="CZ46" s="5" t="s">
        <v>806</v>
      </c>
      <c r="DA46" s="5" t="s">
        <v>528</v>
      </c>
      <c r="DB46" s="5">
        <v>3</v>
      </c>
      <c r="DC46" s="5">
        <f>AVERAGE(CY90:CY91,CY93)</f>
        <v>7.6338000000000003E-2</v>
      </c>
    </row>
    <row r="47" spans="6:107">
      <c r="CU47" s="61" t="s">
        <v>1114</v>
      </c>
      <c r="CV47" s="5" t="s">
        <v>1132</v>
      </c>
      <c r="CW47" s="5" t="s">
        <v>811</v>
      </c>
      <c r="CX47" s="5" t="s">
        <v>812</v>
      </c>
      <c r="CY47" s="5" t="s">
        <v>1133</v>
      </c>
      <c r="CZ47" s="5" t="s">
        <v>940</v>
      </c>
      <c r="DA47" s="5" t="s">
        <v>529</v>
      </c>
      <c r="DB47" s="5">
        <v>3</v>
      </c>
      <c r="DC47" s="5">
        <f>AVERAGE(CY98,CY96,CY95)</f>
        <v>7.1774000000000004E-2</v>
      </c>
    </row>
    <row r="48" spans="6:107">
      <c r="CU48" s="5" t="s">
        <v>1134</v>
      </c>
      <c r="CV48" s="5" t="s">
        <v>1118</v>
      </c>
      <c r="CW48" s="5" t="s">
        <v>816</v>
      </c>
      <c r="CX48" s="5" t="s">
        <v>936</v>
      </c>
      <c r="CY48" s="5">
        <v>8.3253999999999995E-2</v>
      </c>
      <c r="CZ48" s="5" t="s">
        <v>806</v>
      </c>
      <c r="DA48" s="5" t="s">
        <v>530</v>
      </c>
      <c r="DB48" s="5">
        <v>7</v>
      </c>
      <c r="DC48" s="5">
        <f>AVERAGE(CY99,CY101,CY103,CY104,CY105,CY106,CY108)</f>
        <v>7.6224142857142865E-2</v>
      </c>
    </row>
    <row r="49" spans="99:107">
      <c r="CU49" s="5" t="s">
        <v>1135</v>
      </c>
      <c r="CV49" s="5" t="s">
        <v>1118</v>
      </c>
      <c r="CW49" s="5" t="s">
        <v>816</v>
      </c>
      <c r="CX49" s="5" t="s">
        <v>936</v>
      </c>
      <c r="CY49" s="5">
        <v>7.7467999999999995E-2</v>
      </c>
      <c r="CZ49" s="5" t="s">
        <v>806</v>
      </c>
      <c r="DA49" s="5" t="s">
        <v>531</v>
      </c>
      <c r="DB49" s="5">
        <v>1</v>
      </c>
      <c r="DC49" s="5">
        <f>CY110</f>
        <v>8.3642999999999995E-2</v>
      </c>
    </row>
    <row r="50" spans="99:107">
      <c r="CU50" s="61" t="s">
        <v>1114</v>
      </c>
      <c r="CV50" s="5" t="s">
        <v>1136</v>
      </c>
      <c r="CW50" s="5" t="s">
        <v>811</v>
      </c>
      <c r="CX50" s="5" t="s">
        <v>812</v>
      </c>
      <c r="CY50" s="5" t="s">
        <v>1137</v>
      </c>
      <c r="CZ50" s="5" t="s">
        <v>940</v>
      </c>
      <c r="DA50" s="5" t="s">
        <v>532</v>
      </c>
      <c r="DB50" s="5">
        <v>1</v>
      </c>
      <c r="DC50" s="5">
        <f>CY112</f>
        <v>8.7304000000000007E-2</v>
      </c>
    </row>
    <row r="51" spans="99:107">
      <c r="CU51" s="5" t="s">
        <v>1138</v>
      </c>
      <c r="CV51" s="5" t="s">
        <v>1118</v>
      </c>
      <c r="CW51" s="5" t="s">
        <v>816</v>
      </c>
      <c r="CX51" s="5" t="s">
        <v>936</v>
      </c>
      <c r="CY51" s="5">
        <v>6.3779000000000002E-2</v>
      </c>
      <c r="CZ51" s="5" t="s">
        <v>806</v>
      </c>
      <c r="DA51" s="5" t="s">
        <v>533</v>
      </c>
      <c r="DB51" s="5">
        <v>5</v>
      </c>
      <c r="DC51" s="5">
        <f>AVERAGE(CY114:CY116,CY118,CY120)</f>
        <v>7.940040000000001E-2</v>
      </c>
    </row>
    <row r="52" spans="99:107">
      <c r="CU52" s="61" t="s">
        <v>1114</v>
      </c>
      <c r="CV52" s="5" t="s">
        <v>1139</v>
      </c>
      <c r="CW52" s="5" t="s">
        <v>811</v>
      </c>
      <c r="CX52" s="5" t="s">
        <v>812</v>
      </c>
      <c r="CY52" s="5" t="s">
        <v>1140</v>
      </c>
      <c r="CZ52" s="5" t="s">
        <v>940</v>
      </c>
      <c r="DA52" s="5" t="s">
        <v>534</v>
      </c>
      <c r="DB52" s="5">
        <v>3</v>
      </c>
      <c r="DC52" s="5">
        <f>AVERAGE(CY125,CY123,CY122)</f>
        <v>7.4188333333333342E-2</v>
      </c>
    </row>
    <row r="53" spans="99:107">
      <c r="CU53" s="5" t="s">
        <v>1141</v>
      </c>
      <c r="CV53" s="5" t="s">
        <v>1118</v>
      </c>
      <c r="CW53" s="5" t="s">
        <v>816</v>
      </c>
      <c r="CX53" s="5" t="s">
        <v>936</v>
      </c>
      <c r="CY53" s="5">
        <v>7.2528999999999996E-2</v>
      </c>
      <c r="CZ53" s="5" t="s">
        <v>806</v>
      </c>
      <c r="DA53" s="5" t="s">
        <v>535</v>
      </c>
      <c r="DB53" s="5">
        <v>2</v>
      </c>
      <c r="DC53" s="5">
        <f>AVERAGE(CY127,CY129)</f>
        <v>6.6552500000000001E-2</v>
      </c>
    </row>
    <row r="54" spans="99:107">
      <c r="CU54" s="61" t="s">
        <v>1114</v>
      </c>
      <c r="CV54" s="5" t="s">
        <v>1142</v>
      </c>
      <c r="CW54" s="5" t="s">
        <v>811</v>
      </c>
      <c r="CX54" s="5" t="s">
        <v>812</v>
      </c>
      <c r="CY54" s="5" t="s">
        <v>1143</v>
      </c>
      <c r="CZ54" s="5" t="s">
        <v>940</v>
      </c>
      <c r="DA54" s="5" t="s">
        <v>536</v>
      </c>
      <c r="DB54" s="5">
        <v>4</v>
      </c>
      <c r="DC54" s="5">
        <f>AVERAGE(CY131,CY133,CY135,CY137)</f>
        <v>6.3240749999999998E-2</v>
      </c>
    </row>
    <row r="55" spans="99:107">
      <c r="CU55" s="5" t="s">
        <v>1144</v>
      </c>
      <c r="CV55" s="5" t="s">
        <v>1118</v>
      </c>
      <c r="CW55" s="5" t="s">
        <v>816</v>
      </c>
      <c r="CX55" s="5" t="s">
        <v>936</v>
      </c>
      <c r="CY55" s="5">
        <v>8.1458000000000003E-2</v>
      </c>
      <c r="CZ55" s="5" t="s">
        <v>806</v>
      </c>
      <c r="DA55" s="5" t="s">
        <v>537</v>
      </c>
      <c r="DB55" s="5">
        <v>2</v>
      </c>
      <c r="DC55" s="5">
        <f>AVERAGE(CY139:CY140)</f>
        <v>7.4755500000000003E-2</v>
      </c>
    </row>
    <row r="56" spans="99:107">
      <c r="CU56" s="5" t="s">
        <v>1145</v>
      </c>
      <c r="CV56" s="5" t="s">
        <v>1118</v>
      </c>
      <c r="CW56" s="5" t="s">
        <v>816</v>
      </c>
      <c r="CX56" s="5" t="s">
        <v>936</v>
      </c>
      <c r="CY56" s="5">
        <v>6.5132999999999996E-2</v>
      </c>
      <c r="CZ56" s="5" t="s">
        <v>806</v>
      </c>
      <c r="DA56" s="5" t="s">
        <v>538</v>
      </c>
      <c r="DB56" s="5">
        <v>1</v>
      </c>
      <c r="DC56" s="5">
        <f>CY142</f>
        <v>5.3530000000000001E-2</v>
      </c>
    </row>
    <row r="57" spans="99:107">
      <c r="CU57" s="5" t="s">
        <v>1146</v>
      </c>
      <c r="CV57" s="5" t="s">
        <v>1118</v>
      </c>
      <c r="CW57" s="5" t="s">
        <v>816</v>
      </c>
      <c r="CX57" s="5" t="s">
        <v>936</v>
      </c>
      <c r="CY57" s="5">
        <v>7.5267000000000001E-2</v>
      </c>
      <c r="CZ57" s="5" t="s">
        <v>806</v>
      </c>
      <c r="DA57" s="5" t="s">
        <v>539</v>
      </c>
      <c r="DB57" s="5">
        <v>5</v>
      </c>
      <c r="DC57" s="5">
        <f>AVERAGE(CY144:CY145,CY147:CY149)</f>
        <v>7.3049600000000006E-2</v>
      </c>
    </row>
    <row r="58" spans="99:107">
      <c r="CU58" s="61" t="s">
        <v>1114</v>
      </c>
      <c r="CV58" s="5" t="s">
        <v>1147</v>
      </c>
      <c r="CW58" s="5" t="s">
        <v>811</v>
      </c>
      <c r="CX58" s="5" t="s">
        <v>812</v>
      </c>
      <c r="CY58" s="5" t="s">
        <v>1148</v>
      </c>
      <c r="CZ58" s="5" t="s">
        <v>940</v>
      </c>
      <c r="DA58" s="5" t="s">
        <v>540</v>
      </c>
      <c r="DB58" s="5">
        <v>1</v>
      </c>
      <c r="DC58" s="5">
        <f>CY151</f>
        <v>6.6165000000000002E-2</v>
      </c>
    </row>
    <row r="59" spans="99:107">
      <c r="CU59" s="5" t="s">
        <v>1149</v>
      </c>
      <c r="CV59" s="5" t="s">
        <v>1118</v>
      </c>
      <c r="CW59" s="5" t="s">
        <v>816</v>
      </c>
      <c r="CX59" s="5" t="s">
        <v>936</v>
      </c>
      <c r="CY59" s="5">
        <v>8.5142999999999996E-2</v>
      </c>
      <c r="CZ59" s="5" t="s">
        <v>806</v>
      </c>
      <c r="DA59" s="5" t="s">
        <v>541</v>
      </c>
      <c r="DB59" s="5">
        <v>3</v>
      </c>
      <c r="DC59" s="5">
        <f>AVERAGE(CY152:CY154)</f>
        <v>7.5992666666666667E-2</v>
      </c>
    </row>
    <row r="60" spans="99:107">
      <c r="CU60" s="5" t="s">
        <v>1150</v>
      </c>
      <c r="CV60" s="5" t="s">
        <v>1118</v>
      </c>
      <c r="CW60" s="5" t="s">
        <v>816</v>
      </c>
      <c r="CX60" s="5" t="s">
        <v>936</v>
      </c>
      <c r="CY60" s="5">
        <v>8.1930000000000003E-2</v>
      </c>
      <c r="CZ60" s="5" t="s">
        <v>806</v>
      </c>
      <c r="DA60" s="5" t="s">
        <v>542</v>
      </c>
      <c r="DB60" s="5">
        <v>1</v>
      </c>
      <c r="DC60" s="5">
        <f>CY156</f>
        <v>6.6562999999999997E-2</v>
      </c>
    </row>
    <row r="61" spans="99:107">
      <c r="CU61" s="61" t="s">
        <v>1114</v>
      </c>
      <c r="CV61" s="5" t="s">
        <v>1151</v>
      </c>
      <c r="CW61" s="5" t="s">
        <v>811</v>
      </c>
      <c r="CX61" s="5" t="s">
        <v>812</v>
      </c>
      <c r="CY61" s="5" t="s">
        <v>1152</v>
      </c>
      <c r="CZ61" s="5" t="s">
        <v>940</v>
      </c>
      <c r="DA61" s="5" t="s">
        <v>543</v>
      </c>
      <c r="DB61" s="5">
        <v>1</v>
      </c>
      <c r="DC61" s="5">
        <f>CY158</f>
        <v>7.2366E-2</v>
      </c>
    </row>
    <row r="62" spans="99:107">
      <c r="CU62" s="5" t="s">
        <v>1153</v>
      </c>
      <c r="CV62" s="5" t="s">
        <v>1118</v>
      </c>
      <c r="CW62" s="5" t="s">
        <v>816</v>
      </c>
      <c r="CX62" s="5" t="s">
        <v>936</v>
      </c>
      <c r="CY62" s="5">
        <v>7.9838000000000006E-2</v>
      </c>
      <c r="CZ62" s="5" t="s">
        <v>806</v>
      </c>
      <c r="DA62" s="5" t="s">
        <v>544</v>
      </c>
      <c r="DB62" s="5">
        <v>2</v>
      </c>
      <c r="DC62" s="5">
        <f>AVERAGE(CY159,CY161)</f>
        <v>7.705999999999999E-2</v>
      </c>
    </row>
    <row r="63" spans="99:107">
      <c r="CU63" s="61" t="s">
        <v>1114</v>
      </c>
      <c r="CV63" s="5" t="s">
        <v>1154</v>
      </c>
      <c r="CW63" s="5" t="s">
        <v>811</v>
      </c>
      <c r="CX63" s="5" t="s">
        <v>812</v>
      </c>
      <c r="CY63" s="5" t="s">
        <v>1155</v>
      </c>
      <c r="CZ63" s="5" t="s">
        <v>940</v>
      </c>
      <c r="DA63" s="5" t="s">
        <v>545</v>
      </c>
      <c r="DB63" s="5">
        <v>4</v>
      </c>
      <c r="DC63" s="5">
        <f>AVERAGE(CY165,CY167,CY169,CY170)</f>
        <v>7.3207999999999995E-2</v>
      </c>
    </row>
    <row r="64" spans="99:107">
      <c r="CU64" s="5" t="s">
        <v>1156</v>
      </c>
      <c r="CV64" s="5" t="s">
        <v>1118</v>
      </c>
      <c r="CW64" s="5" t="s">
        <v>816</v>
      </c>
      <c r="CX64" s="5" t="s">
        <v>936</v>
      </c>
      <c r="CY64" s="5">
        <v>6.3501000000000002E-2</v>
      </c>
      <c r="CZ64" s="5" t="s">
        <v>806</v>
      </c>
      <c r="DA64" s="5" t="s">
        <v>546</v>
      </c>
      <c r="DB64" s="5">
        <v>3</v>
      </c>
      <c r="DC64" s="5">
        <f>AVERAGE(CY172,CY174,CY176)</f>
        <v>7.3430666666666672E-2</v>
      </c>
    </row>
    <row r="65" spans="99:107">
      <c r="CU65" s="5" t="s">
        <v>1157</v>
      </c>
      <c r="CV65" s="5" t="s">
        <v>1118</v>
      </c>
      <c r="CW65" s="5" t="s">
        <v>816</v>
      </c>
      <c r="CX65" s="5" t="s">
        <v>936</v>
      </c>
      <c r="CY65" s="5">
        <v>7.9736000000000001E-2</v>
      </c>
      <c r="CZ65" s="5" t="s">
        <v>806</v>
      </c>
      <c r="DA65" s="5" t="s">
        <v>547</v>
      </c>
      <c r="DB65" s="5">
        <v>1</v>
      </c>
      <c r="DC65" s="5">
        <f>CY178</f>
        <v>7.8795000000000004E-2</v>
      </c>
    </row>
    <row r="66" spans="99:107">
      <c r="CU66" s="61" t="s">
        <v>1114</v>
      </c>
      <c r="CV66" s="5" t="s">
        <v>1158</v>
      </c>
      <c r="CW66" s="5" t="s">
        <v>811</v>
      </c>
      <c r="CX66" s="5" t="s">
        <v>812</v>
      </c>
      <c r="CY66" s="5" t="s">
        <v>1159</v>
      </c>
      <c r="CZ66" s="5" t="s">
        <v>940</v>
      </c>
    </row>
    <row r="67" spans="99:107">
      <c r="CU67" s="5" t="s">
        <v>1160</v>
      </c>
      <c r="CV67" s="5" t="s">
        <v>1118</v>
      </c>
      <c r="CW67" s="5" t="s">
        <v>816</v>
      </c>
      <c r="CX67" s="5" t="s">
        <v>936</v>
      </c>
      <c r="CY67" s="5">
        <v>5.6271000000000002E-2</v>
      </c>
      <c r="CZ67" s="5" t="s">
        <v>806</v>
      </c>
    </row>
    <row r="68" spans="99:107">
      <c r="CU68" s="61" t="s">
        <v>1114</v>
      </c>
      <c r="CV68" s="5" t="s">
        <v>1161</v>
      </c>
      <c r="CW68" s="5" t="s">
        <v>811</v>
      </c>
      <c r="CX68" s="5" t="s">
        <v>812</v>
      </c>
      <c r="CY68" s="5" t="s">
        <v>1162</v>
      </c>
      <c r="CZ68" s="5" t="s">
        <v>940</v>
      </c>
    </row>
    <row r="69" spans="99:107">
      <c r="CU69" s="5" t="s">
        <v>1163</v>
      </c>
      <c r="CV69" s="5" t="s">
        <v>1118</v>
      </c>
      <c r="CW69" s="5" t="s">
        <v>816</v>
      </c>
      <c r="CX69" s="5" t="s">
        <v>936</v>
      </c>
      <c r="CY69" s="5">
        <v>7.9798999999999995E-2</v>
      </c>
      <c r="CZ69" s="5" t="s">
        <v>806</v>
      </c>
    </row>
    <row r="70" spans="99:107">
      <c r="CU70" s="61" t="s">
        <v>1114</v>
      </c>
      <c r="CV70" s="5" t="s">
        <v>1164</v>
      </c>
      <c r="CW70" s="5" t="s">
        <v>811</v>
      </c>
      <c r="CX70" s="5" t="s">
        <v>812</v>
      </c>
      <c r="CY70" s="5" t="s">
        <v>1165</v>
      </c>
      <c r="CZ70" s="5" t="s">
        <v>940</v>
      </c>
    </row>
    <row r="71" spans="99:107">
      <c r="CU71" s="5" t="s">
        <v>1166</v>
      </c>
      <c r="CV71" s="5" t="s">
        <v>1118</v>
      </c>
      <c r="CW71" s="5" t="s">
        <v>816</v>
      </c>
      <c r="CX71" s="5" t="s">
        <v>936</v>
      </c>
      <c r="CY71" s="5">
        <v>8.1592999999999999E-2</v>
      </c>
      <c r="CZ71" s="5" t="s">
        <v>806</v>
      </c>
    </row>
    <row r="72" spans="99:107">
      <c r="CU72" s="5" t="s">
        <v>1167</v>
      </c>
      <c r="CV72" s="5" t="s">
        <v>1118</v>
      </c>
      <c r="CW72" s="5" t="s">
        <v>816</v>
      </c>
      <c r="CX72" s="5" t="s">
        <v>936</v>
      </c>
      <c r="CY72" s="5">
        <v>7.4695999999999999E-2</v>
      </c>
      <c r="CZ72" s="5" t="s">
        <v>806</v>
      </c>
    </row>
    <row r="73" spans="99:107">
      <c r="CU73" s="5" t="s">
        <v>1168</v>
      </c>
      <c r="CV73" s="5" t="s">
        <v>1118</v>
      </c>
      <c r="CW73" s="5" t="s">
        <v>816</v>
      </c>
      <c r="CX73" s="5" t="s">
        <v>936</v>
      </c>
      <c r="CY73" s="5">
        <v>6.6534999999999997E-2</v>
      </c>
      <c r="CZ73" s="5" t="s">
        <v>806</v>
      </c>
    </row>
    <row r="74" spans="99:107">
      <c r="CU74" s="61" t="s">
        <v>1114</v>
      </c>
      <c r="CV74" s="5" t="s">
        <v>1169</v>
      </c>
      <c r="CW74" s="5" t="s">
        <v>811</v>
      </c>
      <c r="CX74" s="5" t="s">
        <v>812</v>
      </c>
      <c r="CY74" s="5" t="s">
        <v>1170</v>
      </c>
      <c r="CZ74" s="5" t="s">
        <v>940</v>
      </c>
    </row>
    <row r="75" spans="99:107">
      <c r="CU75" s="5" t="s">
        <v>1171</v>
      </c>
      <c r="CV75" s="5" t="s">
        <v>1118</v>
      </c>
      <c r="CW75" s="5" t="s">
        <v>816</v>
      </c>
      <c r="CX75" s="5" t="s">
        <v>936</v>
      </c>
      <c r="CY75" s="5">
        <v>7.5375999999999999E-2</v>
      </c>
      <c r="CZ75" s="5" t="s">
        <v>806</v>
      </c>
    </row>
    <row r="76" spans="99:107">
      <c r="CU76" s="61" t="s">
        <v>1114</v>
      </c>
      <c r="CV76" s="5" t="s">
        <v>1172</v>
      </c>
      <c r="CW76" s="5" t="s">
        <v>811</v>
      </c>
      <c r="CX76" s="5" t="s">
        <v>812</v>
      </c>
      <c r="CY76" s="5" t="s">
        <v>1173</v>
      </c>
      <c r="CZ76" s="5" t="s">
        <v>940</v>
      </c>
    </row>
    <row r="77" spans="99:107">
      <c r="CU77" s="5" t="s">
        <v>1174</v>
      </c>
      <c r="CV77" s="5" t="s">
        <v>1118</v>
      </c>
      <c r="CW77" s="5" t="s">
        <v>816</v>
      </c>
      <c r="CX77" s="5" t="s">
        <v>936</v>
      </c>
      <c r="CY77" s="5">
        <v>6.6219E-2</v>
      </c>
      <c r="CZ77" s="5" t="s">
        <v>806</v>
      </c>
    </row>
    <row r="78" spans="99:107">
      <c r="CU78" s="61" t="s">
        <v>1114</v>
      </c>
      <c r="CV78" s="5" t="s">
        <v>1175</v>
      </c>
      <c r="CW78" s="5" t="s">
        <v>811</v>
      </c>
      <c r="CX78" s="5" t="s">
        <v>812</v>
      </c>
      <c r="CY78" s="5" t="s">
        <v>1176</v>
      </c>
      <c r="CZ78" s="5" t="s">
        <v>940</v>
      </c>
    </row>
    <row r="79" spans="99:107">
      <c r="CU79" s="5" t="s">
        <v>1177</v>
      </c>
      <c r="CV79" s="5" t="s">
        <v>1118</v>
      </c>
      <c r="CW79" s="5" t="s">
        <v>816</v>
      </c>
      <c r="CX79" s="5" t="s">
        <v>936</v>
      </c>
      <c r="CY79" s="5">
        <v>5.0866000000000001E-2</v>
      </c>
      <c r="CZ79" s="5" t="s">
        <v>806</v>
      </c>
    </row>
    <row r="80" spans="99:107">
      <c r="CU80" s="61" t="s">
        <v>1114</v>
      </c>
      <c r="CV80" s="5" t="s">
        <v>1178</v>
      </c>
      <c r="CW80" s="5" t="s">
        <v>811</v>
      </c>
      <c r="CX80" s="5" t="s">
        <v>812</v>
      </c>
      <c r="CY80" s="5" t="s">
        <v>1179</v>
      </c>
      <c r="CZ80" s="5" t="s">
        <v>940</v>
      </c>
    </row>
    <row r="81" spans="99:104">
      <c r="CU81" s="5" t="s">
        <v>1180</v>
      </c>
      <c r="CV81" s="5" t="s">
        <v>1118</v>
      </c>
      <c r="CW81" s="5" t="s">
        <v>816</v>
      </c>
      <c r="CX81" s="5" t="s">
        <v>936</v>
      </c>
      <c r="CY81" s="5">
        <v>7.8525999999999999E-2</v>
      </c>
      <c r="CZ81" s="5" t="s">
        <v>806</v>
      </c>
    </row>
    <row r="82" spans="99:104">
      <c r="CU82" s="61" t="s">
        <v>1114</v>
      </c>
      <c r="CV82" s="5" t="s">
        <v>1181</v>
      </c>
      <c r="CW82" s="5" t="s">
        <v>811</v>
      </c>
      <c r="CX82" s="5" t="s">
        <v>812</v>
      </c>
      <c r="CY82" s="5" t="s">
        <v>1182</v>
      </c>
      <c r="CZ82" s="5" t="s">
        <v>940</v>
      </c>
    </row>
    <row r="83" spans="99:104">
      <c r="CU83" s="5" t="s">
        <v>1183</v>
      </c>
      <c r="CV83" s="5" t="s">
        <v>1118</v>
      </c>
      <c r="CW83" s="5" t="s">
        <v>816</v>
      </c>
      <c r="CX83" s="5" t="s">
        <v>936</v>
      </c>
      <c r="CY83" s="5">
        <v>6.7586999999999994E-2</v>
      </c>
      <c r="CZ83" s="5" t="s">
        <v>806</v>
      </c>
    </row>
    <row r="84" spans="99:104">
      <c r="CU84" s="61" t="s">
        <v>1114</v>
      </c>
      <c r="CV84" s="5" t="s">
        <v>1184</v>
      </c>
      <c r="CW84" s="5" t="s">
        <v>811</v>
      </c>
      <c r="CX84" s="5" t="s">
        <v>812</v>
      </c>
      <c r="CY84" s="5" t="s">
        <v>1185</v>
      </c>
      <c r="CZ84" s="5" t="s">
        <v>940</v>
      </c>
    </row>
    <row r="85" spans="99:104">
      <c r="CU85" s="5" t="s">
        <v>1186</v>
      </c>
      <c r="CV85" s="5" t="s">
        <v>1118</v>
      </c>
      <c r="CW85" s="5" t="s">
        <v>816</v>
      </c>
      <c r="CX85" s="5" t="s">
        <v>936</v>
      </c>
      <c r="CY85" s="5">
        <v>7.9028000000000001E-2</v>
      </c>
      <c r="CZ85" s="5" t="s">
        <v>806</v>
      </c>
    </row>
    <row r="86" spans="99:104">
      <c r="CU86" s="61" t="s">
        <v>1114</v>
      </c>
      <c r="CV86" s="5" t="s">
        <v>1187</v>
      </c>
      <c r="CW86" s="5" t="s">
        <v>811</v>
      </c>
      <c r="CX86" s="5" t="s">
        <v>812</v>
      </c>
      <c r="CY86" s="5" t="s">
        <v>1188</v>
      </c>
      <c r="CZ86" s="5" t="s">
        <v>940</v>
      </c>
    </row>
    <row r="87" spans="99:104">
      <c r="CU87" s="5" t="s">
        <v>1189</v>
      </c>
      <c r="CV87" s="5" t="s">
        <v>1118</v>
      </c>
      <c r="CW87" s="5" t="s">
        <v>816</v>
      </c>
      <c r="CX87" s="5" t="s">
        <v>936</v>
      </c>
      <c r="CY87" s="5">
        <v>8.0902000000000002E-2</v>
      </c>
      <c r="CZ87" s="5" t="s">
        <v>806</v>
      </c>
    </row>
    <row r="88" spans="99:104">
      <c r="CU88" s="5" t="s">
        <v>1190</v>
      </c>
      <c r="CV88" s="5" t="s">
        <v>1118</v>
      </c>
      <c r="CW88" s="5" t="s">
        <v>816</v>
      </c>
      <c r="CX88" s="5" t="s">
        <v>486</v>
      </c>
      <c r="CY88" s="5">
        <f xml:space="preserve"> 0.060127</f>
        <v>6.0127E-2</v>
      </c>
      <c r="CZ88" s="5" t="s">
        <v>806</v>
      </c>
    </row>
    <row r="89" spans="99:104">
      <c r="CU89" s="61" t="s">
        <v>1114</v>
      </c>
      <c r="CV89" s="5" t="s">
        <v>1191</v>
      </c>
      <c r="CW89" s="5" t="s">
        <v>1192</v>
      </c>
      <c r="CX89" s="5" t="s">
        <v>1193</v>
      </c>
      <c r="CY89" s="5" t="s">
        <v>1194</v>
      </c>
      <c r="CZ89" s="5" t="s">
        <v>807</v>
      </c>
    </row>
    <row r="90" spans="99:104">
      <c r="CU90" s="5" t="s">
        <v>1195</v>
      </c>
      <c r="CV90" s="5" t="s">
        <v>1118</v>
      </c>
      <c r="CW90" s="5" t="s">
        <v>816</v>
      </c>
      <c r="CX90" s="5" t="s">
        <v>486</v>
      </c>
      <c r="CY90" s="5">
        <f xml:space="preserve"> 0.082172</f>
        <v>8.2171999999999995E-2</v>
      </c>
      <c r="CZ90" s="5" t="s">
        <v>806</v>
      </c>
    </row>
    <row r="91" spans="99:104">
      <c r="CU91" s="5" t="s">
        <v>1196</v>
      </c>
      <c r="CV91" s="5" t="s">
        <v>1118</v>
      </c>
      <c r="CW91" s="5" t="s">
        <v>816</v>
      </c>
      <c r="CX91" s="5" t="s">
        <v>486</v>
      </c>
      <c r="CY91" s="5">
        <f xml:space="preserve"> 0.06996</f>
        <v>6.9959999999999994E-2</v>
      </c>
      <c r="CZ91" s="5" t="s">
        <v>806</v>
      </c>
    </row>
    <row r="92" spans="99:104">
      <c r="CU92" s="61" t="s">
        <v>1114</v>
      </c>
      <c r="CV92" s="5" t="s">
        <v>1197</v>
      </c>
      <c r="CW92" s="5" t="s">
        <v>1198</v>
      </c>
      <c r="CX92" s="5" t="s">
        <v>1193</v>
      </c>
      <c r="CY92" s="5" t="s">
        <v>1199</v>
      </c>
      <c r="CZ92" s="5" t="s">
        <v>807</v>
      </c>
    </row>
    <row r="93" spans="99:104">
      <c r="CU93" s="5" t="s">
        <v>1200</v>
      </c>
      <c r="CV93" s="5" t="s">
        <v>1118</v>
      </c>
      <c r="CW93" s="5" t="s">
        <v>816</v>
      </c>
      <c r="CX93" s="5" t="s">
        <v>486</v>
      </c>
      <c r="CY93" s="5">
        <f xml:space="preserve"> 0.076882</f>
        <v>7.6882000000000006E-2</v>
      </c>
      <c r="CZ93" s="5" t="s">
        <v>806</v>
      </c>
    </row>
    <row r="94" spans="99:104">
      <c r="CU94" s="61" t="s">
        <v>1114</v>
      </c>
      <c r="CV94" s="5" t="s">
        <v>1201</v>
      </c>
      <c r="CW94" s="5" t="s">
        <v>1202</v>
      </c>
      <c r="CX94" s="5" t="s">
        <v>1193</v>
      </c>
      <c r="CY94" s="5" t="s">
        <v>1203</v>
      </c>
      <c r="CZ94" s="5" t="s">
        <v>807</v>
      </c>
    </row>
    <row r="95" spans="99:104">
      <c r="CU95" s="5" t="s">
        <v>1204</v>
      </c>
      <c r="CV95" s="5" t="s">
        <v>1118</v>
      </c>
      <c r="CW95" s="5" t="s">
        <v>816</v>
      </c>
      <c r="CX95" s="5" t="s">
        <v>486</v>
      </c>
      <c r="CY95" s="5">
        <f xml:space="preserve"> 0.06704</f>
        <v>6.7040000000000002E-2</v>
      </c>
      <c r="CZ95" s="5" t="s">
        <v>806</v>
      </c>
    </row>
    <row r="96" spans="99:104">
      <c r="CU96" s="5" t="s">
        <v>1205</v>
      </c>
      <c r="CV96" s="5" t="s">
        <v>1118</v>
      </c>
      <c r="CW96" s="5" t="s">
        <v>816</v>
      </c>
      <c r="CX96" s="5" t="s">
        <v>486</v>
      </c>
      <c r="CY96" s="5">
        <f xml:space="preserve"> 0.07795</f>
        <v>7.7950000000000005E-2</v>
      </c>
      <c r="CZ96" s="5" t="s">
        <v>806</v>
      </c>
    </row>
    <row r="97" spans="99:104">
      <c r="CU97" s="61" t="s">
        <v>1114</v>
      </c>
      <c r="CV97" s="5" t="s">
        <v>1206</v>
      </c>
      <c r="CW97" s="5" t="s">
        <v>1207</v>
      </c>
      <c r="CX97" s="5" t="s">
        <v>1193</v>
      </c>
      <c r="CY97" s="5" t="s">
        <v>1208</v>
      </c>
      <c r="CZ97" s="5" t="s">
        <v>807</v>
      </c>
    </row>
    <row r="98" spans="99:104">
      <c r="CU98" s="5" t="s">
        <v>1209</v>
      </c>
      <c r="CV98" s="5" t="s">
        <v>1118</v>
      </c>
      <c r="CW98" s="5" t="s">
        <v>816</v>
      </c>
      <c r="CX98" s="5" t="s">
        <v>486</v>
      </c>
      <c r="CY98" s="5">
        <f xml:space="preserve"> 0.070332</f>
        <v>7.0332000000000006E-2</v>
      </c>
      <c r="CZ98" s="5" t="s">
        <v>806</v>
      </c>
    </row>
    <row r="99" spans="99:104">
      <c r="CU99" s="5" t="s">
        <v>1210</v>
      </c>
      <c r="CV99" s="5" t="s">
        <v>1118</v>
      </c>
      <c r="CW99" s="5" t="s">
        <v>816</v>
      </c>
      <c r="CX99" s="5" t="s">
        <v>486</v>
      </c>
      <c r="CY99" s="5">
        <f xml:space="preserve"> 0.083784</f>
        <v>8.3783999999999997E-2</v>
      </c>
      <c r="CZ99" s="5" t="s">
        <v>806</v>
      </c>
    </row>
    <row r="100" spans="99:104">
      <c r="CU100" s="61" t="s">
        <v>1114</v>
      </c>
      <c r="CV100" s="5" t="s">
        <v>1211</v>
      </c>
      <c r="CW100" s="5" t="s">
        <v>1212</v>
      </c>
      <c r="CX100" s="5" t="s">
        <v>1193</v>
      </c>
      <c r="CY100" s="5" t="s">
        <v>1213</v>
      </c>
      <c r="CZ100" s="5" t="s">
        <v>807</v>
      </c>
    </row>
    <row r="101" spans="99:104">
      <c r="CU101" s="5" t="s">
        <v>1214</v>
      </c>
      <c r="CV101" s="5" t="s">
        <v>1118</v>
      </c>
      <c r="CW101" s="5" t="s">
        <v>816</v>
      </c>
      <c r="CX101" s="5" t="s">
        <v>486</v>
      </c>
      <c r="CY101" s="5">
        <f xml:space="preserve"> 0.060407</f>
        <v>6.0407000000000002E-2</v>
      </c>
      <c r="CZ101" s="5" t="s">
        <v>806</v>
      </c>
    </row>
    <row r="102" spans="99:104">
      <c r="CU102" s="61" t="s">
        <v>1114</v>
      </c>
      <c r="CV102" s="5" t="s">
        <v>1215</v>
      </c>
      <c r="CW102" s="5" t="s">
        <v>1216</v>
      </c>
      <c r="CX102" s="5" t="s">
        <v>1193</v>
      </c>
      <c r="CY102" s="5" t="s">
        <v>1217</v>
      </c>
      <c r="CZ102" s="5" t="s">
        <v>807</v>
      </c>
    </row>
    <row r="103" spans="99:104">
      <c r="CU103" s="5" t="s">
        <v>1218</v>
      </c>
      <c r="CV103" s="5" t="s">
        <v>1118</v>
      </c>
      <c r="CW103" s="5" t="s">
        <v>816</v>
      </c>
      <c r="CX103" s="5" t="s">
        <v>486</v>
      </c>
      <c r="CY103" s="5">
        <f xml:space="preserve"> 0.081324</f>
        <v>8.1323999999999994E-2</v>
      </c>
      <c r="CZ103" s="5" t="s">
        <v>806</v>
      </c>
    </row>
    <row r="104" spans="99:104">
      <c r="CU104" s="5" t="s">
        <v>1219</v>
      </c>
      <c r="CV104" s="5" t="s">
        <v>1118</v>
      </c>
      <c r="CW104" s="5" t="s">
        <v>816</v>
      </c>
      <c r="CX104" s="5" t="s">
        <v>486</v>
      </c>
      <c r="CY104" s="5">
        <f xml:space="preserve"> 0.077469</f>
        <v>7.7468999999999996E-2</v>
      </c>
      <c r="CZ104" s="5" t="s">
        <v>806</v>
      </c>
    </row>
    <row r="105" spans="99:104">
      <c r="CU105" s="5" t="s">
        <v>1220</v>
      </c>
      <c r="CV105" s="5" t="s">
        <v>1118</v>
      </c>
      <c r="CW105" s="5" t="s">
        <v>816</v>
      </c>
      <c r="CX105" s="5" t="s">
        <v>486</v>
      </c>
      <c r="CY105" s="5">
        <f xml:space="preserve"> 0.072456</f>
        <v>7.2456000000000007E-2</v>
      </c>
      <c r="CZ105" s="5" t="s">
        <v>806</v>
      </c>
    </row>
    <row r="106" spans="99:104">
      <c r="CU106" s="5" t="s">
        <v>1221</v>
      </c>
      <c r="CV106" s="5" t="s">
        <v>1118</v>
      </c>
      <c r="CW106" s="5" t="s">
        <v>816</v>
      </c>
      <c r="CX106" s="5" t="s">
        <v>486</v>
      </c>
      <c r="CY106" s="5">
        <f xml:space="preserve"> 0.078074</f>
        <v>7.8074000000000005E-2</v>
      </c>
      <c r="CZ106" s="5" t="s">
        <v>806</v>
      </c>
    </row>
    <row r="107" spans="99:104">
      <c r="CU107" s="61" t="s">
        <v>1114</v>
      </c>
      <c r="CV107" s="5" t="s">
        <v>1222</v>
      </c>
      <c r="CW107" s="5" t="s">
        <v>1207</v>
      </c>
      <c r="CX107" s="5" t="s">
        <v>1193</v>
      </c>
      <c r="CY107" s="5" t="s">
        <v>1223</v>
      </c>
      <c r="CZ107" s="5" t="s">
        <v>807</v>
      </c>
    </row>
    <row r="108" spans="99:104">
      <c r="CU108" s="5" t="s">
        <v>1224</v>
      </c>
      <c r="CV108" s="5" t="s">
        <v>1118</v>
      </c>
      <c r="CW108" s="5" t="s">
        <v>816</v>
      </c>
      <c r="CX108" s="5" t="s">
        <v>486</v>
      </c>
      <c r="CY108" s="5">
        <f xml:space="preserve"> 0.080055</f>
        <v>8.0055000000000001E-2</v>
      </c>
      <c r="CZ108" s="5" t="s">
        <v>806</v>
      </c>
    </row>
    <row r="109" spans="99:104">
      <c r="CU109" s="61" t="s">
        <v>1114</v>
      </c>
      <c r="CV109" s="5" t="s">
        <v>1225</v>
      </c>
      <c r="CW109" s="5" t="s">
        <v>1192</v>
      </c>
      <c r="CX109" s="5" t="s">
        <v>1193</v>
      </c>
      <c r="CY109" s="5" t="s">
        <v>1226</v>
      </c>
      <c r="CZ109" s="5" t="s">
        <v>807</v>
      </c>
    </row>
    <row r="110" spans="99:104">
      <c r="CU110" s="5" t="s">
        <v>1227</v>
      </c>
      <c r="CV110" s="5" t="s">
        <v>1118</v>
      </c>
      <c r="CW110" s="5" t="s">
        <v>816</v>
      </c>
      <c r="CX110" s="5" t="s">
        <v>486</v>
      </c>
      <c r="CY110" s="5">
        <f xml:space="preserve"> 0.083643</f>
        <v>8.3642999999999995E-2</v>
      </c>
      <c r="CZ110" s="5" t="s">
        <v>806</v>
      </c>
    </row>
    <row r="111" spans="99:104">
      <c r="CU111" s="61" t="s">
        <v>1114</v>
      </c>
      <c r="CV111" s="5" t="s">
        <v>1228</v>
      </c>
      <c r="CW111" s="5" t="s">
        <v>1216</v>
      </c>
      <c r="CX111" s="5" t="s">
        <v>1193</v>
      </c>
      <c r="CY111" s="5" t="s">
        <v>1229</v>
      </c>
      <c r="CZ111" s="5" t="s">
        <v>807</v>
      </c>
    </row>
    <row r="112" spans="99:104">
      <c r="CU112" s="5" t="s">
        <v>1230</v>
      </c>
      <c r="CV112" s="5" t="s">
        <v>1118</v>
      </c>
      <c r="CW112" s="5" t="s">
        <v>816</v>
      </c>
      <c r="CX112" s="5" t="s">
        <v>486</v>
      </c>
      <c r="CY112" s="5">
        <f xml:space="preserve"> 0.087304</f>
        <v>8.7304000000000007E-2</v>
      </c>
      <c r="CZ112" s="5" t="s">
        <v>806</v>
      </c>
    </row>
    <row r="113" spans="99:104">
      <c r="CU113" s="61" t="s">
        <v>1114</v>
      </c>
      <c r="CV113" s="5" t="s">
        <v>1231</v>
      </c>
      <c r="CW113" s="5" t="s">
        <v>1232</v>
      </c>
      <c r="CX113" s="5" t="s">
        <v>1193</v>
      </c>
      <c r="CY113" s="5" t="s">
        <v>1233</v>
      </c>
      <c r="CZ113" s="5" t="s">
        <v>807</v>
      </c>
    </row>
    <row r="114" spans="99:104">
      <c r="CU114" s="5" t="s">
        <v>1234</v>
      </c>
      <c r="CV114" s="5" t="s">
        <v>1118</v>
      </c>
      <c r="CW114" s="5" t="s">
        <v>816</v>
      </c>
      <c r="CX114" s="5" t="s">
        <v>486</v>
      </c>
      <c r="CY114" s="5">
        <f xml:space="preserve"> 0.083493</f>
        <v>8.3492999999999998E-2</v>
      </c>
      <c r="CZ114" s="5" t="s">
        <v>806</v>
      </c>
    </row>
    <row r="115" spans="99:104">
      <c r="CU115" s="5" t="s">
        <v>1235</v>
      </c>
      <c r="CV115" s="5" t="s">
        <v>1118</v>
      </c>
      <c r="CW115" s="5" t="s">
        <v>816</v>
      </c>
      <c r="CX115" s="5" t="s">
        <v>486</v>
      </c>
      <c r="CY115" s="5">
        <f xml:space="preserve"> 0.079055</f>
        <v>7.9055E-2</v>
      </c>
      <c r="CZ115" s="5" t="s">
        <v>806</v>
      </c>
    </row>
    <row r="116" spans="99:104">
      <c r="CU116" s="5" t="s">
        <v>1236</v>
      </c>
      <c r="CV116" s="5" t="s">
        <v>1118</v>
      </c>
      <c r="CW116" s="5" t="s">
        <v>816</v>
      </c>
      <c r="CX116" s="5" t="s">
        <v>486</v>
      </c>
      <c r="CY116" s="5">
        <f xml:space="preserve"> 0.077933</f>
        <v>7.7933000000000002E-2</v>
      </c>
      <c r="CZ116" s="5" t="s">
        <v>806</v>
      </c>
    </row>
    <row r="117" spans="99:104">
      <c r="CU117" s="61" t="s">
        <v>1114</v>
      </c>
      <c r="CV117" s="5" t="s">
        <v>1237</v>
      </c>
      <c r="CW117" s="5" t="s">
        <v>1238</v>
      </c>
      <c r="CX117" s="5" t="s">
        <v>1193</v>
      </c>
      <c r="CY117" s="5" t="s">
        <v>1239</v>
      </c>
      <c r="CZ117" s="5" t="s">
        <v>807</v>
      </c>
    </row>
    <row r="118" spans="99:104">
      <c r="CU118" s="5" t="s">
        <v>1240</v>
      </c>
      <c r="CV118" s="5" t="s">
        <v>1118</v>
      </c>
      <c r="CW118" s="5" t="s">
        <v>816</v>
      </c>
      <c r="CX118" s="5" t="s">
        <v>486</v>
      </c>
      <c r="CY118" s="5">
        <f xml:space="preserve"> 0.070788</f>
        <v>7.0788000000000004E-2</v>
      </c>
      <c r="CZ118" s="5" t="s">
        <v>806</v>
      </c>
    </row>
    <row r="119" spans="99:104">
      <c r="CU119" s="61" t="s">
        <v>1114</v>
      </c>
      <c r="CV119" s="5" t="s">
        <v>1241</v>
      </c>
      <c r="CW119" s="5" t="s">
        <v>1242</v>
      </c>
      <c r="CX119" s="5" t="s">
        <v>1193</v>
      </c>
      <c r="CY119" s="5" t="s">
        <v>1243</v>
      </c>
      <c r="CZ119" s="5" t="s">
        <v>807</v>
      </c>
    </row>
    <row r="120" spans="99:104">
      <c r="CU120" s="5" t="s">
        <v>1244</v>
      </c>
      <c r="CV120" s="5" t="s">
        <v>1118</v>
      </c>
      <c r="CW120" s="5" t="s">
        <v>816</v>
      </c>
      <c r="CX120" s="5" t="s">
        <v>486</v>
      </c>
      <c r="CY120" s="5">
        <f xml:space="preserve"> 0.085733</f>
        <v>8.5733000000000004E-2</v>
      </c>
      <c r="CZ120" s="5" t="s">
        <v>806</v>
      </c>
    </row>
    <row r="121" spans="99:104">
      <c r="CU121" s="61" t="s">
        <v>1114</v>
      </c>
      <c r="CV121" s="5" t="s">
        <v>1245</v>
      </c>
      <c r="CW121" s="5" t="s">
        <v>1232</v>
      </c>
      <c r="CX121" s="5" t="s">
        <v>1193</v>
      </c>
      <c r="CY121" s="5" t="s">
        <v>1246</v>
      </c>
      <c r="CZ121" s="5" t="s">
        <v>807</v>
      </c>
    </row>
    <row r="122" spans="99:104">
      <c r="CU122" s="5" t="s">
        <v>1247</v>
      </c>
      <c r="CV122" s="5" t="s">
        <v>1118</v>
      </c>
      <c r="CW122" s="5" t="s">
        <v>816</v>
      </c>
      <c r="CX122" s="5" t="s">
        <v>486</v>
      </c>
      <c r="CY122" s="5">
        <f xml:space="preserve"> 0.076662</f>
        <v>7.6661999999999994E-2</v>
      </c>
      <c r="CZ122" s="5" t="s">
        <v>806</v>
      </c>
    </row>
    <row r="123" spans="99:104">
      <c r="CU123" s="5" t="s">
        <v>1248</v>
      </c>
      <c r="CV123" s="5" t="s">
        <v>1118</v>
      </c>
      <c r="CW123" s="5" t="s">
        <v>816</v>
      </c>
      <c r="CX123" s="5" t="s">
        <v>486</v>
      </c>
      <c r="CY123" s="5">
        <f xml:space="preserve"> 0.065137</f>
        <v>6.5137E-2</v>
      </c>
      <c r="CZ123" s="5" t="s">
        <v>806</v>
      </c>
    </row>
    <row r="124" spans="99:104">
      <c r="CU124" s="61" t="s">
        <v>1114</v>
      </c>
      <c r="CV124" s="5" t="s">
        <v>1249</v>
      </c>
      <c r="CW124" s="5" t="s">
        <v>1242</v>
      </c>
      <c r="CX124" s="5" t="s">
        <v>1193</v>
      </c>
      <c r="CY124" s="5" t="s">
        <v>1250</v>
      </c>
      <c r="CZ124" s="5" t="s">
        <v>807</v>
      </c>
    </row>
    <row r="125" spans="99:104">
      <c r="CU125" s="5" t="s">
        <v>1251</v>
      </c>
      <c r="CV125" s="5" t="s">
        <v>1118</v>
      </c>
      <c r="CW125" s="5" t="s">
        <v>816</v>
      </c>
      <c r="CX125" s="5" t="s">
        <v>486</v>
      </c>
      <c r="CY125" s="5">
        <f xml:space="preserve"> 0.080766</f>
        <v>8.0766000000000004E-2</v>
      </c>
      <c r="CZ125" s="5" t="s">
        <v>806</v>
      </c>
    </row>
    <row r="126" spans="99:104">
      <c r="CU126" s="61" t="s">
        <v>1114</v>
      </c>
      <c r="CV126" s="5" t="s">
        <v>1252</v>
      </c>
      <c r="CW126" s="5" t="s">
        <v>1238</v>
      </c>
      <c r="CX126" s="5" t="s">
        <v>1193</v>
      </c>
      <c r="CY126" s="5" t="s">
        <v>1253</v>
      </c>
      <c r="CZ126" s="5" t="s">
        <v>807</v>
      </c>
    </row>
    <row r="127" spans="99:104">
      <c r="CU127" s="5" t="s">
        <v>1254</v>
      </c>
      <c r="CV127" s="5" t="s">
        <v>1118</v>
      </c>
      <c r="CW127" s="5" t="s">
        <v>816</v>
      </c>
      <c r="CX127" s="5" t="s">
        <v>486</v>
      </c>
      <c r="CY127" s="5">
        <f xml:space="preserve"> 0.074057</f>
        <v>7.4056999999999998E-2</v>
      </c>
      <c r="CZ127" s="5" t="s">
        <v>806</v>
      </c>
    </row>
    <row r="128" spans="99:104">
      <c r="CU128" s="61" t="s">
        <v>1114</v>
      </c>
      <c r="CV128" s="5" t="s">
        <v>1255</v>
      </c>
      <c r="CW128" s="5" t="s">
        <v>1198</v>
      </c>
      <c r="CX128" s="5" t="s">
        <v>1193</v>
      </c>
      <c r="CY128" s="5" t="s">
        <v>1256</v>
      </c>
      <c r="CZ128" s="5" t="s">
        <v>807</v>
      </c>
    </row>
    <row r="129" spans="99:104">
      <c r="CU129" s="5" t="s">
        <v>1257</v>
      </c>
      <c r="CV129" s="5" t="s">
        <v>1118</v>
      </c>
      <c r="CW129" s="5" t="s">
        <v>816</v>
      </c>
      <c r="CX129" s="5" t="s">
        <v>486</v>
      </c>
      <c r="CY129" s="5">
        <f xml:space="preserve"> 0.059048</f>
        <v>5.9048000000000003E-2</v>
      </c>
      <c r="CZ129" s="5" t="s">
        <v>806</v>
      </c>
    </row>
    <row r="130" spans="99:104">
      <c r="CU130" s="61" t="s">
        <v>1114</v>
      </c>
      <c r="CV130" s="5" t="s">
        <v>1258</v>
      </c>
      <c r="CW130" s="5" t="s">
        <v>1232</v>
      </c>
      <c r="CX130" s="5" t="s">
        <v>1193</v>
      </c>
      <c r="CY130" s="5" t="s">
        <v>1259</v>
      </c>
      <c r="CZ130" s="5" t="s">
        <v>807</v>
      </c>
    </row>
    <row r="131" spans="99:104">
      <c r="CU131" s="5" t="s">
        <v>1260</v>
      </c>
      <c r="CV131" s="5" t="s">
        <v>1118</v>
      </c>
      <c r="CW131" s="5" t="s">
        <v>816</v>
      </c>
      <c r="CX131" s="5" t="s">
        <v>486</v>
      </c>
      <c r="CY131" s="5">
        <f xml:space="preserve"> 0.053582</f>
        <v>5.3581999999999998E-2</v>
      </c>
      <c r="CZ131" s="5" t="s">
        <v>806</v>
      </c>
    </row>
    <row r="132" spans="99:104">
      <c r="CU132" s="61" t="s">
        <v>1114</v>
      </c>
      <c r="CV132" s="5" t="s">
        <v>1261</v>
      </c>
      <c r="CW132" s="5" t="s">
        <v>1216</v>
      </c>
      <c r="CX132" s="5" t="s">
        <v>1193</v>
      </c>
      <c r="CY132" s="5" t="s">
        <v>1262</v>
      </c>
      <c r="CZ132" s="5" t="s">
        <v>807</v>
      </c>
    </row>
    <row r="133" spans="99:104">
      <c r="CU133" s="5" t="s">
        <v>1263</v>
      </c>
      <c r="CV133" s="5" t="s">
        <v>1118</v>
      </c>
      <c r="CW133" s="5" t="s">
        <v>816</v>
      </c>
      <c r="CX133" s="5" t="s">
        <v>486</v>
      </c>
      <c r="CY133" s="5">
        <f xml:space="preserve"> 0.056332</f>
        <v>5.6332E-2</v>
      </c>
      <c r="CZ133" s="5" t="s">
        <v>806</v>
      </c>
    </row>
    <row r="134" spans="99:104">
      <c r="CU134" s="61" t="s">
        <v>1114</v>
      </c>
      <c r="CV134" s="5" t="s">
        <v>1264</v>
      </c>
      <c r="CW134" s="5" t="s">
        <v>1198</v>
      </c>
      <c r="CX134" s="5" t="s">
        <v>1193</v>
      </c>
      <c r="CY134" s="5" t="s">
        <v>1265</v>
      </c>
      <c r="CZ134" s="5" t="s">
        <v>807</v>
      </c>
    </row>
    <row r="135" spans="99:104">
      <c r="CU135" s="5" t="s">
        <v>1266</v>
      </c>
      <c r="CV135" s="5" t="s">
        <v>1118</v>
      </c>
      <c r="CW135" s="5" t="s">
        <v>816</v>
      </c>
      <c r="CX135" s="5" t="s">
        <v>486</v>
      </c>
      <c r="CY135" s="5">
        <f xml:space="preserve"> 0.074138</f>
        <v>7.4137999999999996E-2</v>
      </c>
      <c r="CZ135" s="5" t="s">
        <v>806</v>
      </c>
    </row>
    <row r="136" spans="99:104">
      <c r="CU136" s="61" t="s">
        <v>1114</v>
      </c>
      <c r="CV136" s="5" t="s">
        <v>1267</v>
      </c>
      <c r="CW136" s="5" t="s">
        <v>1207</v>
      </c>
      <c r="CX136" s="5" t="s">
        <v>1193</v>
      </c>
      <c r="CY136" s="5" t="s">
        <v>1268</v>
      </c>
      <c r="CZ136" s="5" t="s">
        <v>807</v>
      </c>
    </row>
    <row r="137" spans="99:104">
      <c r="CU137" s="5" t="s">
        <v>1269</v>
      </c>
      <c r="CV137" s="5" t="s">
        <v>1118</v>
      </c>
      <c r="CW137" s="5" t="s">
        <v>816</v>
      </c>
      <c r="CX137" s="5" t="s">
        <v>486</v>
      </c>
      <c r="CY137" s="5">
        <f xml:space="preserve"> 0.068911</f>
        <v>6.8911E-2</v>
      </c>
      <c r="CZ137" s="5" t="s">
        <v>806</v>
      </c>
    </row>
    <row r="138" spans="99:104">
      <c r="CU138" s="61" t="s">
        <v>1114</v>
      </c>
      <c r="CV138" s="5" t="s">
        <v>1270</v>
      </c>
      <c r="CW138" s="5" t="s">
        <v>1198</v>
      </c>
      <c r="CX138" s="5" t="s">
        <v>1193</v>
      </c>
      <c r="CY138" s="5" t="s">
        <v>1271</v>
      </c>
      <c r="CZ138" s="5" t="s">
        <v>807</v>
      </c>
    </row>
    <row r="139" spans="99:104">
      <c r="CU139" s="5" t="s">
        <v>1272</v>
      </c>
      <c r="CV139" s="5" t="s">
        <v>1118</v>
      </c>
      <c r="CW139" s="5" t="s">
        <v>816</v>
      </c>
      <c r="CX139" s="5" t="s">
        <v>486</v>
      </c>
      <c r="CY139" s="5">
        <f xml:space="preserve"> 0.076454</f>
        <v>7.6453999999999994E-2</v>
      </c>
      <c r="CZ139" s="5" t="s">
        <v>806</v>
      </c>
    </row>
    <row r="140" spans="99:104">
      <c r="CU140" s="5" t="s">
        <v>1273</v>
      </c>
      <c r="CV140" s="5" t="s">
        <v>1118</v>
      </c>
      <c r="CW140" s="5" t="s">
        <v>816</v>
      </c>
      <c r="CX140" s="5" t="s">
        <v>486</v>
      </c>
      <c r="CY140" s="5">
        <f xml:space="preserve"> 0.073057</f>
        <v>7.3056999999999997E-2</v>
      </c>
      <c r="CZ140" s="5" t="s">
        <v>806</v>
      </c>
    </row>
    <row r="141" spans="99:104">
      <c r="CU141" s="61" t="s">
        <v>1114</v>
      </c>
      <c r="CV141" s="5" t="s">
        <v>1274</v>
      </c>
      <c r="CW141" s="5" t="s">
        <v>1238</v>
      </c>
      <c r="CX141" s="5" t="s">
        <v>1193</v>
      </c>
      <c r="CY141" s="5" t="s">
        <v>1275</v>
      </c>
      <c r="CZ141" s="5" t="s">
        <v>807</v>
      </c>
    </row>
    <row r="142" spans="99:104">
      <c r="CU142" s="5" t="s">
        <v>1276</v>
      </c>
      <c r="CV142" s="5" t="s">
        <v>1118</v>
      </c>
      <c r="CW142" s="5" t="s">
        <v>816</v>
      </c>
      <c r="CX142" s="5" t="s">
        <v>486</v>
      </c>
      <c r="CY142" s="5">
        <f xml:space="preserve"> 0.05353</f>
        <v>5.3530000000000001E-2</v>
      </c>
      <c r="CZ142" s="5" t="s">
        <v>806</v>
      </c>
    </row>
    <row r="143" spans="99:104">
      <c r="CU143" s="61" t="s">
        <v>1114</v>
      </c>
      <c r="CV143" s="5" t="s">
        <v>1277</v>
      </c>
      <c r="CW143" s="5" t="s">
        <v>1232</v>
      </c>
      <c r="CX143" s="5" t="s">
        <v>1193</v>
      </c>
      <c r="CY143" s="5" t="s">
        <v>1278</v>
      </c>
      <c r="CZ143" s="5" t="s">
        <v>807</v>
      </c>
    </row>
    <row r="144" spans="99:104">
      <c r="CU144" s="5" t="s">
        <v>1279</v>
      </c>
      <c r="CV144" s="5" t="s">
        <v>1118</v>
      </c>
      <c r="CW144" s="5" t="s">
        <v>816</v>
      </c>
      <c r="CX144" s="5" t="s">
        <v>486</v>
      </c>
      <c r="CY144" s="5">
        <f xml:space="preserve"> 0.052639</f>
        <v>5.2638999999999998E-2</v>
      </c>
      <c r="CZ144" s="5" t="s">
        <v>806</v>
      </c>
    </row>
    <row r="145" spans="99:104">
      <c r="CU145" s="5" t="s">
        <v>1280</v>
      </c>
      <c r="CV145" s="5" t="s">
        <v>1118</v>
      </c>
      <c r="CW145" s="5" t="s">
        <v>816</v>
      </c>
      <c r="CX145" s="5" t="s">
        <v>486</v>
      </c>
      <c r="CY145" s="5">
        <f xml:space="preserve"> 0.075335</f>
        <v>7.5334999999999999E-2</v>
      </c>
      <c r="CZ145" s="5" t="s">
        <v>806</v>
      </c>
    </row>
    <row r="146" spans="99:104">
      <c r="CU146" s="61" t="s">
        <v>1114</v>
      </c>
      <c r="CV146" s="5" t="s">
        <v>1281</v>
      </c>
      <c r="CW146" s="5" t="s">
        <v>1192</v>
      </c>
      <c r="CX146" s="5" t="s">
        <v>1193</v>
      </c>
      <c r="CY146" s="5" t="s">
        <v>1282</v>
      </c>
      <c r="CZ146" s="5" t="s">
        <v>807</v>
      </c>
    </row>
    <row r="147" spans="99:104">
      <c r="CU147" s="5" t="s">
        <v>1283</v>
      </c>
      <c r="CV147" s="5" t="s">
        <v>1118</v>
      </c>
      <c r="CW147" s="5" t="s">
        <v>816</v>
      </c>
      <c r="CX147" s="5" t="s">
        <v>486</v>
      </c>
      <c r="CY147" s="5">
        <f xml:space="preserve"> 0.080626</f>
        <v>8.0626000000000003E-2</v>
      </c>
      <c r="CZ147" s="5" t="s">
        <v>806</v>
      </c>
    </row>
    <row r="148" spans="99:104">
      <c r="CU148" s="5" t="s">
        <v>1284</v>
      </c>
      <c r="CV148" s="5" t="s">
        <v>1118</v>
      </c>
      <c r="CW148" s="5" t="s">
        <v>816</v>
      </c>
      <c r="CX148" s="5" t="s">
        <v>486</v>
      </c>
      <c r="CY148" s="5">
        <f xml:space="preserve"> 0.080609</f>
        <v>8.0609E-2</v>
      </c>
      <c r="CZ148" s="5" t="s">
        <v>806</v>
      </c>
    </row>
    <row r="149" spans="99:104">
      <c r="CU149" s="5" t="s">
        <v>1285</v>
      </c>
      <c r="CV149" s="5" t="s">
        <v>1118</v>
      </c>
      <c r="CW149" s="5" t="s">
        <v>816</v>
      </c>
      <c r="CX149" s="5" t="s">
        <v>486</v>
      </c>
      <c r="CY149" s="5">
        <f xml:space="preserve"> 0.076039</f>
        <v>7.6038999999999995E-2</v>
      </c>
      <c r="CZ149" s="5" t="s">
        <v>806</v>
      </c>
    </row>
    <row r="150" spans="99:104">
      <c r="CU150" s="61" t="s">
        <v>1114</v>
      </c>
      <c r="CV150" s="5" t="s">
        <v>1286</v>
      </c>
      <c r="CW150" s="5" t="s">
        <v>1207</v>
      </c>
      <c r="CX150" s="5" t="s">
        <v>1193</v>
      </c>
      <c r="CY150" s="5" t="s">
        <v>1287</v>
      </c>
      <c r="CZ150" s="5" t="s">
        <v>807</v>
      </c>
    </row>
    <row r="151" spans="99:104">
      <c r="CU151" s="5" t="s">
        <v>1288</v>
      </c>
      <c r="CV151" s="5" t="s">
        <v>1118</v>
      </c>
      <c r="CW151" s="5" t="s">
        <v>816</v>
      </c>
      <c r="CX151" s="5" t="s">
        <v>486</v>
      </c>
      <c r="CY151" s="5">
        <f xml:space="preserve"> 0.066165</f>
        <v>6.6165000000000002E-2</v>
      </c>
      <c r="CZ151" s="5" t="s">
        <v>806</v>
      </c>
    </row>
    <row r="152" spans="99:104">
      <c r="CU152" s="5" t="s">
        <v>1289</v>
      </c>
      <c r="CV152" s="5" t="s">
        <v>1118</v>
      </c>
      <c r="CW152" s="5" t="s">
        <v>816</v>
      </c>
      <c r="CX152" s="5" t="s">
        <v>486</v>
      </c>
      <c r="CY152" s="5">
        <f xml:space="preserve"> 0.087345</f>
        <v>8.7345000000000006E-2</v>
      </c>
      <c r="CZ152" s="5" t="s">
        <v>806</v>
      </c>
    </row>
    <row r="153" spans="99:104">
      <c r="CU153" s="5" t="s">
        <v>1290</v>
      </c>
      <c r="CV153" s="5" t="s">
        <v>1118</v>
      </c>
      <c r="CW153" s="5" t="s">
        <v>816</v>
      </c>
      <c r="CX153" s="5" t="s">
        <v>486</v>
      </c>
      <c r="CY153" s="5">
        <f xml:space="preserve"> 0.07435</f>
        <v>7.4349999999999999E-2</v>
      </c>
      <c r="CZ153" s="5" t="s">
        <v>806</v>
      </c>
    </row>
    <row r="154" spans="99:104">
      <c r="CU154" s="5" t="s">
        <v>1291</v>
      </c>
      <c r="CV154" s="5" t="s">
        <v>1118</v>
      </c>
      <c r="CW154" s="5" t="s">
        <v>816</v>
      </c>
      <c r="CX154" s="5" t="s">
        <v>486</v>
      </c>
      <c r="CY154" s="5">
        <f xml:space="preserve"> 0.066283</f>
        <v>6.6282999999999995E-2</v>
      </c>
      <c r="CZ154" s="5" t="s">
        <v>806</v>
      </c>
    </row>
    <row r="155" spans="99:104">
      <c r="CU155" s="61" t="s">
        <v>1114</v>
      </c>
      <c r="CV155" s="5" t="s">
        <v>1292</v>
      </c>
      <c r="CW155" s="5" t="s">
        <v>1238</v>
      </c>
      <c r="CX155" s="5" t="s">
        <v>1193</v>
      </c>
      <c r="CY155" s="5" t="s">
        <v>1293</v>
      </c>
      <c r="CZ155" s="5" t="s">
        <v>807</v>
      </c>
    </row>
    <row r="156" spans="99:104">
      <c r="CU156" s="5" t="s">
        <v>1294</v>
      </c>
      <c r="CV156" s="5" t="s">
        <v>1118</v>
      </c>
      <c r="CW156" s="5" t="s">
        <v>816</v>
      </c>
      <c r="CX156" s="5" t="s">
        <v>486</v>
      </c>
      <c r="CY156" s="5">
        <f xml:space="preserve"> 0.066563</f>
        <v>6.6562999999999997E-2</v>
      </c>
      <c r="CZ156" s="5" t="s">
        <v>806</v>
      </c>
    </row>
    <row r="157" spans="99:104">
      <c r="CU157" s="61" t="s">
        <v>1114</v>
      </c>
      <c r="CV157" s="5" t="s">
        <v>1295</v>
      </c>
      <c r="CW157" s="5" t="s">
        <v>1207</v>
      </c>
      <c r="CX157" s="5" t="s">
        <v>1193</v>
      </c>
      <c r="CY157" s="5" t="s">
        <v>1296</v>
      </c>
      <c r="CZ157" s="5" t="s">
        <v>807</v>
      </c>
    </row>
    <row r="158" spans="99:104">
      <c r="CU158" s="5" t="s">
        <v>1297</v>
      </c>
      <c r="CV158" s="5" t="s">
        <v>1118</v>
      </c>
      <c r="CW158" s="5" t="s">
        <v>816</v>
      </c>
      <c r="CX158" s="5" t="s">
        <v>486</v>
      </c>
      <c r="CY158" s="5">
        <f xml:space="preserve"> 0.072366</f>
        <v>7.2366E-2</v>
      </c>
      <c r="CZ158" s="5" t="s">
        <v>806</v>
      </c>
    </row>
    <row r="159" spans="99:104">
      <c r="CU159" s="5" t="s">
        <v>1298</v>
      </c>
      <c r="CV159" s="5" t="s">
        <v>1118</v>
      </c>
      <c r="CW159" s="5" t="s">
        <v>816</v>
      </c>
      <c r="CX159" s="5" t="s">
        <v>486</v>
      </c>
      <c r="CY159" s="5">
        <f xml:space="preserve"> 0.070159</f>
        <v>7.0158999999999999E-2</v>
      </c>
      <c r="CZ159" s="5" t="s">
        <v>806</v>
      </c>
    </row>
    <row r="160" spans="99:104">
      <c r="CU160" s="61" t="s">
        <v>1114</v>
      </c>
      <c r="CV160" s="5" t="s">
        <v>1299</v>
      </c>
      <c r="CW160" s="5" t="s">
        <v>1198</v>
      </c>
      <c r="CX160" s="5" t="s">
        <v>1193</v>
      </c>
      <c r="CY160" s="5" t="s">
        <v>1300</v>
      </c>
      <c r="CZ160" s="5" t="s">
        <v>807</v>
      </c>
    </row>
    <row r="161" spans="99:104">
      <c r="CU161" s="5" t="s">
        <v>1301</v>
      </c>
      <c r="CV161" s="5" t="s">
        <v>1118</v>
      </c>
      <c r="CW161" s="5" t="s">
        <v>816</v>
      </c>
      <c r="CX161" s="5" t="s">
        <v>486</v>
      </c>
      <c r="CY161" s="5">
        <f xml:space="preserve"> 0.083961</f>
        <v>8.3960999999999994E-2</v>
      </c>
      <c r="CZ161" s="5" t="s">
        <v>806</v>
      </c>
    </row>
    <row r="162" spans="99:104">
      <c r="CU162" s="61" t="s">
        <v>1114</v>
      </c>
      <c r="CV162" s="5" t="s">
        <v>1302</v>
      </c>
      <c r="CW162" s="5" t="s">
        <v>1207</v>
      </c>
      <c r="CX162" s="5" t="s">
        <v>1193</v>
      </c>
      <c r="CY162" s="5" t="s">
        <v>1303</v>
      </c>
      <c r="CZ162" s="5" t="s">
        <v>807</v>
      </c>
    </row>
    <row r="163" spans="99:104">
      <c r="CU163" s="5" t="s">
        <v>1304</v>
      </c>
      <c r="CV163" s="5" t="s">
        <v>1118</v>
      </c>
      <c r="CW163" s="5" t="s">
        <v>816</v>
      </c>
      <c r="CX163" s="5" t="s">
        <v>486</v>
      </c>
      <c r="CY163" s="5">
        <f xml:space="preserve"> 0.079148</f>
        <v>7.9147999999999996E-2</v>
      </c>
      <c r="CZ163" s="5" t="s">
        <v>806</v>
      </c>
    </row>
    <row r="164" spans="99:104">
      <c r="CU164" s="61" t="s">
        <v>1114</v>
      </c>
      <c r="CV164" s="5" t="s">
        <v>1305</v>
      </c>
      <c r="CW164" s="5" t="s">
        <v>1212</v>
      </c>
      <c r="CX164" s="5" t="s">
        <v>1193</v>
      </c>
      <c r="CY164" s="5" t="s">
        <v>1306</v>
      </c>
      <c r="CZ164" s="5" t="s">
        <v>807</v>
      </c>
    </row>
    <row r="165" spans="99:104">
      <c r="CU165" s="5" t="s">
        <v>1307</v>
      </c>
      <c r="CV165" s="5" t="s">
        <v>1118</v>
      </c>
      <c r="CW165" s="5" t="s">
        <v>816</v>
      </c>
      <c r="CX165" s="5" t="s">
        <v>486</v>
      </c>
      <c r="CY165" s="5">
        <f xml:space="preserve"> 0.083514</f>
        <v>8.3514000000000005E-2</v>
      </c>
      <c r="CZ165" s="5" t="s">
        <v>806</v>
      </c>
    </row>
    <row r="166" spans="99:104">
      <c r="CU166" s="61" t="s">
        <v>1114</v>
      </c>
      <c r="CV166" s="5" t="s">
        <v>1308</v>
      </c>
      <c r="CW166" s="5" t="s">
        <v>1216</v>
      </c>
      <c r="CX166" s="5" t="s">
        <v>1193</v>
      </c>
      <c r="CY166" s="5" t="s">
        <v>1309</v>
      </c>
      <c r="CZ166" s="5" t="s">
        <v>807</v>
      </c>
    </row>
    <row r="167" spans="99:104">
      <c r="CU167" s="5" t="s">
        <v>1310</v>
      </c>
      <c r="CV167" s="5" t="s">
        <v>1118</v>
      </c>
      <c r="CW167" s="5" t="s">
        <v>816</v>
      </c>
      <c r="CX167" s="5" t="s">
        <v>486</v>
      </c>
      <c r="CY167" s="5">
        <f xml:space="preserve"> 0.053532</f>
        <v>5.3532000000000003E-2</v>
      </c>
      <c r="CZ167" s="5" t="s">
        <v>806</v>
      </c>
    </row>
    <row r="168" spans="99:104">
      <c r="CU168" s="61" t="s">
        <v>1114</v>
      </c>
      <c r="CV168" s="5" t="s">
        <v>1311</v>
      </c>
      <c r="CW168" s="5" t="s">
        <v>1242</v>
      </c>
      <c r="CX168" s="5" t="s">
        <v>1193</v>
      </c>
      <c r="CY168" s="5" t="s">
        <v>1312</v>
      </c>
      <c r="CZ168" s="5" t="s">
        <v>807</v>
      </c>
    </row>
    <row r="169" spans="99:104">
      <c r="CU169" s="5" t="s">
        <v>1313</v>
      </c>
      <c r="CV169" s="5" t="s">
        <v>1118</v>
      </c>
      <c r="CW169" s="5" t="s">
        <v>816</v>
      </c>
      <c r="CX169" s="5" t="s">
        <v>486</v>
      </c>
      <c r="CY169" s="5">
        <f xml:space="preserve"> 0.0767</f>
        <v>7.6700000000000004E-2</v>
      </c>
      <c r="CZ169" s="5" t="s">
        <v>806</v>
      </c>
    </row>
    <row r="170" spans="99:104">
      <c r="CU170" s="5" t="s">
        <v>1314</v>
      </c>
      <c r="CV170" s="5" t="s">
        <v>1118</v>
      </c>
      <c r="CW170" s="5" t="s">
        <v>816</v>
      </c>
      <c r="CX170" s="5" t="s">
        <v>486</v>
      </c>
      <c r="CY170" s="5">
        <f xml:space="preserve"> 0.079086</f>
        <v>7.9086000000000004E-2</v>
      </c>
      <c r="CZ170" s="5" t="s">
        <v>806</v>
      </c>
    </row>
    <row r="171" spans="99:104">
      <c r="CU171" s="61" t="s">
        <v>1114</v>
      </c>
      <c r="CV171" s="5" t="s">
        <v>1315</v>
      </c>
      <c r="CW171" s="5" t="s">
        <v>1212</v>
      </c>
      <c r="CX171" s="5" t="s">
        <v>1193</v>
      </c>
      <c r="CY171" s="5" t="s">
        <v>1316</v>
      </c>
      <c r="CZ171" s="5" t="s">
        <v>807</v>
      </c>
    </row>
    <row r="172" spans="99:104">
      <c r="CU172" s="5" t="s">
        <v>1317</v>
      </c>
      <c r="CV172" s="5" t="s">
        <v>1118</v>
      </c>
      <c r="CW172" s="5" t="s">
        <v>816</v>
      </c>
      <c r="CX172" s="5" t="s">
        <v>486</v>
      </c>
      <c r="CY172" s="5">
        <f xml:space="preserve"> 0.057178</f>
        <v>5.7178E-2</v>
      </c>
      <c r="CZ172" s="5" t="s">
        <v>806</v>
      </c>
    </row>
    <row r="173" spans="99:104">
      <c r="CU173" s="61" t="s">
        <v>1114</v>
      </c>
      <c r="CV173" s="5" t="s">
        <v>1318</v>
      </c>
      <c r="CW173" s="5" t="s">
        <v>1216</v>
      </c>
      <c r="CX173" s="5" t="s">
        <v>1193</v>
      </c>
      <c r="CY173" s="5" t="s">
        <v>1319</v>
      </c>
      <c r="CZ173" s="5" t="s">
        <v>807</v>
      </c>
    </row>
    <row r="174" spans="99:104">
      <c r="CU174" s="5" t="s">
        <v>1320</v>
      </c>
      <c r="CV174" s="5" t="s">
        <v>1118</v>
      </c>
      <c r="CW174" s="5" t="s">
        <v>816</v>
      </c>
      <c r="CX174" s="5" t="s">
        <v>486</v>
      </c>
      <c r="CY174" s="5">
        <f xml:space="preserve"> 0.087813</f>
        <v>8.7813000000000002E-2</v>
      </c>
      <c r="CZ174" s="5" t="s">
        <v>806</v>
      </c>
    </row>
    <row r="175" spans="99:104">
      <c r="CU175" s="61" t="s">
        <v>1114</v>
      </c>
      <c r="CV175" s="5" t="s">
        <v>1321</v>
      </c>
      <c r="CW175" s="5" t="s">
        <v>1207</v>
      </c>
      <c r="CX175" s="5" t="s">
        <v>1193</v>
      </c>
      <c r="CY175" s="5" t="s">
        <v>1322</v>
      </c>
      <c r="CZ175" s="5" t="s">
        <v>807</v>
      </c>
    </row>
    <row r="176" spans="99:104">
      <c r="CU176" s="5" t="s">
        <v>1323</v>
      </c>
      <c r="CV176" s="5" t="s">
        <v>1118</v>
      </c>
      <c r="CW176" s="5" t="s">
        <v>816</v>
      </c>
      <c r="CX176" s="5" t="s">
        <v>486</v>
      </c>
      <c r="CY176" s="5">
        <f xml:space="preserve"> 0.075301</f>
        <v>7.5301000000000007E-2</v>
      </c>
      <c r="CZ176" s="5" t="s">
        <v>806</v>
      </c>
    </row>
    <row r="177" spans="99:104">
      <c r="CU177" s="61" t="s">
        <v>1114</v>
      </c>
      <c r="CV177" s="5" t="s">
        <v>1324</v>
      </c>
      <c r="CW177" s="5" t="s">
        <v>1238</v>
      </c>
      <c r="CX177" s="5" t="s">
        <v>1193</v>
      </c>
      <c r="CY177" s="5" t="s">
        <v>1325</v>
      </c>
      <c r="CZ177" s="5" t="s">
        <v>807</v>
      </c>
    </row>
    <row r="178" spans="99:104">
      <c r="CU178" s="5" t="s">
        <v>1326</v>
      </c>
      <c r="CV178" s="5" t="s">
        <v>1118</v>
      </c>
      <c r="CW178" s="5" t="s">
        <v>816</v>
      </c>
      <c r="CX178" s="5" t="s">
        <v>486</v>
      </c>
      <c r="CY178" s="5">
        <f xml:space="preserve"> 0.078795</f>
        <v>7.8795000000000004E-2</v>
      </c>
      <c r="CZ178" s="5" t="s">
        <v>806</v>
      </c>
    </row>
    <row r="179" spans="99:104">
      <c r="CU179" s="61" t="s">
        <v>1114</v>
      </c>
      <c r="CV179" s="5" t="s">
        <v>1327</v>
      </c>
      <c r="CW179" s="5" t="s">
        <v>1232</v>
      </c>
      <c r="CX179" s="5" t="s">
        <v>1193</v>
      </c>
      <c r="CY179" s="5" t="s">
        <v>1328</v>
      </c>
      <c r="CZ179" s="5" t="s">
        <v>807</v>
      </c>
    </row>
  </sheetData>
  <mergeCells count="6">
    <mergeCell ref="A1:M1"/>
    <mergeCell ref="CV1:CY1"/>
    <mergeCell ref="DA1:GC1"/>
    <mergeCell ref="T1:CT1"/>
    <mergeCell ref="CV35:CY35"/>
    <mergeCell ref="N33:Z3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HQ132"/>
  <sheetViews>
    <sheetView workbookViewId="0">
      <selection activeCell="A2" sqref="A2"/>
    </sheetView>
  </sheetViews>
  <sheetFormatPr defaultColWidth="15.7109375" defaultRowHeight="15"/>
  <cols>
    <col min="1" max="1" width="5.42578125" style="5" customWidth="1"/>
    <col min="2" max="120" width="15.7109375" style="5"/>
    <col min="121" max="121" width="18.140625" style="5" customWidth="1"/>
    <col min="122" max="16384" width="15.7109375" style="5"/>
  </cols>
  <sheetData>
    <row r="1" spans="1:225" ht="29.25" customHeight="1">
      <c r="A1" s="80" t="s">
        <v>1509</v>
      </c>
      <c r="B1" s="80"/>
      <c r="C1" s="80"/>
      <c r="D1" s="80"/>
      <c r="E1" s="80"/>
      <c r="F1" s="80"/>
      <c r="G1" s="80"/>
      <c r="H1" s="80"/>
      <c r="I1" s="80"/>
      <c r="J1" s="80"/>
      <c r="K1" s="80"/>
      <c r="L1" s="80"/>
      <c r="M1" s="80"/>
      <c r="T1" s="81" t="s">
        <v>1500</v>
      </c>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42"/>
      <c r="CV1" s="42"/>
      <c r="CW1" s="42"/>
      <c r="CX1" s="42"/>
      <c r="CY1" s="42"/>
      <c r="CZ1" s="42"/>
      <c r="DA1" s="42"/>
      <c r="DB1" s="42"/>
      <c r="DC1" s="42"/>
      <c r="DD1" s="42"/>
      <c r="DE1" s="42"/>
      <c r="DF1" s="42"/>
      <c r="DG1" s="42"/>
      <c r="DH1" s="42"/>
      <c r="DI1" s="42"/>
      <c r="DJ1" s="42"/>
      <c r="DK1" s="42"/>
      <c r="DL1" s="42"/>
      <c r="DM1" s="42"/>
      <c r="DN1" s="42"/>
      <c r="DO1" s="69"/>
      <c r="DP1" s="83" t="s">
        <v>505</v>
      </c>
      <c r="DQ1" s="83"/>
      <c r="DR1" s="83"/>
      <c r="DS1" s="83"/>
      <c r="DT1" s="69"/>
      <c r="DU1" s="87" t="s">
        <v>517</v>
      </c>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9"/>
      <c r="GX1" s="42"/>
      <c r="GY1" s="42"/>
      <c r="GZ1" s="42"/>
      <c r="HA1" s="42"/>
      <c r="HB1" s="42"/>
      <c r="HC1" s="42"/>
      <c r="HD1" s="42"/>
      <c r="HE1" s="42"/>
      <c r="HF1" s="42"/>
      <c r="HG1" s="42"/>
      <c r="HH1" s="42"/>
      <c r="HI1" s="42"/>
      <c r="HJ1" s="42"/>
      <c r="HK1" s="42"/>
      <c r="HL1" s="42"/>
      <c r="HM1" s="42"/>
      <c r="HN1" s="42"/>
      <c r="HO1" s="42"/>
      <c r="HP1" s="42"/>
      <c r="HQ1" s="42"/>
    </row>
    <row r="2" spans="1:225" ht="31.5" customHeight="1">
      <c r="A2" s="6" t="s">
        <v>135</v>
      </c>
      <c r="B2" s="7" t="s">
        <v>137</v>
      </c>
      <c r="C2" s="7" t="s">
        <v>151</v>
      </c>
      <c r="D2" s="6" t="s">
        <v>136</v>
      </c>
      <c r="E2" s="7" t="s">
        <v>138</v>
      </c>
      <c r="F2" s="6" t="s">
        <v>139</v>
      </c>
      <c r="G2" s="6" t="s">
        <v>158</v>
      </c>
      <c r="H2" s="7" t="s">
        <v>154</v>
      </c>
      <c r="I2" s="6" t="s">
        <v>153</v>
      </c>
      <c r="J2" s="6" t="s">
        <v>155</v>
      </c>
      <c r="K2" s="7" t="s">
        <v>156</v>
      </c>
      <c r="L2" s="6" t="s">
        <v>157</v>
      </c>
      <c r="M2" s="6" t="s">
        <v>159</v>
      </c>
      <c r="N2" s="7" t="s">
        <v>882</v>
      </c>
      <c r="O2" s="7" t="s">
        <v>152</v>
      </c>
      <c r="P2" s="7" t="s">
        <v>160</v>
      </c>
      <c r="Q2" s="7" t="s">
        <v>161</v>
      </c>
      <c r="R2" s="7" t="s">
        <v>162</v>
      </c>
      <c r="S2" s="21"/>
      <c r="T2" s="70" t="s">
        <v>140</v>
      </c>
      <c r="U2" s="70" t="s">
        <v>141</v>
      </c>
      <c r="V2" s="70" t="s">
        <v>142</v>
      </c>
      <c r="W2" s="70" t="s">
        <v>143</v>
      </c>
      <c r="X2" s="70" t="s">
        <v>145</v>
      </c>
      <c r="Y2" s="70" t="s">
        <v>146</v>
      </c>
      <c r="Z2" s="70" t="s">
        <v>147</v>
      </c>
      <c r="AA2" s="70" t="s">
        <v>148</v>
      </c>
      <c r="AB2" s="70" t="s">
        <v>149</v>
      </c>
      <c r="AC2" s="70" t="s">
        <v>786</v>
      </c>
      <c r="AD2" s="70" t="s">
        <v>787</v>
      </c>
      <c r="AE2" s="70" t="s">
        <v>788</v>
      </c>
      <c r="AF2" s="70" t="s">
        <v>789</v>
      </c>
      <c r="AG2" s="70" t="s">
        <v>790</v>
      </c>
      <c r="AH2" s="70" t="s">
        <v>791</v>
      </c>
      <c r="AI2" s="70" t="s">
        <v>792</v>
      </c>
      <c r="AJ2" s="70" t="s">
        <v>793</v>
      </c>
      <c r="AK2" s="70" t="s">
        <v>794</v>
      </c>
      <c r="AL2" s="70" t="s">
        <v>795</v>
      </c>
      <c r="AM2" s="70" t="s">
        <v>842</v>
      </c>
      <c r="AN2" s="70" t="s">
        <v>843</v>
      </c>
      <c r="AO2" s="70" t="s">
        <v>844</v>
      </c>
      <c r="AP2" s="70" t="s">
        <v>845</v>
      </c>
      <c r="AQ2" s="70" t="s">
        <v>846</v>
      </c>
      <c r="AR2" s="70" t="s">
        <v>847</v>
      </c>
      <c r="AS2" s="70" t="s">
        <v>848</v>
      </c>
      <c r="AT2" s="70" t="s">
        <v>849</v>
      </c>
      <c r="AU2" s="70" t="s">
        <v>850</v>
      </c>
      <c r="AV2" s="70" t="s">
        <v>851</v>
      </c>
      <c r="AW2" s="70" t="s">
        <v>852</v>
      </c>
      <c r="AX2" s="70" t="s">
        <v>853</v>
      </c>
      <c r="AY2" s="70" t="s">
        <v>854</v>
      </c>
      <c r="AZ2" s="70" t="s">
        <v>855</v>
      </c>
      <c r="BA2" s="70" t="s">
        <v>856</v>
      </c>
      <c r="BB2" s="70" t="s">
        <v>857</v>
      </c>
      <c r="BC2" s="70" t="s">
        <v>858</v>
      </c>
      <c r="BD2" s="70" t="s">
        <v>859</v>
      </c>
      <c r="BE2" s="70" t="s">
        <v>860</v>
      </c>
      <c r="BF2" s="70" t="s">
        <v>861</v>
      </c>
      <c r="BG2" s="70" t="s">
        <v>889</v>
      </c>
      <c r="BH2" s="70" t="s">
        <v>890</v>
      </c>
      <c r="BI2" s="70" t="s">
        <v>891</v>
      </c>
      <c r="BJ2" s="70" t="s">
        <v>892</v>
      </c>
      <c r="BK2" s="70" t="s">
        <v>893</v>
      </c>
      <c r="BL2" s="70" t="s">
        <v>894</v>
      </c>
      <c r="BM2" s="70" t="s">
        <v>895</v>
      </c>
      <c r="BN2" s="70" t="s">
        <v>896</v>
      </c>
      <c r="BO2" s="70" t="s">
        <v>897</v>
      </c>
      <c r="BP2" s="70" t="s">
        <v>898</v>
      </c>
      <c r="BQ2" s="70" t="s">
        <v>899</v>
      </c>
      <c r="BR2" s="70" t="s">
        <v>900</v>
      </c>
      <c r="BS2" s="70" t="s">
        <v>901</v>
      </c>
      <c r="BT2" s="70" t="s">
        <v>902</v>
      </c>
      <c r="BU2" s="70" t="s">
        <v>903</v>
      </c>
      <c r="BV2" s="70" t="s">
        <v>904</v>
      </c>
      <c r="BW2" s="70" t="s">
        <v>905</v>
      </c>
      <c r="BX2" s="70" t="s">
        <v>906</v>
      </c>
      <c r="BY2" s="70" t="s">
        <v>907</v>
      </c>
      <c r="BZ2" s="70" t="s">
        <v>908</v>
      </c>
      <c r="CA2" s="70" t="s">
        <v>1074</v>
      </c>
      <c r="CB2" s="70" t="s">
        <v>1075</v>
      </c>
      <c r="CC2" s="70" t="s">
        <v>1076</v>
      </c>
      <c r="CD2" s="70" t="s">
        <v>1077</v>
      </c>
      <c r="CE2" s="70" t="s">
        <v>1078</v>
      </c>
      <c r="CF2" s="70" t="s">
        <v>1079</v>
      </c>
      <c r="CG2" s="70" t="s">
        <v>1080</v>
      </c>
      <c r="CH2" s="70" t="s">
        <v>1081</v>
      </c>
      <c r="CI2" s="70" t="s">
        <v>1082</v>
      </c>
      <c r="CJ2" s="70" t="s">
        <v>1083</v>
      </c>
      <c r="CK2" s="70" t="s">
        <v>1084</v>
      </c>
      <c r="CL2" s="70" t="s">
        <v>1085</v>
      </c>
      <c r="CM2" s="70" t="s">
        <v>1086</v>
      </c>
      <c r="CN2" s="70" t="s">
        <v>1087</v>
      </c>
      <c r="CO2" s="70" t="s">
        <v>1088</v>
      </c>
      <c r="CP2" s="70" t="s">
        <v>1089</v>
      </c>
      <c r="CQ2" s="70" t="s">
        <v>1090</v>
      </c>
      <c r="CR2" s="70" t="s">
        <v>1091</v>
      </c>
      <c r="CS2" s="70" t="s">
        <v>1092</v>
      </c>
      <c r="CT2" s="70" t="s">
        <v>1093</v>
      </c>
      <c r="CU2" s="70" t="s">
        <v>1352</v>
      </c>
      <c r="CV2" s="70" t="s">
        <v>1353</v>
      </c>
      <c r="CW2" s="70" t="s">
        <v>1354</v>
      </c>
      <c r="CX2" s="70" t="s">
        <v>1355</v>
      </c>
      <c r="CY2" s="70" t="s">
        <v>1356</v>
      </c>
      <c r="CZ2" s="70" t="s">
        <v>1357</v>
      </c>
      <c r="DA2" s="70" t="s">
        <v>1358</v>
      </c>
      <c r="DB2" s="70" t="s">
        <v>1359</v>
      </c>
      <c r="DC2" s="70" t="s">
        <v>1360</v>
      </c>
      <c r="DD2" s="70" t="s">
        <v>1361</v>
      </c>
      <c r="DE2" s="70" t="s">
        <v>1362</v>
      </c>
      <c r="DF2" s="70" t="s">
        <v>1363</v>
      </c>
      <c r="DG2" s="70" t="s">
        <v>1364</v>
      </c>
      <c r="DH2" s="70" t="s">
        <v>1365</v>
      </c>
      <c r="DI2" s="70" t="s">
        <v>1366</v>
      </c>
      <c r="DJ2" s="70" t="s">
        <v>1367</v>
      </c>
      <c r="DK2" s="70" t="s">
        <v>1368</v>
      </c>
      <c r="DL2" s="70" t="s">
        <v>1369</v>
      </c>
      <c r="DM2" s="70" t="s">
        <v>1370</v>
      </c>
      <c r="DN2" s="70" t="s">
        <v>1371</v>
      </c>
      <c r="DO2" s="69"/>
      <c r="DP2" s="71" t="s">
        <v>838</v>
      </c>
      <c r="DQ2" s="70" t="s">
        <v>1071</v>
      </c>
      <c r="DR2" s="71" t="s">
        <v>486</v>
      </c>
      <c r="DS2" s="71" t="s">
        <v>886</v>
      </c>
      <c r="DT2" s="69"/>
      <c r="DU2" s="71" t="s">
        <v>515</v>
      </c>
      <c r="DV2" s="71" t="s">
        <v>516</v>
      </c>
      <c r="DW2" s="70" t="s">
        <v>549</v>
      </c>
      <c r="DX2" s="70" t="s">
        <v>550</v>
      </c>
      <c r="DY2" s="70" t="s">
        <v>551</v>
      </c>
      <c r="DZ2" s="70" t="s">
        <v>552</v>
      </c>
      <c r="EA2" s="70" t="s">
        <v>553</v>
      </c>
      <c r="EB2" s="70" t="s">
        <v>554</v>
      </c>
      <c r="EC2" s="70" t="s">
        <v>555</v>
      </c>
      <c r="ED2" s="70" t="s">
        <v>556</v>
      </c>
      <c r="EE2" s="70" t="s">
        <v>557</v>
      </c>
      <c r="EF2" s="70" t="s">
        <v>796</v>
      </c>
      <c r="EG2" s="70" t="s">
        <v>797</v>
      </c>
      <c r="EH2" s="70" t="s">
        <v>798</v>
      </c>
      <c r="EI2" s="70" t="s">
        <v>799</v>
      </c>
      <c r="EJ2" s="70" t="s">
        <v>800</v>
      </c>
      <c r="EK2" s="70" t="s">
        <v>801</v>
      </c>
      <c r="EL2" s="70" t="s">
        <v>802</v>
      </c>
      <c r="EM2" s="70" t="s">
        <v>803</v>
      </c>
      <c r="EN2" s="70" t="s">
        <v>804</v>
      </c>
      <c r="EO2" s="70" t="s">
        <v>805</v>
      </c>
      <c r="EP2" s="70" t="s">
        <v>862</v>
      </c>
      <c r="EQ2" s="70" t="s">
        <v>863</v>
      </c>
      <c r="ER2" s="70" t="s">
        <v>864</v>
      </c>
      <c r="ES2" s="70" t="s">
        <v>865</v>
      </c>
      <c r="ET2" s="70" t="s">
        <v>866</v>
      </c>
      <c r="EU2" s="70" t="s">
        <v>867</v>
      </c>
      <c r="EV2" s="70" t="s">
        <v>868</v>
      </c>
      <c r="EW2" s="70" t="s">
        <v>869</v>
      </c>
      <c r="EX2" s="70" t="s">
        <v>870</v>
      </c>
      <c r="EY2" s="70" t="s">
        <v>871</v>
      </c>
      <c r="EZ2" s="70" t="s">
        <v>872</v>
      </c>
      <c r="FA2" s="70" t="s">
        <v>873</v>
      </c>
      <c r="FB2" s="70" t="s">
        <v>874</v>
      </c>
      <c r="FC2" s="70" t="s">
        <v>875</v>
      </c>
      <c r="FD2" s="70" t="s">
        <v>876</v>
      </c>
      <c r="FE2" s="70" t="s">
        <v>877</v>
      </c>
      <c r="FF2" s="70" t="s">
        <v>878</v>
      </c>
      <c r="FG2" s="70" t="s">
        <v>879</v>
      </c>
      <c r="FH2" s="70" t="s">
        <v>880</v>
      </c>
      <c r="FI2" s="70" t="s">
        <v>881</v>
      </c>
      <c r="FJ2" s="70" t="s">
        <v>909</v>
      </c>
      <c r="FK2" s="70" t="s">
        <v>910</v>
      </c>
      <c r="FL2" s="70" t="s">
        <v>911</v>
      </c>
      <c r="FM2" s="70" t="s">
        <v>912</v>
      </c>
      <c r="FN2" s="70" t="s">
        <v>913</v>
      </c>
      <c r="FO2" s="70" t="s">
        <v>914</v>
      </c>
      <c r="FP2" s="70" t="s">
        <v>915</v>
      </c>
      <c r="FQ2" s="70" t="s">
        <v>916</v>
      </c>
      <c r="FR2" s="70" t="s">
        <v>917</v>
      </c>
      <c r="FS2" s="70" t="s">
        <v>918</v>
      </c>
      <c r="FT2" s="70" t="s">
        <v>919</v>
      </c>
      <c r="FU2" s="70" t="s">
        <v>920</v>
      </c>
      <c r="FV2" s="70" t="s">
        <v>921</v>
      </c>
      <c r="FW2" s="70" t="s">
        <v>922</v>
      </c>
      <c r="FX2" s="70" t="s">
        <v>923</v>
      </c>
      <c r="FY2" s="70" t="s">
        <v>924</v>
      </c>
      <c r="FZ2" s="70" t="s">
        <v>925</v>
      </c>
      <c r="GA2" s="70" t="s">
        <v>926</v>
      </c>
      <c r="GB2" s="70" t="s">
        <v>927</v>
      </c>
      <c r="GC2" s="70" t="s">
        <v>928</v>
      </c>
      <c r="GD2" s="70" t="s">
        <v>1094</v>
      </c>
      <c r="GE2" s="70" t="s">
        <v>1095</v>
      </c>
      <c r="GF2" s="70" t="s">
        <v>1096</v>
      </c>
      <c r="GG2" s="70" t="s">
        <v>1097</v>
      </c>
      <c r="GH2" s="70" t="s">
        <v>1098</v>
      </c>
      <c r="GI2" s="70" t="s">
        <v>1099</v>
      </c>
      <c r="GJ2" s="70" t="s">
        <v>1100</v>
      </c>
      <c r="GK2" s="70" t="s">
        <v>1101</v>
      </c>
      <c r="GL2" s="70" t="s">
        <v>1102</v>
      </c>
      <c r="GM2" s="70" t="s">
        <v>1103</v>
      </c>
      <c r="GN2" s="70" t="s">
        <v>1104</v>
      </c>
      <c r="GO2" s="70" t="s">
        <v>1105</v>
      </c>
      <c r="GP2" s="70" t="s">
        <v>1106</v>
      </c>
      <c r="GQ2" s="70" t="s">
        <v>1107</v>
      </c>
      <c r="GR2" s="70" t="s">
        <v>1108</v>
      </c>
      <c r="GS2" s="70" t="s">
        <v>1109</v>
      </c>
      <c r="GT2" s="70" t="s">
        <v>1110</v>
      </c>
      <c r="GU2" s="70" t="s">
        <v>1111</v>
      </c>
      <c r="GV2" s="70" t="s">
        <v>1112</v>
      </c>
      <c r="GW2" s="70" t="s">
        <v>1113</v>
      </c>
      <c r="GX2" s="70" t="s">
        <v>1332</v>
      </c>
      <c r="GY2" s="70" t="s">
        <v>1333</v>
      </c>
      <c r="GZ2" s="70" t="s">
        <v>1334</v>
      </c>
      <c r="HA2" s="70" t="s">
        <v>1335</v>
      </c>
      <c r="HB2" s="70" t="s">
        <v>1336</v>
      </c>
      <c r="HC2" s="70" t="s">
        <v>1337</v>
      </c>
      <c r="HD2" s="70" t="s">
        <v>1338</v>
      </c>
      <c r="HE2" s="70" t="s">
        <v>1339</v>
      </c>
      <c r="HF2" s="70" t="s">
        <v>1340</v>
      </c>
      <c r="HG2" s="70" t="s">
        <v>1341</v>
      </c>
      <c r="HH2" s="70" t="s">
        <v>1342</v>
      </c>
      <c r="HI2" s="70" t="s">
        <v>1343</v>
      </c>
      <c r="HJ2" s="70" t="s">
        <v>1344</v>
      </c>
      <c r="HK2" s="70" t="s">
        <v>1345</v>
      </c>
      <c r="HL2" s="70" t="s">
        <v>1346</v>
      </c>
      <c r="HM2" s="70" t="s">
        <v>1347</v>
      </c>
      <c r="HN2" s="70" t="s">
        <v>1348</v>
      </c>
      <c r="HO2" s="70" t="s">
        <v>1349</v>
      </c>
      <c r="HP2" s="70" t="s">
        <v>1350</v>
      </c>
      <c r="HQ2" s="70" t="s">
        <v>1351</v>
      </c>
    </row>
    <row r="3" spans="1:225">
      <c r="A3" s="69">
        <v>1</v>
      </c>
      <c r="B3" s="13">
        <v>10</v>
      </c>
      <c r="C3" s="5">
        <v>0</v>
      </c>
      <c r="D3" s="5">
        <f>C3/B3*100</f>
        <v>0</v>
      </c>
      <c r="E3" s="75">
        <v>0</v>
      </c>
      <c r="F3" s="60">
        <v>0</v>
      </c>
      <c r="G3" s="60">
        <f>(F3+D3)/2</f>
        <v>0</v>
      </c>
      <c r="H3" s="13">
        <v>10</v>
      </c>
      <c r="I3" s="5">
        <v>0</v>
      </c>
      <c r="J3" s="5">
        <f>I3/H3*100</f>
        <v>0</v>
      </c>
      <c r="K3" s="60">
        <v>0</v>
      </c>
      <c r="L3" s="60">
        <v>0</v>
      </c>
      <c r="M3" s="60">
        <f>(J3+L3)/2</f>
        <v>0</v>
      </c>
      <c r="N3" s="5">
        <v>0</v>
      </c>
      <c r="O3" s="7">
        <v>0</v>
      </c>
      <c r="P3" s="7">
        <v>0</v>
      </c>
      <c r="Q3" s="5">
        <v>0</v>
      </c>
      <c r="R3" s="5">
        <v>0</v>
      </c>
      <c r="T3" s="60">
        <v>0</v>
      </c>
      <c r="U3" s="60">
        <v>0</v>
      </c>
      <c r="V3" s="60">
        <v>0</v>
      </c>
      <c r="W3" s="60">
        <v>0</v>
      </c>
      <c r="X3" s="60">
        <v>0</v>
      </c>
      <c r="Y3" s="60">
        <v>0</v>
      </c>
      <c r="Z3" s="60">
        <v>0</v>
      </c>
      <c r="AA3" s="60">
        <v>0</v>
      </c>
      <c r="AB3" s="60">
        <v>0</v>
      </c>
      <c r="AC3" s="60">
        <v>0</v>
      </c>
      <c r="AD3" s="60">
        <v>0</v>
      </c>
      <c r="AE3" s="60">
        <v>0</v>
      </c>
      <c r="AF3" s="60">
        <v>0</v>
      </c>
      <c r="AG3" s="60">
        <v>0</v>
      </c>
      <c r="AH3" s="60">
        <v>0</v>
      </c>
      <c r="AI3" s="60">
        <v>0</v>
      </c>
      <c r="AJ3" s="60">
        <v>0</v>
      </c>
      <c r="AK3" s="60">
        <v>0</v>
      </c>
      <c r="AL3" s="60">
        <v>0</v>
      </c>
      <c r="AM3" s="60">
        <v>0</v>
      </c>
      <c r="AN3" s="60">
        <v>0</v>
      </c>
      <c r="AO3" s="60">
        <v>0</v>
      </c>
      <c r="AP3" s="60">
        <v>0</v>
      </c>
      <c r="AQ3" s="60">
        <v>0</v>
      </c>
      <c r="AR3" s="60">
        <v>0</v>
      </c>
      <c r="AS3" s="60">
        <v>0</v>
      </c>
      <c r="AT3" s="60">
        <v>0</v>
      </c>
      <c r="AU3" s="60">
        <v>0</v>
      </c>
      <c r="AV3" s="60">
        <v>0</v>
      </c>
      <c r="AW3" s="60">
        <v>0</v>
      </c>
      <c r="AX3" s="60">
        <v>0</v>
      </c>
      <c r="AY3" s="60">
        <v>0</v>
      </c>
      <c r="AZ3" s="60">
        <v>0</v>
      </c>
      <c r="BA3" s="60">
        <v>0</v>
      </c>
      <c r="BB3" s="60">
        <v>0</v>
      </c>
      <c r="BC3" s="60">
        <v>0</v>
      </c>
      <c r="BD3" s="60">
        <v>0</v>
      </c>
      <c r="BE3" s="60">
        <v>0</v>
      </c>
      <c r="BF3" s="60">
        <v>0</v>
      </c>
      <c r="BG3" s="60">
        <v>0</v>
      </c>
      <c r="BH3" s="60">
        <v>0</v>
      </c>
      <c r="BI3" s="60">
        <v>0</v>
      </c>
      <c r="BJ3" s="60">
        <v>0</v>
      </c>
      <c r="BK3" s="60">
        <v>0</v>
      </c>
      <c r="BL3" s="60">
        <v>0</v>
      </c>
      <c r="BM3" s="60">
        <v>0</v>
      </c>
      <c r="BN3" s="60">
        <v>0</v>
      </c>
      <c r="BO3" s="60">
        <v>0</v>
      </c>
      <c r="BP3" s="60">
        <v>0</v>
      </c>
      <c r="BQ3" s="60">
        <v>0</v>
      </c>
      <c r="BR3" s="60">
        <v>0</v>
      </c>
      <c r="BS3" s="60">
        <v>0</v>
      </c>
      <c r="BT3" s="60">
        <v>0</v>
      </c>
      <c r="BU3" s="60">
        <v>0</v>
      </c>
      <c r="BV3" s="60">
        <v>0</v>
      </c>
      <c r="BW3" s="60">
        <v>0</v>
      </c>
      <c r="BX3" s="60">
        <v>0</v>
      </c>
      <c r="BY3" s="60">
        <v>0</v>
      </c>
      <c r="BZ3" s="60">
        <v>0</v>
      </c>
      <c r="CA3" s="60">
        <v>0</v>
      </c>
      <c r="CB3" s="60">
        <v>0</v>
      </c>
      <c r="CC3" s="60">
        <v>0</v>
      </c>
      <c r="CD3" s="60">
        <v>0</v>
      </c>
      <c r="CE3" s="60">
        <v>0</v>
      </c>
      <c r="CF3" s="60">
        <v>0</v>
      </c>
      <c r="CG3" s="60">
        <v>0</v>
      </c>
      <c r="CH3" s="60">
        <v>0</v>
      </c>
      <c r="CI3" s="60">
        <v>0</v>
      </c>
      <c r="CJ3" s="60">
        <v>0</v>
      </c>
      <c r="CK3" s="60">
        <v>0</v>
      </c>
      <c r="CL3" s="60">
        <v>0</v>
      </c>
      <c r="CM3" s="60">
        <v>0</v>
      </c>
      <c r="CN3" s="60">
        <v>0</v>
      </c>
      <c r="CO3" s="60">
        <v>0</v>
      </c>
      <c r="CP3" s="60">
        <v>0</v>
      </c>
      <c r="CQ3" s="60">
        <v>0</v>
      </c>
      <c r="CR3" s="60">
        <v>0</v>
      </c>
      <c r="CS3" s="60">
        <v>0</v>
      </c>
      <c r="CT3" s="60">
        <v>0</v>
      </c>
      <c r="CU3" s="60">
        <v>0</v>
      </c>
      <c r="CV3" s="60">
        <v>0</v>
      </c>
      <c r="CW3" s="60">
        <v>0</v>
      </c>
      <c r="CX3" s="60">
        <v>0</v>
      </c>
      <c r="CY3" s="60">
        <v>0</v>
      </c>
      <c r="CZ3" s="60">
        <v>0</v>
      </c>
      <c r="DA3" s="60">
        <v>0</v>
      </c>
      <c r="DB3" s="60">
        <v>0</v>
      </c>
      <c r="DC3" s="60">
        <v>0</v>
      </c>
      <c r="DD3" s="60">
        <v>0</v>
      </c>
      <c r="DE3" s="60">
        <v>0</v>
      </c>
      <c r="DF3" s="60">
        <v>0</v>
      </c>
      <c r="DG3" s="60">
        <v>0</v>
      </c>
      <c r="DH3" s="60">
        <v>0</v>
      </c>
      <c r="DI3" s="60">
        <v>0</v>
      </c>
      <c r="DJ3" s="60">
        <v>0</v>
      </c>
      <c r="DK3" s="60">
        <v>0</v>
      </c>
      <c r="DL3" s="60">
        <v>0</v>
      </c>
      <c r="DM3" s="60">
        <v>0</v>
      </c>
      <c r="DN3" s="60">
        <v>0</v>
      </c>
      <c r="DP3" s="5" t="s">
        <v>1070</v>
      </c>
      <c r="DQ3" s="5">
        <v>500</v>
      </c>
      <c r="DR3" s="73">
        <v>0</v>
      </c>
      <c r="DS3" s="75">
        <v>10</v>
      </c>
      <c r="DU3" s="5">
        <v>0</v>
      </c>
      <c r="DV3" s="5">
        <v>0</v>
      </c>
      <c r="DW3" s="5">
        <v>0</v>
      </c>
      <c r="DX3" s="5">
        <v>0</v>
      </c>
      <c r="DY3" s="5">
        <v>0</v>
      </c>
      <c r="DZ3" s="5">
        <v>0</v>
      </c>
      <c r="EA3" s="5">
        <v>0</v>
      </c>
      <c r="EB3" s="5">
        <v>0</v>
      </c>
      <c r="EC3" s="5">
        <v>0</v>
      </c>
      <c r="ED3" s="5">
        <v>0</v>
      </c>
      <c r="EE3" s="5">
        <v>0</v>
      </c>
      <c r="EF3" s="5">
        <v>0</v>
      </c>
      <c r="EG3" s="5">
        <v>0</v>
      </c>
      <c r="EH3" s="5">
        <v>0</v>
      </c>
      <c r="EI3" s="5">
        <v>0</v>
      </c>
      <c r="EJ3" s="5">
        <v>0</v>
      </c>
      <c r="EK3" s="5">
        <v>0</v>
      </c>
      <c r="EL3" s="5">
        <v>0</v>
      </c>
      <c r="EM3" s="5">
        <v>0</v>
      </c>
      <c r="EN3" s="5">
        <v>0</v>
      </c>
      <c r="EO3" s="5">
        <v>0</v>
      </c>
      <c r="EP3" s="5">
        <v>0</v>
      </c>
      <c r="EQ3" s="5">
        <v>0</v>
      </c>
      <c r="ER3" s="5">
        <v>0</v>
      </c>
      <c r="ES3" s="5">
        <v>0</v>
      </c>
      <c r="ET3" s="5">
        <v>0</v>
      </c>
      <c r="EU3" s="5">
        <v>0</v>
      </c>
      <c r="EV3" s="5">
        <v>0</v>
      </c>
      <c r="EW3" s="5">
        <v>0</v>
      </c>
      <c r="EX3" s="5">
        <v>0</v>
      </c>
      <c r="EY3" s="5">
        <v>0</v>
      </c>
      <c r="EZ3" s="5">
        <v>0</v>
      </c>
      <c r="FA3" s="5">
        <v>0</v>
      </c>
      <c r="FB3" s="5">
        <v>0</v>
      </c>
      <c r="FC3" s="5">
        <v>0</v>
      </c>
      <c r="FD3" s="5">
        <v>0</v>
      </c>
      <c r="FE3" s="5">
        <v>0</v>
      </c>
      <c r="FF3" s="5">
        <v>0</v>
      </c>
      <c r="FG3" s="5">
        <v>0</v>
      </c>
      <c r="FH3" s="5">
        <v>0</v>
      </c>
      <c r="FI3" s="5">
        <v>0</v>
      </c>
      <c r="FJ3" s="5">
        <v>0</v>
      </c>
      <c r="FK3" s="5">
        <v>0</v>
      </c>
      <c r="FL3" s="5">
        <v>0</v>
      </c>
      <c r="FM3" s="5">
        <v>0</v>
      </c>
      <c r="FN3" s="5">
        <v>0</v>
      </c>
      <c r="FO3" s="5">
        <v>0</v>
      </c>
      <c r="FP3" s="5">
        <v>0</v>
      </c>
      <c r="FQ3" s="5">
        <v>0</v>
      </c>
      <c r="FR3" s="5">
        <v>0</v>
      </c>
      <c r="FS3" s="5">
        <v>0</v>
      </c>
      <c r="FT3" s="5">
        <v>0</v>
      </c>
      <c r="FU3" s="5">
        <v>0</v>
      </c>
      <c r="FV3" s="5">
        <v>0</v>
      </c>
      <c r="FW3" s="5">
        <v>0</v>
      </c>
      <c r="FX3" s="5">
        <v>0</v>
      </c>
      <c r="FY3" s="5">
        <v>0</v>
      </c>
      <c r="FZ3" s="5">
        <v>0</v>
      </c>
      <c r="GA3" s="5">
        <v>0</v>
      </c>
      <c r="GB3" s="5">
        <v>0</v>
      </c>
      <c r="GC3" s="5">
        <v>0</v>
      </c>
      <c r="GD3" s="5">
        <v>0</v>
      </c>
      <c r="GE3" s="5">
        <v>0</v>
      </c>
      <c r="GF3" s="5">
        <v>0</v>
      </c>
      <c r="GG3" s="5">
        <v>0</v>
      </c>
      <c r="GH3" s="5">
        <v>0</v>
      </c>
      <c r="GI3" s="5">
        <v>0</v>
      </c>
      <c r="GJ3" s="5">
        <v>0</v>
      </c>
      <c r="GK3" s="5">
        <v>0</v>
      </c>
      <c r="GL3" s="5">
        <v>0</v>
      </c>
      <c r="GM3" s="5">
        <v>0</v>
      </c>
      <c r="GN3" s="5">
        <v>0</v>
      </c>
      <c r="GO3" s="5">
        <v>0</v>
      </c>
      <c r="GP3" s="5">
        <v>0</v>
      </c>
      <c r="GQ3" s="5">
        <v>0</v>
      </c>
      <c r="GR3" s="5">
        <v>0</v>
      </c>
      <c r="GS3" s="5">
        <v>0</v>
      </c>
      <c r="GT3" s="5">
        <v>0</v>
      </c>
      <c r="GU3" s="5">
        <v>0</v>
      </c>
      <c r="GV3" s="5">
        <v>0</v>
      </c>
      <c r="GW3" s="5">
        <v>0</v>
      </c>
      <c r="GX3" s="5">
        <v>0</v>
      </c>
      <c r="GY3" s="5">
        <v>0</v>
      </c>
      <c r="GZ3" s="5">
        <v>0</v>
      </c>
      <c r="HA3" s="5">
        <v>0</v>
      </c>
      <c r="HB3" s="5">
        <v>0</v>
      </c>
      <c r="HC3" s="5">
        <v>0</v>
      </c>
      <c r="HD3" s="5">
        <v>0</v>
      </c>
      <c r="HE3" s="5">
        <v>0</v>
      </c>
      <c r="HF3" s="5">
        <v>0</v>
      </c>
      <c r="HG3" s="5">
        <v>0</v>
      </c>
      <c r="HH3" s="5">
        <v>0</v>
      </c>
      <c r="HI3" s="5">
        <v>0</v>
      </c>
      <c r="HJ3" s="5">
        <v>0</v>
      </c>
      <c r="HK3" s="5">
        <v>0</v>
      </c>
      <c r="HL3" s="5">
        <v>0</v>
      </c>
      <c r="HM3" s="5">
        <v>0</v>
      </c>
      <c r="HN3" s="5">
        <v>0</v>
      </c>
      <c r="HO3" s="5">
        <v>0</v>
      </c>
      <c r="HP3" s="5">
        <v>0</v>
      </c>
      <c r="HQ3" s="5">
        <v>0</v>
      </c>
    </row>
    <row r="4" spans="1:225">
      <c r="A4" s="69">
        <v>2</v>
      </c>
      <c r="B4" s="13">
        <v>10</v>
      </c>
      <c r="C4" s="5">
        <v>9</v>
      </c>
      <c r="D4" s="5">
        <f t="shared" ref="D4:D32" si="0">C4/B4*100</f>
        <v>90</v>
      </c>
      <c r="E4" s="5">
        <v>1</v>
      </c>
      <c r="F4" s="60">
        <f t="shared" ref="F4:F32" si="1">E4/C4*100</f>
        <v>11.111111111111111</v>
      </c>
      <c r="G4" s="60">
        <f t="shared" ref="G4:G32" si="2">(F4+D4)/2</f>
        <v>50.555555555555557</v>
      </c>
      <c r="H4" s="13">
        <v>10</v>
      </c>
      <c r="I4" s="5">
        <v>9</v>
      </c>
      <c r="J4" s="5">
        <f t="shared" ref="J4:J32" si="3">I4/H4*100</f>
        <v>90</v>
      </c>
      <c r="K4" s="60">
        <v>0.9</v>
      </c>
      <c r="L4" s="60">
        <f t="shared" ref="L4:L32" si="4">K4/I4*100</f>
        <v>10</v>
      </c>
      <c r="M4" s="60">
        <f t="shared" ref="M4:M32" si="5">(J4+L4)/2</f>
        <v>50</v>
      </c>
      <c r="N4" s="75">
        <v>6506.4000000000015</v>
      </c>
      <c r="O4" s="5">
        <v>-62.91043444999999</v>
      </c>
      <c r="P4" s="5">
        <v>41.089565549999996</v>
      </c>
      <c r="Q4" s="5">
        <v>-65.540730666666661</v>
      </c>
      <c r="R4" s="5">
        <v>38.459269333333332</v>
      </c>
      <c r="T4" s="60">
        <v>0.96</v>
      </c>
      <c r="U4" s="60">
        <v>0.95</v>
      </c>
      <c r="V4" s="60">
        <v>0.88</v>
      </c>
      <c r="W4" s="60">
        <v>0.91</v>
      </c>
      <c r="X4" s="60">
        <v>0.93</v>
      </c>
      <c r="Y4" s="60">
        <v>1.1100000000000001</v>
      </c>
      <c r="Z4" s="60">
        <v>1.1399999999999999</v>
      </c>
      <c r="AA4" s="60">
        <v>0.94</v>
      </c>
      <c r="AB4" s="60">
        <v>1.05</v>
      </c>
      <c r="AC4" s="60">
        <v>1.06</v>
      </c>
      <c r="AD4" s="60">
        <v>1.1299999999999999</v>
      </c>
      <c r="AE4" s="60">
        <v>1.04</v>
      </c>
      <c r="AF4" s="60">
        <v>1.17</v>
      </c>
      <c r="AG4" s="60">
        <v>1.1599999999999999</v>
      </c>
      <c r="AH4" s="60">
        <v>1.19</v>
      </c>
      <c r="AI4" s="60">
        <v>1.0900000000000001</v>
      </c>
      <c r="AJ4" s="60">
        <v>1.08</v>
      </c>
      <c r="AK4" s="60">
        <v>1.1200000000000001</v>
      </c>
      <c r="AL4" s="60">
        <v>1.18</v>
      </c>
      <c r="AM4" s="60">
        <v>1.0900000000000001</v>
      </c>
      <c r="AN4" s="60">
        <v>0.94</v>
      </c>
      <c r="AO4" s="60">
        <v>1.07</v>
      </c>
      <c r="AP4" s="60">
        <v>1.06</v>
      </c>
      <c r="AQ4" s="60">
        <v>1.03</v>
      </c>
      <c r="AR4" s="60">
        <v>1.06</v>
      </c>
      <c r="AS4" s="60">
        <v>1.1100000000000001</v>
      </c>
      <c r="AT4" s="60">
        <v>1.04</v>
      </c>
      <c r="AU4" s="60">
        <v>1.08</v>
      </c>
      <c r="AV4" s="60">
        <v>1.06</v>
      </c>
      <c r="AW4" s="60">
        <v>1.1499999999999999</v>
      </c>
      <c r="AX4" s="60">
        <v>1.03</v>
      </c>
      <c r="AY4" s="60">
        <v>1.22</v>
      </c>
      <c r="AZ4" s="60">
        <v>1.04</v>
      </c>
      <c r="BA4" s="60">
        <v>0.98</v>
      </c>
      <c r="BB4" s="60">
        <v>1.01</v>
      </c>
      <c r="BC4" s="60">
        <v>1.07</v>
      </c>
      <c r="BD4" s="60">
        <v>1.03</v>
      </c>
      <c r="BE4" s="60">
        <v>1.1399999999999999</v>
      </c>
      <c r="BF4" s="60">
        <v>0.96</v>
      </c>
      <c r="BG4" s="60">
        <v>1.06</v>
      </c>
      <c r="BH4" s="60">
        <v>1.06</v>
      </c>
      <c r="BI4" s="60">
        <v>1.0900000000000001</v>
      </c>
      <c r="BJ4" s="60">
        <v>1.18</v>
      </c>
      <c r="BK4" s="60">
        <v>1.1000000000000001</v>
      </c>
      <c r="BL4" s="60">
        <v>1.04</v>
      </c>
      <c r="BM4" s="60">
        <v>1.21</v>
      </c>
      <c r="BN4" s="60">
        <v>1.28</v>
      </c>
      <c r="BO4" s="60">
        <v>1.2</v>
      </c>
      <c r="BP4" s="60">
        <v>1.2</v>
      </c>
      <c r="BQ4" s="60">
        <v>1.19</v>
      </c>
      <c r="BR4" s="60">
        <v>1.22</v>
      </c>
      <c r="BS4" s="60">
        <v>1.19</v>
      </c>
      <c r="BT4" s="60">
        <v>1.2</v>
      </c>
      <c r="BU4" s="60">
        <v>1.07</v>
      </c>
      <c r="BV4" s="60">
        <v>1.23</v>
      </c>
      <c r="BW4" s="60">
        <v>0.98</v>
      </c>
      <c r="BX4" s="60">
        <v>1.1200000000000001</v>
      </c>
      <c r="BY4" s="60">
        <v>1.1100000000000001</v>
      </c>
      <c r="BZ4" s="60">
        <v>1.08</v>
      </c>
      <c r="CA4" s="60">
        <v>1.1200000000000001</v>
      </c>
      <c r="CB4" s="60">
        <v>1.1399999999999999</v>
      </c>
      <c r="CC4" s="60">
        <v>1.1100000000000001</v>
      </c>
      <c r="CD4" s="60">
        <v>1.1299999999999999</v>
      </c>
      <c r="CE4" s="60">
        <v>1.1200000000000001</v>
      </c>
      <c r="CF4" s="60">
        <v>0.98</v>
      </c>
      <c r="CG4" s="60">
        <v>1.05</v>
      </c>
      <c r="CH4" s="60">
        <v>0.93</v>
      </c>
      <c r="CI4" s="60">
        <v>0.99</v>
      </c>
      <c r="CJ4" s="60">
        <v>0.97</v>
      </c>
      <c r="CK4" s="60">
        <v>1.05</v>
      </c>
      <c r="CL4" s="60">
        <v>1</v>
      </c>
      <c r="CM4" s="60">
        <v>0.91</v>
      </c>
      <c r="CN4" s="60">
        <v>0.97</v>
      </c>
      <c r="CO4" s="60">
        <v>0.99</v>
      </c>
      <c r="CP4" s="60">
        <v>0.85</v>
      </c>
      <c r="CQ4" s="60">
        <v>0.88</v>
      </c>
      <c r="CR4" s="60">
        <v>0.85</v>
      </c>
      <c r="CS4" s="60">
        <v>0.97</v>
      </c>
      <c r="CT4" s="60">
        <v>0.86</v>
      </c>
      <c r="CU4" s="60">
        <v>0.86</v>
      </c>
      <c r="CV4" s="60">
        <v>0.91</v>
      </c>
      <c r="CW4" s="60">
        <v>0.87</v>
      </c>
      <c r="CX4" s="60">
        <v>0.67</v>
      </c>
      <c r="CY4" s="60">
        <v>0.93</v>
      </c>
      <c r="CZ4" s="60">
        <v>0.97</v>
      </c>
      <c r="DA4" s="60">
        <v>0.92</v>
      </c>
      <c r="DB4" s="60">
        <v>1.02</v>
      </c>
      <c r="DC4" s="60">
        <v>0.99</v>
      </c>
      <c r="DD4" s="60">
        <v>1.06</v>
      </c>
      <c r="DE4" s="60">
        <v>0.96</v>
      </c>
      <c r="DF4" s="60">
        <v>0.92</v>
      </c>
      <c r="DG4" s="60">
        <v>1.06</v>
      </c>
      <c r="DH4" s="60">
        <v>1.06</v>
      </c>
      <c r="DI4" s="60">
        <v>0.82</v>
      </c>
      <c r="DJ4" s="60">
        <v>1.06</v>
      </c>
      <c r="DK4" s="60">
        <v>1.08</v>
      </c>
      <c r="DL4" s="60">
        <v>1.04</v>
      </c>
      <c r="DM4" s="60">
        <v>1.07</v>
      </c>
      <c r="DN4" s="60">
        <v>1.1200000000000001</v>
      </c>
      <c r="DP4" s="62" t="s">
        <v>519</v>
      </c>
      <c r="DQ4" s="5">
        <v>500</v>
      </c>
      <c r="DR4" s="73">
        <v>7.9296000000000005E-2</v>
      </c>
      <c r="DS4" s="5">
        <v>9</v>
      </c>
      <c r="DU4" s="5">
        <v>57.99</v>
      </c>
      <c r="DV4" s="5">
        <v>58.14</v>
      </c>
      <c r="DW4" s="5">
        <v>59.85</v>
      </c>
      <c r="DX4" s="5">
        <v>59.28</v>
      </c>
      <c r="DY4" s="5">
        <v>55.29</v>
      </c>
      <c r="DZ4" s="5">
        <v>57</v>
      </c>
      <c r="EA4" s="5">
        <v>58.14</v>
      </c>
      <c r="EB4" s="5">
        <v>68.400000000000006</v>
      </c>
      <c r="EC4" s="5">
        <v>70.11</v>
      </c>
      <c r="ED4" s="5">
        <v>58.14</v>
      </c>
      <c r="EE4" s="5">
        <v>64.98</v>
      </c>
      <c r="EF4" s="5">
        <v>65.55</v>
      </c>
      <c r="EG4" s="5">
        <v>68.97</v>
      </c>
      <c r="EH4" s="5">
        <v>63.84</v>
      </c>
      <c r="EI4" s="5">
        <v>71.819999999999993</v>
      </c>
      <c r="EJ4" s="5">
        <v>71.25</v>
      </c>
      <c r="EK4" s="5">
        <v>72.959999999999994</v>
      </c>
      <c r="EL4" s="5">
        <v>67.260000000000005</v>
      </c>
      <c r="EM4" s="5">
        <v>66.12</v>
      </c>
      <c r="EN4" s="5">
        <v>68.97</v>
      </c>
      <c r="EO4" s="5">
        <v>72.39</v>
      </c>
      <c r="EP4" s="5">
        <v>67.260000000000005</v>
      </c>
      <c r="EQ4" s="5">
        <v>58.71</v>
      </c>
      <c r="ER4" s="5">
        <v>66.12</v>
      </c>
      <c r="ES4" s="5">
        <v>65.55</v>
      </c>
      <c r="ET4" s="5">
        <v>63.84</v>
      </c>
      <c r="EU4" s="5">
        <v>65.55</v>
      </c>
      <c r="EV4" s="5">
        <v>68.400000000000006</v>
      </c>
      <c r="EW4" s="5">
        <v>64.41</v>
      </c>
      <c r="EX4" s="5">
        <v>66.69</v>
      </c>
      <c r="EY4" s="5">
        <v>65.55</v>
      </c>
      <c r="EZ4" s="5">
        <v>70.680000000000007</v>
      </c>
      <c r="FA4" s="5">
        <v>63.84</v>
      </c>
      <c r="FB4" s="5">
        <v>74.67</v>
      </c>
      <c r="FC4" s="5">
        <v>64.41</v>
      </c>
      <c r="FD4" s="5">
        <v>60.99</v>
      </c>
      <c r="FE4" s="5">
        <v>62.7</v>
      </c>
      <c r="FF4" s="5">
        <v>66.12</v>
      </c>
      <c r="FG4" s="5">
        <v>63.84</v>
      </c>
      <c r="FH4" s="5">
        <v>70.11</v>
      </c>
      <c r="FI4" s="5">
        <v>59.85</v>
      </c>
      <c r="FJ4" s="5">
        <v>65.55</v>
      </c>
      <c r="FK4" s="5">
        <v>65.55</v>
      </c>
      <c r="FL4" s="5">
        <v>67.260000000000005</v>
      </c>
      <c r="FM4" s="5">
        <v>72.39</v>
      </c>
      <c r="FN4" s="5">
        <v>67.83</v>
      </c>
      <c r="FO4" s="5">
        <v>64.41</v>
      </c>
      <c r="FP4" s="5">
        <v>74.099999999999994</v>
      </c>
      <c r="FQ4" s="5">
        <v>78.09</v>
      </c>
      <c r="FR4" s="5">
        <v>73.53</v>
      </c>
      <c r="FS4" s="5">
        <v>73.53</v>
      </c>
      <c r="FT4" s="5">
        <v>72.959999999999994</v>
      </c>
      <c r="FU4" s="5">
        <v>74.67</v>
      </c>
      <c r="FV4" s="5">
        <v>72.959999999999994</v>
      </c>
      <c r="FW4" s="5">
        <v>73.53</v>
      </c>
      <c r="FX4" s="5">
        <v>66.12</v>
      </c>
      <c r="FY4" s="5">
        <v>75.239999999999995</v>
      </c>
      <c r="FZ4" s="5">
        <v>60.42</v>
      </c>
      <c r="GA4" s="5">
        <v>68.97</v>
      </c>
      <c r="GB4" s="5">
        <v>68.400000000000006</v>
      </c>
      <c r="GC4" s="5">
        <v>66.69</v>
      </c>
      <c r="GD4" s="5">
        <v>68.97</v>
      </c>
      <c r="GE4" s="5">
        <v>70.11</v>
      </c>
      <c r="GF4" s="5">
        <v>68.400000000000006</v>
      </c>
      <c r="GG4" s="5">
        <v>69.540000000000006</v>
      </c>
      <c r="GH4" s="5">
        <v>68.97</v>
      </c>
      <c r="GI4" s="5">
        <v>60.42</v>
      </c>
      <c r="GJ4" s="5">
        <v>64.98</v>
      </c>
      <c r="GK4" s="5">
        <v>57</v>
      </c>
      <c r="GL4" s="5">
        <v>61.56</v>
      </c>
      <c r="GM4" s="5">
        <v>59.85</v>
      </c>
      <c r="GN4" s="5">
        <v>64.98</v>
      </c>
      <c r="GO4" s="5">
        <v>62.13</v>
      </c>
      <c r="GP4" s="5">
        <v>56.43</v>
      </c>
      <c r="GQ4" s="5">
        <v>60.42</v>
      </c>
      <c r="GR4" s="5">
        <v>61.56</v>
      </c>
      <c r="GS4" s="5">
        <v>53.58</v>
      </c>
      <c r="GT4" s="5">
        <v>55.29</v>
      </c>
      <c r="GU4" s="5">
        <v>53.58</v>
      </c>
      <c r="GV4" s="5">
        <v>60.42</v>
      </c>
      <c r="GW4" s="5">
        <v>54.15</v>
      </c>
      <c r="GX4" s="5">
        <v>54.15</v>
      </c>
      <c r="GY4" s="5">
        <v>57</v>
      </c>
      <c r="GZ4" s="5">
        <v>54.72</v>
      </c>
      <c r="HA4" s="5">
        <v>42.75</v>
      </c>
      <c r="HB4" s="5">
        <v>58.14</v>
      </c>
      <c r="HC4" s="5">
        <v>60.42</v>
      </c>
      <c r="HD4" s="5">
        <v>57.57</v>
      </c>
      <c r="HE4" s="5">
        <v>63.27</v>
      </c>
      <c r="HF4" s="5">
        <v>61.56</v>
      </c>
      <c r="HG4" s="5">
        <v>65.55</v>
      </c>
      <c r="HH4" s="5">
        <v>59.85</v>
      </c>
      <c r="HI4" s="5">
        <v>57.57</v>
      </c>
      <c r="HJ4" s="5">
        <v>65.55</v>
      </c>
      <c r="HK4" s="5">
        <v>65.55</v>
      </c>
      <c r="HL4" s="5">
        <v>50.73</v>
      </c>
      <c r="HM4" s="5">
        <v>65.55</v>
      </c>
      <c r="HN4" s="5">
        <v>66.69</v>
      </c>
      <c r="HO4" s="5">
        <v>64.41</v>
      </c>
      <c r="HP4" s="5">
        <v>66.12</v>
      </c>
      <c r="HQ4" s="5">
        <v>68.97</v>
      </c>
    </row>
    <row r="5" spans="1:225">
      <c r="A5" s="69">
        <v>3</v>
      </c>
      <c r="B5" s="13">
        <v>10</v>
      </c>
      <c r="C5" s="5">
        <v>10</v>
      </c>
      <c r="D5" s="5">
        <f t="shared" si="0"/>
        <v>100</v>
      </c>
      <c r="E5" s="5">
        <v>2</v>
      </c>
      <c r="F5" s="60">
        <f t="shared" si="1"/>
        <v>20</v>
      </c>
      <c r="G5" s="60">
        <f t="shared" si="2"/>
        <v>60</v>
      </c>
      <c r="H5" s="13">
        <v>10</v>
      </c>
      <c r="I5" s="5">
        <v>6</v>
      </c>
      <c r="J5" s="5">
        <f t="shared" si="3"/>
        <v>60</v>
      </c>
      <c r="K5" s="60">
        <v>1.01</v>
      </c>
      <c r="L5" s="60">
        <f t="shared" si="4"/>
        <v>16.833333333333332</v>
      </c>
      <c r="M5" s="60">
        <f t="shared" si="5"/>
        <v>38.416666666666664</v>
      </c>
      <c r="N5" s="75">
        <v>7782.06</v>
      </c>
      <c r="O5" s="5">
        <v>-64.673560350000002</v>
      </c>
      <c r="P5" s="5">
        <v>39.326439650000005</v>
      </c>
      <c r="Q5" s="5">
        <v>-63.749790299999994</v>
      </c>
      <c r="R5" s="5">
        <v>40.250209699999999</v>
      </c>
      <c r="T5" s="60">
        <v>1.24</v>
      </c>
      <c r="U5" s="60">
        <v>1.17</v>
      </c>
      <c r="V5" s="60">
        <v>1.25</v>
      </c>
      <c r="W5" s="60">
        <v>1.04</v>
      </c>
      <c r="X5" s="60">
        <v>1.2</v>
      </c>
      <c r="Y5" s="60">
        <v>1.34</v>
      </c>
      <c r="Z5" s="60">
        <v>1.29</v>
      </c>
      <c r="AA5" s="60">
        <v>1.36</v>
      </c>
      <c r="AB5" s="60">
        <v>1.42</v>
      </c>
      <c r="AC5" s="60">
        <v>1.45</v>
      </c>
      <c r="AD5" s="60">
        <v>1.4</v>
      </c>
      <c r="AE5" s="60">
        <v>1.52</v>
      </c>
      <c r="AF5" s="60">
        <v>1.35</v>
      </c>
      <c r="AG5" s="60">
        <v>1.26</v>
      </c>
      <c r="AH5" s="60">
        <v>1.26</v>
      </c>
      <c r="AI5" s="60">
        <v>1.32</v>
      </c>
      <c r="AJ5" s="60">
        <v>1.51</v>
      </c>
      <c r="AK5" s="60">
        <v>1.34</v>
      </c>
      <c r="AL5" s="60">
        <v>1.2</v>
      </c>
      <c r="AM5" s="60">
        <v>1.21</v>
      </c>
      <c r="AN5" s="60">
        <v>1.33</v>
      </c>
      <c r="AO5" s="60">
        <v>1.23</v>
      </c>
      <c r="AP5" s="60">
        <v>1.24</v>
      </c>
      <c r="AQ5" s="60">
        <v>1.2</v>
      </c>
      <c r="AR5" s="60">
        <v>1.28</v>
      </c>
      <c r="AS5" s="60">
        <v>1.32</v>
      </c>
      <c r="AT5" s="60">
        <v>1.36</v>
      </c>
      <c r="AU5" s="60">
        <v>1.18</v>
      </c>
      <c r="AV5" s="60">
        <v>1.29</v>
      </c>
      <c r="AW5" s="60">
        <v>1.32</v>
      </c>
      <c r="AX5" s="60">
        <v>1.24</v>
      </c>
      <c r="AY5" s="60">
        <v>1.26</v>
      </c>
      <c r="AZ5" s="60">
        <v>1.27</v>
      </c>
      <c r="BA5" s="60">
        <v>1.23</v>
      </c>
      <c r="BB5" s="60">
        <v>1.26</v>
      </c>
      <c r="BC5" s="60">
        <v>1.1599999999999999</v>
      </c>
      <c r="BD5" s="60">
        <v>1.34</v>
      </c>
      <c r="BE5" s="60">
        <v>1.28</v>
      </c>
      <c r="BF5" s="60">
        <v>1.27</v>
      </c>
      <c r="BG5" s="60">
        <v>1.24</v>
      </c>
      <c r="BH5" s="60">
        <v>1.1399999999999999</v>
      </c>
      <c r="BI5" s="60">
        <v>1.21</v>
      </c>
      <c r="BJ5" s="60">
        <v>1.35</v>
      </c>
      <c r="BK5" s="60">
        <v>1.27</v>
      </c>
      <c r="BL5" s="60">
        <v>1.36</v>
      </c>
      <c r="BM5" s="60">
        <v>1.35</v>
      </c>
      <c r="BN5" s="60">
        <v>1.43</v>
      </c>
      <c r="BO5" s="60">
        <v>1.32</v>
      </c>
      <c r="BP5" s="60">
        <v>1.29</v>
      </c>
      <c r="BQ5" s="60">
        <v>1.32</v>
      </c>
      <c r="BR5" s="60">
        <v>1.31</v>
      </c>
      <c r="BS5" s="60">
        <v>1.25</v>
      </c>
      <c r="BT5" s="60">
        <v>1.1100000000000001</v>
      </c>
      <c r="BU5" s="60">
        <v>1.27</v>
      </c>
      <c r="BV5" s="60">
        <v>1.29</v>
      </c>
      <c r="BW5" s="60">
        <v>1.1299999999999999</v>
      </c>
      <c r="BX5" s="60">
        <v>1.22</v>
      </c>
      <c r="BY5" s="60">
        <v>1.1399999999999999</v>
      </c>
      <c r="BZ5" s="60">
        <v>1.18</v>
      </c>
      <c r="CA5" s="60">
        <v>1.0900000000000001</v>
      </c>
      <c r="CB5" s="60">
        <v>1.26</v>
      </c>
      <c r="CC5" s="60">
        <v>1.25</v>
      </c>
      <c r="CD5" s="60">
        <v>1.18</v>
      </c>
      <c r="CE5" s="60">
        <v>1.24</v>
      </c>
      <c r="CF5" s="60">
        <v>1.07</v>
      </c>
      <c r="CG5" s="60">
        <v>1.18</v>
      </c>
      <c r="CH5" s="60">
        <v>1.1399999999999999</v>
      </c>
      <c r="CI5" s="60">
        <v>0.97</v>
      </c>
      <c r="CJ5" s="60">
        <v>1.25</v>
      </c>
      <c r="CK5" s="60">
        <v>1.2</v>
      </c>
      <c r="CL5" s="60">
        <v>1.1100000000000001</v>
      </c>
      <c r="CM5" s="60">
        <v>1.21</v>
      </c>
      <c r="CN5" s="60">
        <v>1.04</v>
      </c>
      <c r="CO5" s="60">
        <v>1.1399999999999999</v>
      </c>
      <c r="CP5" s="60">
        <v>1.07</v>
      </c>
      <c r="CQ5" s="60">
        <v>1.08</v>
      </c>
      <c r="CR5" s="60">
        <v>1.1299999999999999</v>
      </c>
      <c r="CS5" s="60">
        <v>1.0900000000000001</v>
      </c>
      <c r="CT5" s="60">
        <v>1.1200000000000001</v>
      </c>
      <c r="CU5" s="60">
        <v>1.1000000000000001</v>
      </c>
      <c r="CV5" s="60">
        <v>1.24</v>
      </c>
      <c r="CW5" s="60">
        <v>1.32</v>
      </c>
      <c r="CX5" s="60">
        <v>1.26</v>
      </c>
      <c r="CY5" s="60">
        <v>1.22</v>
      </c>
      <c r="CZ5" s="60">
        <v>1.31</v>
      </c>
      <c r="DA5" s="60">
        <v>1.27</v>
      </c>
      <c r="DB5" s="60">
        <v>1.1499999999999999</v>
      </c>
      <c r="DC5" s="60">
        <v>1.32</v>
      </c>
      <c r="DD5" s="60">
        <v>1.28</v>
      </c>
      <c r="DE5" s="60">
        <v>1.1399999999999999</v>
      </c>
      <c r="DF5" s="60">
        <v>1.31</v>
      </c>
      <c r="DG5" s="60">
        <v>1.3</v>
      </c>
      <c r="DH5" s="60">
        <v>1.43</v>
      </c>
      <c r="DI5" s="60">
        <v>1.37</v>
      </c>
      <c r="DJ5" s="60">
        <v>1.42</v>
      </c>
      <c r="DK5" s="60">
        <v>1.4</v>
      </c>
      <c r="DL5" s="60">
        <v>1.48</v>
      </c>
      <c r="DM5" s="60">
        <v>1.45</v>
      </c>
      <c r="DN5" s="60">
        <v>1.39</v>
      </c>
      <c r="DP5" s="62" t="s">
        <v>520</v>
      </c>
      <c r="DQ5" s="5">
        <v>500</v>
      </c>
      <c r="DR5" s="73">
        <v>7.7539500000000011E-2</v>
      </c>
      <c r="DS5" s="5">
        <v>8</v>
      </c>
      <c r="DU5" s="5">
        <v>64.83</v>
      </c>
      <c r="DV5" s="5">
        <v>71.819999999999993</v>
      </c>
      <c r="DW5" s="5">
        <v>76.38</v>
      </c>
      <c r="DX5" s="5">
        <v>72.39</v>
      </c>
      <c r="DY5" s="5">
        <v>76.95</v>
      </c>
      <c r="DZ5" s="5">
        <v>64.41</v>
      </c>
      <c r="EA5" s="5">
        <v>74.099999999999994</v>
      </c>
      <c r="EB5" s="5">
        <v>82.08</v>
      </c>
      <c r="EC5" s="5">
        <v>79.23</v>
      </c>
      <c r="ED5" s="5">
        <v>83.22</v>
      </c>
      <c r="EE5" s="5">
        <v>86.64</v>
      </c>
      <c r="EF5" s="5">
        <v>88.35</v>
      </c>
      <c r="EG5" s="5">
        <v>85.5</v>
      </c>
      <c r="EH5" s="5">
        <v>92.34</v>
      </c>
      <c r="EI5" s="5">
        <v>82.65</v>
      </c>
      <c r="EJ5" s="5">
        <v>76.95</v>
      </c>
      <c r="EK5" s="5">
        <v>76.95</v>
      </c>
      <c r="EL5" s="5">
        <v>80.37</v>
      </c>
      <c r="EM5" s="5">
        <v>91.77</v>
      </c>
      <c r="EN5" s="5">
        <v>82.08</v>
      </c>
      <c r="EO5" s="5">
        <v>73.53</v>
      </c>
      <c r="EP5" s="5">
        <v>74.67</v>
      </c>
      <c r="EQ5" s="5">
        <v>81.510000000000005</v>
      </c>
      <c r="ER5" s="5">
        <v>75.81</v>
      </c>
      <c r="ES5" s="5">
        <v>76.38</v>
      </c>
      <c r="ET5" s="5">
        <v>74.099999999999994</v>
      </c>
      <c r="EU5" s="5">
        <v>78.66</v>
      </c>
      <c r="EV5" s="5">
        <v>80.94</v>
      </c>
      <c r="EW5" s="5">
        <v>83.22</v>
      </c>
      <c r="EX5" s="5">
        <v>72.959999999999994</v>
      </c>
      <c r="EY5" s="5">
        <v>79.23</v>
      </c>
      <c r="EZ5" s="5">
        <v>80.94</v>
      </c>
      <c r="FA5" s="5">
        <v>76.38</v>
      </c>
      <c r="FB5" s="5">
        <v>77.52</v>
      </c>
      <c r="FC5" s="5">
        <v>78.09</v>
      </c>
      <c r="FD5" s="5">
        <v>75.81</v>
      </c>
      <c r="FE5" s="5">
        <v>77.52</v>
      </c>
      <c r="FF5" s="5">
        <v>71.819999999999993</v>
      </c>
      <c r="FG5" s="5">
        <v>82.08</v>
      </c>
      <c r="FH5" s="5">
        <v>78.66</v>
      </c>
      <c r="FI5" s="5">
        <v>78.09</v>
      </c>
      <c r="FJ5" s="5">
        <v>76.38</v>
      </c>
      <c r="FK5" s="5">
        <v>70.680000000000007</v>
      </c>
      <c r="FL5" s="5">
        <v>74.67</v>
      </c>
      <c r="FM5" s="5">
        <v>82.65</v>
      </c>
      <c r="FN5" s="5">
        <v>78.09</v>
      </c>
      <c r="FO5" s="5">
        <v>83.22</v>
      </c>
      <c r="FP5" s="5">
        <v>82.65</v>
      </c>
      <c r="FQ5" s="5">
        <v>87.21</v>
      </c>
      <c r="FR5" s="5">
        <v>80.94</v>
      </c>
      <c r="FS5" s="5">
        <v>79.23</v>
      </c>
      <c r="FT5" s="5">
        <v>80.94</v>
      </c>
      <c r="FU5" s="5">
        <v>80.37</v>
      </c>
      <c r="FV5" s="5">
        <v>76.95</v>
      </c>
      <c r="FW5" s="5">
        <v>68.400000000000006</v>
      </c>
      <c r="FX5" s="5">
        <v>78.09</v>
      </c>
      <c r="FY5" s="5">
        <v>79.23</v>
      </c>
      <c r="FZ5" s="5">
        <v>70.11</v>
      </c>
      <c r="GA5" s="5">
        <v>75.239999999999995</v>
      </c>
      <c r="GB5" s="5">
        <v>70.680000000000007</v>
      </c>
      <c r="GC5" s="5">
        <v>72.959999999999994</v>
      </c>
      <c r="GD5" s="5">
        <v>67.83</v>
      </c>
      <c r="GE5" s="5">
        <v>77.52</v>
      </c>
      <c r="GF5" s="5">
        <v>76.95</v>
      </c>
      <c r="GG5" s="5">
        <v>72.959999999999994</v>
      </c>
      <c r="GH5" s="5">
        <v>76.38</v>
      </c>
      <c r="GI5" s="5">
        <v>66.69</v>
      </c>
      <c r="GJ5" s="5">
        <v>72.959999999999994</v>
      </c>
      <c r="GK5" s="5">
        <v>70.680000000000007</v>
      </c>
      <c r="GL5" s="5">
        <v>59.85</v>
      </c>
      <c r="GM5" s="5">
        <v>76.95</v>
      </c>
      <c r="GN5" s="5">
        <v>74.099999999999994</v>
      </c>
      <c r="GO5" s="5">
        <v>68.400000000000006</v>
      </c>
      <c r="GP5" s="5">
        <v>74.67</v>
      </c>
      <c r="GQ5" s="5">
        <v>64.98</v>
      </c>
      <c r="GR5" s="5">
        <v>70.680000000000007</v>
      </c>
      <c r="GS5" s="5">
        <v>66.69</v>
      </c>
      <c r="GT5" s="5">
        <v>67.260000000000005</v>
      </c>
      <c r="GU5" s="5">
        <v>70.11</v>
      </c>
      <c r="GV5" s="5">
        <v>67.83</v>
      </c>
      <c r="GW5" s="5">
        <v>69.540000000000006</v>
      </c>
      <c r="GX5" s="5">
        <v>68.400000000000006</v>
      </c>
      <c r="GY5" s="5">
        <v>76.38</v>
      </c>
      <c r="GZ5" s="5">
        <v>80.94</v>
      </c>
      <c r="HA5" s="5">
        <v>77.52</v>
      </c>
      <c r="HB5" s="5">
        <v>75.239999999999995</v>
      </c>
      <c r="HC5" s="5">
        <v>80.37</v>
      </c>
      <c r="HD5" s="5">
        <v>78.09</v>
      </c>
      <c r="HE5" s="5">
        <v>70.680000000000007</v>
      </c>
      <c r="HF5" s="5">
        <v>80.94</v>
      </c>
      <c r="HG5" s="5">
        <v>78.66</v>
      </c>
      <c r="HH5" s="5">
        <v>70.11</v>
      </c>
      <c r="HI5" s="5">
        <v>79.8</v>
      </c>
      <c r="HJ5" s="5">
        <v>79.8</v>
      </c>
      <c r="HK5" s="5">
        <v>87.21</v>
      </c>
      <c r="HL5" s="5">
        <v>83.79</v>
      </c>
      <c r="HM5" s="5">
        <v>86.64</v>
      </c>
      <c r="HN5" s="5">
        <v>85.5</v>
      </c>
      <c r="HO5" s="5">
        <v>90.06</v>
      </c>
      <c r="HP5" s="5">
        <v>88.35</v>
      </c>
      <c r="HQ5" s="5">
        <v>84.93</v>
      </c>
    </row>
    <row r="6" spans="1:225">
      <c r="A6" s="69">
        <v>4</v>
      </c>
      <c r="B6" s="13">
        <v>10</v>
      </c>
      <c r="C6" s="5">
        <v>7</v>
      </c>
      <c r="D6" s="5">
        <f t="shared" si="0"/>
        <v>70</v>
      </c>
      <c r="E6" s="5">
        <v>3</v>
      </c>
      <c r="F6" s="60">
        <f t="shared" si="1"/>
        <v>42.857142857142854</v>
      </c>
      <c r="G6" s="60">
        <f t="shared" si="2"/>
        <v>56.428571428571431</v>
      </c>
      <c r="H6" s="13">
        <v>10</v>
      </c>
      <c r="I6" s="5">
        <v>6</v>
      </c>
      <c r="J6" s="5">
        <f t="shared" si="3"/>
        <v>60</v>
      </c>
      <c r="K6" s="60">
        <v>0.87</v>
      </c>
      <c r="L6" s="60">
        <f t="shared" si="4"/>
        <v>14.499999999999998</v>
      </c>
      <c r="M6" s="60">
        <f t="shared" si="5"/>
        <v>37.25</v>
      </c>
      <c r="N6" s="75">
        <v>7009.7099999999991</v>
      </c>
      <c r="O6" s="5">
        <v>-62.70516984999999</v>
      </c>
      <c r="P6" s="5">
        <v>41.294830149999996</v>
      </c>
      <c r="Q6" s="5">
        <v>-64.068550799999997</v>
      </c>
      <c r="R6" s="5">
        <v>39.931449200000003</v>
      </c>
      <c r="T6" s="60">
        <v>1.02</v>
      </c>
      <c r="U6" s="60">
        <v>1.06</v>
      </c>
      <c r="V6" s="60">
        <v>0.92</v>
      </c>
      <c r="W6" s="60">
        <v>1.08</v>
      </c>
      <c r="X6" s="60">
        <v>1.1200000000000001</v>
      </c>
      <c r="Y6" s="60">
        <v>1.21</v>
      </c>
      <c r="Z6" s="60">
        <v>1.1499999999999999</v>
      </c>
      <c r="AA6" s="60">
        <v>1.35</v>
      </c>
      <c r="AB6" s="60">
        <v>1.1399999999999999</v>
      </c>
      <c r="AC6" s="60">
        <v>1.23</v>
      </c>
      <c r="AD6" s="60">
        <v>1.2</v>
      </c>
      <c r="AE6" s="60">
        <v>1.23</v>
      </c>
      <c r="AF6" s="60">
        <v>1.25</v>
      </c>
      <c r="AG6" s="60">
        <v>0.98</v>
      </c>
      <c r="AH6" s="60">
        <v>1.28</v>
      </c>
      <c r="AI6" s="60">
        <v>1.24</v>
      </c>
      <c r="AJ6" s="60">
        <v>1.26</v>
      </c>
      <c r="AK6" s="60">
        <v>1.1599999999999999</v>
      </c>
      <c r="AL6" s="60">
        <v>1.1000000000000001</v>
      </c>
      <c r="AM6" s="60">
        <v>1.1499999999999999</v>
      </c>
      <c r="AN6" s="60">
        <v>1.25</v>
      </c>
      <c r="AO6" s="60">
        <v>1.1499999999999999</v>
      </c>
      <c r="AP6" s="60">
        <v>1.21</v>
      </c>
      <c r="AQ6" s="60">
        <v>1.2</v>
      </c>
      <c r="AR6" s="60">
        <v>1.31</v>
      </c>
      <c r="AS6" s="60">
        <v>1.22</v>
      </c>
      <c r="AT6" s="60">
        <v>1.23</v>
      </c>
      <c r="AU6" s="60">
        <v>1.28</v>
      </c>
      <c r="AV6" s="60">
        <v>1.22</v>
      </c>
      <c r="AW6" s="60">
        <v>1.17</v>
      </c>
      <c r="AX6" s="60">
        <v>1.1499999999999999</v>
      </c>
      <c r="AY6" s="60">
        <v>1.08</v>
      </c>
      <c r="AZ6" s="60">
        <v>1.24</v>
      </c>
      <c r="BA6" s="60">
        <v>1.1299999999999999</v>
      </c>
      <c r="BB6" s="60">
        <v>1.05</v>
      </c>
      <c r="BC6" s="60">
        <v>1.2</v>
      </c>
      <c r="BD6" s="60">
        <v>1.1100000000000001</v>
      </c>
      <c r="BE6" s="60">
        <v>1.31</v>
      </c>
      <c r="BF6" s="60">
        <v>1.1399999999999999</v>
      </c>
      <c r="BG6" s="60">
        <v>1.22</v>
      </c>
      <c r="BH6" s="60">
        <v>1.2</v>
      </c>
      <c r="BI6" s="60">
        <v>1.26</v>
      </c>
      <c r="BJ6" s="60">
        <v>1.17</v>
      </c>
      <c r="BK6" s="60">
        <v>1.18</v>
      </c>
      <c r="BL6" s="60">
        <v>1.02</v>
      </c>
      <c r="BM6" s="60">
        <v>1.2</v>
      </c>
      <c r="BN6" s="60">
        <v>1.17</v>
      </c>
      <c r="BO6" s="60">
        <v>1.1599999999999999</v>
      </c>
      <c r="BP6" s="60">
        <v>1.19</v>
      </c>
      <c r="BQ6" s="60">
        <v>1.21</v>
      </c>
      <c r="BR6" s="60">
        <v>1.27</v>
      </c>
      <c r="BS6" s="60">
        <v>1.25</v>
      </c>
      <c r="BT6" s="60">
        <v>1.1599999999999999</v>
      </c>
      <c r="BU6" s="60">
        <v>1.1499999999999999</v>
      </c>
      <c r="BV6" s="60">
        <v>1.19</v>
      </c>
      <c r="BW6" s="60">
        <v>1.06</v>
      </c>
      <c r="BX6" s="60">
        <v>1.17</v>
      </c>
      <c r="BY6" s="60">
        <v>1.1499999999999999</v>
      </c>
      <c r="BZ6" s="60">
        <v>1.1200000000000001</v>
      </c>
      <c r="CA6" s="60">
        <v>1.04</v>
      </c>
      <c r="CB6" s="60">
        <v>1.08</v>
      </c>
      <c r="CC6" s="60">
        <v>1.1100000000000001</v>
      </c>
      <c r="CD6" s="60">
        <v>1.1200000000000001</v>
      </c>
      <c r="CE6" s="60">
        <v>0.96</v>
      </c>
      <c r="CF6" s="60">
        <v>1.03</v>
      </c>
      <c r="CG6" s="60">
        <v>0.92</v>
      </c>
      <c r="CH6" s="60">
        <v>1.03</v>
      </c>
      <c r="CI6" s="60">
        <v>0.96</v>
      </c>
      <c r="CJ6" s="60">
        <v>1.01</v>
      </c>
      <c r="CK6" s="60">
        <v>0.98</v>
      </c>
      <c r="CL6" s="60">
        <v>0.89</v>
      </c>
      <c r="CM6" s="60">
        <v>0.91</v>
      </c>
      <c r="CN6" s="60">
        <v>0.99</v>
      </c>
      <c r="CO6" s="60">
        <v>0.97</v>
      </c>
      <c r="CP6" s="60">
        <v>0.91</v>
      </c>
      <c r="CQ6" s="60">
        <v>0.91</v>
      </c>
      <c r="CR6" s="60">
        <v>0.84</v>
      </c>
      <c r="CS6" s="60">
        <v>0.97</v>
      </c>
      <c r="CT6" s="60">
        <v>0.89</v>
      </c>
      <c r="CU6" s="60">
        <v>1.01</v>
      </c>
      <c r="CV6" s="60">
        <v>1</v>
      </c>
      <c r="CW6" s="60">
        <v>1.06</v>
      </c>
      <c r="CX6" s="60">
        <v>1.05</v>
      </c>
      <c r="CY6" s="60">
        <v>1.07</v>
      </c>
      <c r="CZ6" s="60">
        <v>1.1100000000000001</v>
      </c>
      <c r="DA6" s="60">
        <v>1.1399999999999999</v>
      </c>
      <c r="DB6" s="60">
        <v>1.1599999999999999</v>
      </c>
      <c r="DC6" s="60">
        <v>1.02</v>
      </c>
      <c r="DD6" s="60">
        <v>1.1599999999999999</v>
      </c>
      <c r="DE6" s="60">
        <v>1.0900000000000001</v>
      </c>
      <c r="DF6" s="60">
        <v>1.06</v>
      </c>
      <c r="DG6" s="60">
        <v>1.1000000000000001</v>
      </c>
      <c r="DH6" s="60">
        <v>1.27</v>
      </c>
      <c r="DI6" s="60">
        <v>1.25</v>
      </c>
      <c r="DJ6" s="60">
        <v>0.99</v>
      </c>
      <c r="DK6" s="60">
        <v>1.1000000000000001</v>
      </c>
      <c r="DL6" s="60">
        <v>1.17</v>
      </c>
      <c r="DM6" s="60">
        <v>1.22</v>
      </c>
      <c r="DN6" s="60">
        <v>1.24</v>
      </c>
      <c r="DP6" s="62" t="s">
        <v>521</v>
      </c>
      <c r="DQ6" s="5">
        <v>500</v>
      </c>
      <c r="DR6" s="73">
        <v>8.1541666666666665E-2</v>
      </c>
      <c r="DS6" s="5">
        <v>7</v>
      </c>
      <c r="DU6" s="5">
        <v>56.85</v>
      </c>
      <c r="DV6" s="5">
        <v>67.83</v>
      </c>
      <c r="DW6" s="5">
        <v>63.84</v>
      </c>
      <c r="DX6" s="5">
        <v>66.12</v>
      </c>
      <c r="DY6" s="5">
        <v>57.57</v>
      </c>
      <c r="DZ6" s="5">
        <v>67.260000000000005</v>
      </c>
      <c r="EA6" s="5">
        <v>69.540000000000006</v>
      </c>
      <c r="EB6" s="5">
        <v>74.099999999999994</v>
      </c>
      <c r="EC6" s="5">
        <v>71.25</v>
      </c>
      <c r="ED6" s="5">
        <v>82.65</v>
      </c>
      <c r="EE6" s="5">
        <v>70.680000000000007</v>
      </c>
      <c r="EF6" s="5">
        <v>75.81</v>
      </c>
      <c r="EG6" s="5">
        <v>74.099999999999994</v>
      </c>
      <c r="EH6" s="5">
        <v>75.81</v>
      </c>
      <c r="EI6" s="5">
        <v>76.95</v>
      </c>
      <c r="EJ6" s="5">
        <v>60.42</v>
      </c>
      <c r="EK6" s="5">
        <v>78.66</v>
      </c>
      <c r="EL6" s="5">
        <v>75.81</v>
      </c>
      <c r="EM6" s="5">
        <v>77.52</v>
      </c>
      <c r="EN6" s="5">
        <v>71.25</v>
      </c>
      <c r="EO6" s="5">
        <v>67.83</v>
      </c>
      <c r="EP6" s="5">
        <v>71.25</v>
      </c>
      <c r="EQ6" s="5">
        <v>76.95</v>
      </c>
      <c r="ER6" s="5">
        <v>71.25</v>
      </c>
      <c r="ES6" s="5">
        <v>74.67</v>
      </c>
      <c r="ET6" s="5">
        <v>74.099999999999994</v>
      </c>
      <c r="EU6" s="5">
        <v>80.37</v>
      </c>
      <c r="EV6" s="5">
        <v>75.239999999999995</v>
      </c>
      <c r="EW6" s="5">
        <v>75.81</v>
      </c>
      <c r="EX6" s="5">
        <v>78.66</v>
      </c>
      <c r="EY6" s="5">
        <v>75.239999999999995</v>
      </c>
      <c r="EZ6" s="5">
        <v>72.39</v>
      </c>
      <c r="FA6" s="5">
        <v>71.25</v>
      </c>
      <c r="FB6" s="5">
        <v>67.260000000000005</v>
      </c>
      <c r="FC6" s="5">
        <v>76.38</v>
      </c>
      <c r="FD6" s="5">
        <v>70.11</v>
      </c>
      <c r="FE6" s="5">
        <v>65.55</v>
      </c>
      <c r="FF6" s="5">
        <v>74.099999999999994</v>
      </c>
      <c r="FG6" s="5">
        <v>68.97</v>
      </c>
      <c r="FH6" s="5">
        <v>80.37</v>
      </c>
      <c r="FI6" s="5">
        <v>70.680000000000007</v>
      </c>
      <c r="FJ6" s="5">
        <v>75.239999999999995</v>
      </c>
      <c r="FK6" s="5">
        <v>74.099999999999994</v>
      </c>
      <c r="FL6" s="5">
        <v>77.52</v>
      </c>
      <c r="FM6" s="5">
        <v>72.39</v>
      </c>
      <c r="FN6" s="5">
        <v>72.959999999999994</v>
      </c>
      <c r="FO6" s="5">
        <v>63.27</v>
      </c>
      <c r="FP6" s="5">
        <v>74.099999999999994</v>
      </c>
      <c r="FQ6" s="5">
        <v>72.39</v>
      </c>
      <c r="FR6" s="5">
        <v>71.819999999999993</v>
      </c>
      <c r="FS6" s="5">
        <v>73.53</v>
      </c>
      <c r="FT6" s="5">
        <v>74.67</v>
      </c>
      <c r="FU6" s="5">
        <v>78.09</v>
      </c>
      <c r="FV6" s="5">
        <v>76.95</v>
      </c>
      <c r="FW6" s="5">
        <v>71.819999999999993</v>
      </c>
      <c r="FX6" s="5">
        <v>70.680000000000007</v>
      </c>
      <c r="FY6" s="5">
        <v>73.53</v>
      </c>
      <c r="FZ6" s="5">
        <v>65.55</v>
      </c>
      <c r="GA6" s="5">
        <v>72.39</v>
      </c>
      <c r="GB6" s="5">
        <v>71.25</v>
      </c>
      <c r="GC6" s="5">
        <v>69.540000000000006</v>
      </c>
      <c r="GD6" s="5">
        <v>64.41</v>
      </c>
      <c r="GE6" s="5">
        <v>67.260000000000005</v>
      </c>
      <c r="GF6" s="5">
        <v>68.400000000000006</v>
      </c>
      <c r="GG6" s="5">
        <v>69.540000000000006</v>
      </c>
      <c r="GH6" s="5">
        <v>59.28</v>
      </c>
      <c r="GI6" s="5">
        <v>64.41</v>
      </c>
      <c r="GJ6" s="5">
        <v>58.14</v>
      </c>
      <c r="GK6" s="5">
        <v>64.41</v>
      </c>
      <c r="GL6" s="5">
        <v>60.42</v>
      </c>
      <c r="GM6" s="5">
        <v>63.27</v>
      </c>
      <c r="GN6" s="5">
        <v>61.56</v>
      </c>
      <c r="GO6" s="5">
        <v>55.86</v>
      </c>
      <c r="GP6" s="5">
        <v>57</v>
      </c>
      <c r="GQ6" s="5">
        <v>62.13</v>
      </c>
      <c r="GR6" s="5">
        <v>60.99</v>
      </c>
      <c r="GS6" s="5">
        <v>57.57</v>
      </c>
      <c r="GT6" s="5">
        <v>57.57</v>
      </c>
      <c r="GU6" s="5">
        <v>53.01</v>
      </c>
      <c r="GV6" s="5">
        <v>60.99</v>
      </c>
      <c r="GW6" s="5">
        <v>56.43</v>
      </c>
      <c r="GX6" s="5">
        <v>63.27</v>
      </c>
      <c r="GY6" s="5">
        <v>62.7</v>
      </c>
      <c r="GZ6" s="5">
        <v>66.12</v>
      </c>
      <c r="HA6" s="5">
        <v>65.55</v>
      </c>
      <c r="HB6" s="5">
        <v>66.69</v>
      </c>
      <c r="HC6" s="5">
        <v>68.97</v>
      </c>
      <c r="HD6" s="5">
        <v>70.680000000000007</v>
      </c>
      <c r="HE6" s="5">
        <v>71.819999999999993</v>
      </c>
      <c r="HF6" s="5">
        <v>63.84</v>
      </c>
      <c r="HG6" s="5">
        <v>71.819999999999993</v>
      </c>
      <c r="HH6" s="5">
        <v>67.83</v>
      </c>
      <c r="HI6" s="5">
        <v>66.12</v>
      </c>
      <c r="HJ6" s="5">
        <v>68.400000000000006</v>
      </c>
      <c r="HK6" s="5">
        <v>78.09</v>
      </c>
      <c r="HL6" s="5">
        <v>76.95</v>
      </c>
      <c r="HM6" s="5">
        <v>61.56</v>
      </c>
      <c r="HN6" s="5">
        <v>68.400000000000006</v>
      </c>
      <c r="HO6" s="5">
        <v>72.39</v>
      </c>
      <c r="HP6" s="5">
        <v>75.239999999999995</v>
      </c>
      <c r="HQ6" s="5">
        <v>76.38</v>
      </c>
    </row>
    <row r="7" spans="1:225">
      <c r="A7" s="69">
        <v>5</v>
      </c>
      <c r="B7" s="13">
        <v>10</v>
      </c>
      <c r="C7" s="5">
        <v>6</v>
      </c>
      <c r="D7" s="5">
        <f t="shared" si="0"/>
        <v>60</v>
      </c>
      <c r="E7" s="75">
        <v>0</v>
      </c>
      <c r="F7" s="60">
        <f t="shared" si="1"/>
        <v>0</v>
      </c>
      <c r="G7" s="60">
        <f t="shared" si="2"/>
        <v>30</v>
      </c>
      <c r="H7" s="13">
        <v>10</v>
      </c>
      <c r="I7" s="5">
        <v>8</v>
      </c>
      <c r="J7" s="5">
        <f t="shared" si="3"/>
        <v>80</v>
      </c>
      <c r="K7" s="60">
        <v>1.1399999999999999</v>
      </c>
      <c r="L7" s="60">
        <f t="shared" si="4"/>
        <v>14.249999999999998</v>
      </c>
      <c r="M7" s="60">
        <f t="shared" si="5"/>
        <v>47.125</v>
      </c>
      <c r="N7" s="75">
        <v>7841.3399999999983</v>
      </c>
      <c r="O7" s="5">
        <v>-63.705857849999994</v>
      </c>
      <c r="P7" s="5">
        <v>40.294142149999992</v>
      </c>
      <c r="Q7" s="5">
        <v>-63.939046600000005</v>
      </c>
      <c r="R7" s="5">
        <v>40.060953399999995</v>
      </c>
      <c r="T7" s="60">
        <v>1.17</v>
      </c>
      <c r="U7" s="60">
        <v>1.1499999999999999</v>
      </c>
      <c r="V7" s="60">
        <v>1.1200000000000001</v>
      </c>
      <c r="W7" s="60">
        <v>1.21</v>
      </c>
      <c r="X7" s="60">
        <v>1.03</v>
      </c>
      <c r="Y7" s="60">
        <v>1.23</v>
      </c>
      <c r="Z7" s="60">
        <v>1.34</v>
      </c>
      <c r="AA7" s="60">
        <v>1.4</v>
      </c>
      <c r="AB7" s="60">
        <v>1.34</v>
      </c>
      <c r="AC7" s="60">
        <v>1.39</v>
      </c>
      <c r="AD7" s="60">
        <v>1.31</v>
      </c>
      <c r="AE7" s="60">
        <v>1.42</v>
      </c>
      <c r="AF7" s="60">
        <v>1.36</v>
      </c>
      <c r="AG7" s="60">
        <v>0.99</v>
      </c>
      <c r="AH7" s="60">
        <v>1.41</v>
      </c>
      <c r="AI7" s="60">
        <v>1.37</v>
      </c>
      <c r="AJ7" s="60">
        <v>1.1499999999999999</v>
      </c>
      <c r="AK7" s="60">
        <v>1.1299999999999999</v>
      </c>
      <c r="AL7" s="60">
        <v>1.26</v>
      </c>
      <c r="AM7" s="60">
        <v>1.24</v>
      </c>
      <c r="AN7" s="60">
        <v>1.31</v>
      </c>
      <c r="AO7" s="60">
        <v>1.34</v>
      </c>
      <c r="AP7" s="60">
        <v>1.31</v>
      </c>
      <c r="AQ7" s="60">
        <v>1.35</v>
      </c>
      <c r="AR7" s="60">
        <v>1.36</v>
      </c>
      <c r="AS7" s="60">
        <v>1.38</v>
      </c>
      <c r="AT7" s="60">
        <v>1.36</v>
      </c>
      <c r="AU7" s="60">
        <v>1.32</v>
      </c>
      <c r="AV7" s="60">
        <v>1.37</v>
      </c>
      <c r="AW7" s="60">
        <v>1.26</v>
      </c>
      <c r="AX7" s="60">
        <v>1.35</v>
      </c>
      <c r="AY7" s="60">
        <v>1.25</v>
      </c>
      <c r="AZ7" s="60">
        <v>1.2</v>
      </c>
      <c r="BA7" s="60">
        <v>1.1399999999999999</v>
      </c>
      <c r="BB7" s="60">
        <v>1.4</v>
      </c>
      <c r="BC7" s="60">
        <v>1.52</v>
      </c>
      <c r="BD7" s="60">
        <v>1.42</v>
      </c>
      <c r="BE7" s="60">
        <v>1.35</v>
      </c>
      <c r="BF7" s="60">
        <v>1.45</v>
      </c>
      <c r="BG7" s="60">
        <v>1.46</v>
      </c>
      <c r="BH7" s="60">
        <v>1.32</v>
      </c>
      <c r="BI7" s="60">
        <v>1.28</v>
      </c>
      <c r="BJ7" s="60">
        <v>1.41</v>
      </c>
      <c r="BK7" s="60">
        <v>1.41</v>
      </c>
      <c r="BL7" s="60">
        <v>1.51</v>
      </c>
      <c r="BM7" s="60">
        <v>1.42</v>
      </c>
      <c r="BN7" s="60">
        <v>1.47</v>
      </c>
      <c r="BO7" s="60">
        <v>1.33</v>
      </c>
      <c r="BP7" s="60">
        <v>1.35</v>
      </c>
      <c r="BQ7" s="60">
        <v>1.38</v>
      </c>
      <c r="BR7" s="60">
        <v>1.48</v>
      </c>
      <c r="BS7" s="60">
        <v>1.39</v>
      </c>
      <c r="BT7" s="60">
        <v>1.42</v>
      </c>
      <c r="BU7" s="60">
        <v>1.42</v>
      </c>
      <c r="BV7" s="60">
        <v>1.44</v>
      </c>
      <c r="BW7" s="60">
        <v>1.33</v>
      </c>
      <c r="BX7" s="60">
        <v>1.22</v>
      </c>
      <c r="BY7" s="60">
        <v>1.18</v>
      </c>
      <c r="BZ7" s="60">
        <v>1.3</v>
      </c>
      <c r="CA7" s="60">
        <v>1.19</v>
      </c>
      <c r="CB7" s="60">
        <v>1.17</v>
      </c>
      <c r="CC7" s="60">
        <v>1.23</v>
      </c>
      <c r="CD7" s="60">
        <v>1.1200000000000001</v>
      </c>
      <c r="CE7" s="60">
        <v>1.21</v>
      </c>
      <c r="CF7" s="60">
        <v>1.1399999999999999</v>
      </c>
      <c r="CG7" s="60">
        <v>1.21</v>
      </c>
      <c r="CH7" s="60">
        <v>1.06</v>
      </c>
      <c r="CI7" s="60">
        <v>1.1599999999999999</v>
      </c>
      <c r="CJ7" s="60">
        <v>1.19</v>
      </c>
      <c r="CK7" s="60">
        <v>1.1599999999999999</v>
      </c>
      <c r="CL7" s="60">
        <v>1.1200000000000001</v>
      </c>
      <c r="CM7" s="60">
        <v>1.04</v>
      </c>
      <c r="CN7" s="60">
        <v>1.0900000000000001</v>
      </c>
      <c r="CO7" s="60">
        <v>1</v>
      </c>
      <c r="CP7" s="60">
        <v>1.06</v>
      </c>
      <c r="CQ7" s="60">
        <v>1.04</v>
      </c>
      <c r="CR7" s="60">
        <v>1.1200000000000001</v>
      </c>
      <c r="CS7" s="60">
        <v>1.1100000000000001</v>
      </c>
      <c r="CT7" s="60">
        <v>1.07</v>
      </c>
      <c r="CU7" s="60">
        <v>1.17</v>
      </c>
      <c r="CV7" s="60">
        <v>1.25</v>
      </c>
      <c r="CW7" s="60">
        <v>1.1299999999999999</v>
      </c>
      <c r="CX7" s="60">
        <v>1.25</v>
      </c>
      <c r="CY7" s="60">
        <v>1.29</v>
      </c>
      <c r="CZ7" s="60">
        <v>1.24</v>
      </c>
      <c r="DA7" s="60">
        <v>1.21</v>
      </c>
      <c r="DB7" s="60">
        <v>0.97</v>
      </c>
      <c r="DC7" s="60">
        <v>1.18</v>
      </c>
      <c r="DD7" s="60">
        <v>1.1599999999999999</v>
      </c>
      <c r="DE7" s="60">
        <v>1.25</v>
      </c>
      <c r="DF7" s="60">
        <v>1.24</v>
      </c>
      <c r="DG7" s="60">
        <v>1.31</v>
      </c>
      <c r="DH7" s="60">
        <v>1.22</v>
      </c>
      <c r="DI7" s="60">
        <v>1.32</v>
      </c>
      <c r="DJ7" s="60">
        <v>1.37</v>
      </c>
      <c r="DK7" s="60">
        <v>1.36</v>
      </c>
      <c r="DL7" s="60">
        <v>1.37</v>
      </c>
      <c r="DM7" s="60">
        <v>1.28</v>
      </c>
      <c r="DN7" s="60">
        <v>1.18</v>
      </c>
      <c r="DP7" s="62" t="s">
        <v>522</v>
      </c>
      <c r="DQ7" s="5">
        <v>500</v>
      </c>
      <c r="DR7" s="73">
        <v>0</v>
      </c>
      <c r="DS7" s="75">
        <v>10</v>
      </c>
      <c r="DU7" s="5">
        <v>72.239999999999995</v>
      </c>
      <c r="DV7" s="5">
        <v>74.67</v>
      </c>
      <c r="DW7" s="5">
        <v>72.39</v>
      </c>
      <c r="DX7" s="5">
        <v>71.25</v>
      </c>
      <c r="DY7" s="5">
        <v>69.540000000000006</v>
      </c>
      <c r="DZ7" s="5">
        <v>74.67</v>
      </c>
      <c r="EA7" s="5">
        <v>63.84</v>
      </c>
      <c r="EB7" s="5">
        <v>75.239999999999995</v>
      </c>
      <c r="EC7" s="5">
        <v>82.08</v>
      </c>
      <c r="ED7" s="5">
        <v>85.5</v>
      </c>
      <c r="EE7" s="5">
        <v>82.08</v>
      </c>
      <c r="EF7" s="5">
        <v>84.93</v>
      </c>
      <c r="EG7" s="5">
        <v>80.37</v>
      </c>
      <c r="EH7" s="5">
        <v>86.64</v>
      </c>
      <c r="EI7" s="5">
        <v>83.22</v>
      </c>
      <c r="EJ7" s="5">
        <v>60.99</v>
      </c>
      <c r="EK7" s="5">
        <v>86.07</v>
      </c>
      <c r="EL7" s="5">
        <v>83.79</v>
      </c>
      <c r="EM7" s="5">
        <v>70.680000000000007</v>
      </c>
      <c r="EN7" s="5">
        <v>69.540000000000006</v>
      </c>
      <c r="EO7" s="5">
        <v>77.52</v>
      </c>
      <c r="EP7" s="5">
        <v>76.38</v>
      </c>
      <c r="EQ7" s="5">
        <v>80.37</v>
      </c>
      <c r="ER7" s="5">
        <v>82.08</v>
      </c>
      <c r="ES7" s="5">
        <v>80.37</v>
      </c>
      <c r="ET7" s="5">
        <v>82.65</v>
      </c>
      <c r="EU7" s="5">
        <v>83.22</v>
      </c>
      <c r="EV7" s="5">
        <v>84.36</v>
      </c>
      <c r="EW7" s="5">
        <v>83.22</v>
      </c>
      <c r="EX7" s="5">
        <v>80.94</v>
      </c>
      <c r="EY7" s="5">
        <v>83.79</v>
      </c>
      <c r="EZ7" s="5">
        <v>77.52</v>
      </c>
      <c r="FA7" s="5">
        <v>82.65</v>
      </c>
      <c r="FB7" s="5">
        <v>76.95</v>
      </c>
      <c r="FC7" s="5">
        <v>74.099999999999994</v>
      </c>
      <c r="FD7" s="5">
        <v>70.11</v>
      </c>
      <c r="FE7" s="5">
        <v>85.5</v>
      </c>
      <c r="FF7" s="5">
        <v>92.34</v>
      </c>
      <c r="FG7" s="5">
        <v>86.64</v>
      </c>
      <c r="FH7" s="5">
        <v>82.65</v>
      </c>
      <c r="FI7" s="5">
        <v>88.35</v>
      </c>
      <c r="FJ7" s="5">
        <v>88.92</v>
      </c>
      <c r="FK7" s="5">
        <v>80.94</v>
      </c>
      <c r="FL7" s="5">
        <v>78.66</v>
      </c>
      <c r="FM7" s="5">
        <v>86.07</v>
      </c>
      <c r="FN7" s="5">
        <v>86.07</v>
      </c>
      <c r="FO7" s="5">
        <v>91.77</v>
      </c>
      <c r="FP7" s="5">
        <v>86.64</v>
      </c>
      <c r="FQ7" s="5">
        <v>89.49</v>
      </c>
      <c r="FR7" s="5">
        <v>81.510000000000005</v>
      </c>
      <c r="FS7" s="5">
        <v>82.65</v>
      </c>
      <c r="FT7" s="5">
        <v>83.79</v>
      </c>
      <c r="FU7" s="5">
        <v>90.06</v>
      </c>
      <c r="FV7" s="5">
        <v>84.93</v>
      </c>
      <c r="FW7" s="5">
        <v>86.64</v>
      </c>
      <c r="FX7" s="5">
        <v>86.64</v>
      </c>
      <c r="FY7" s="5">
        <v>87.78</v>
      </c>
      <c r="FZ7" s="5">
        <v>81.510000000000005</v>
      </c>
      <c r="GA7" s="5">
        <v>75.239999999999995</v>
      </c>
      <c r="GB7" s="5">
        <v>72.959999999999994</v>
      </c>
      <c r="GC7" s="5">
        <v>79.8</v>
      </c>
      <c r="GD7" s="5">
        <v>73.53</v>
      </c>
      <c r="GE7" s="5">
        <v>72.39</v>
      </c>
      <c r="GF7" s="5">
        <v>75.81</v>
      </c>
      <c r="GG7" s="5">
        <v>69.540000000000006</v>
      </c>
      <c r="GH7" s="5">
        <v>74.67</v>
      </c>
      <c r="GI7" s="5">
        <v>70.11</v>
      </c>
      <c r="GJ7" s="5">
        <v>74.67</v>
      </c>
      <c r="GK7" s="5">
        <v>65.55</v>
      </c>
      <c r="GL7" s="5">
        <v>71.819999999999993</v>
      </c>
      <c r="GM7" s="5">
        <v>73.53</v>
      </c>
      <c r="GN7" s="5">
        <v>71.819999999999993</v>
      </c>
      <c r="GO7" s="5">
        <v>69.540000000000006</v>
      </c>
      <c r="GP7" s="5">
        <v>64.98</v>
      </c>
      <c r="GQ7" s="5">
        <v>67.83</v>
      </c>
      <c r="GR7" s="5">
        <v>62.7</v>
      </c>
      <c r="GS7" s="5">
        <v>66.12</v>
      </c>
      <c r="GT7" s="5">
        <v>64.98</v>
      </c>
      <c r="GU7" s="5">
        <v>69.540000000000006</v>
      </c>
      <c r="GV7" s="5">
        <v>68.97</v>
      </c>
      <c r="GW7" s="5">
        <v>66.69</v>
      </c>
      <c r="GX7" s="5">
        <v>72.39</v>
      </c>
      <c r="GY7" s="5">
        <v>76.95</v>
      </c>
      <c r="GZ7" s="5">
        <v>70.11</v>
      </c>
      <c r="HA7" s="5">
        <v>76.95</v>
      </c>
      <c r="HB7" s="5">
        <v>79.23</v>
      </c>
      <c r="HC7" s="5">
        <v>76.38</v>
      </c>
      <c r="HD7" s="5">
        <v>74.67</v>
      </c>
      <c r="HE7" s="5">
        <v>60.42</v>
      </c>
      <c r="HF7" s="5">
        <v>72.959999999999994</v>
      </c>
      <c r="HG7" s="5">
        <v>71.819999999999993</v>
      </c>
      <c r="HH7" s="5">
        <v>76.95</v>
      </c>
      <c r="HI7" s="5">
        <v>76.38</v>
      </c>
      <c r="HJ7" s="5">
        <v>80.37</v>
      </c>
      <c r="HK7" s="5">
        <v>75.239999999999995</v>
      </c>
      <c r="HL7" s="5">
        <v>80.94</v>
      </c>
      <c r="HM7" s="5">
        <v>83.79</v>
      </c>
      <c r="HN7" s="5">
        <v>83.22</v>
      </c>
      <c r="HO7" s="5">
        <v>83.79</v>
      </c>
      <c r="HP7" s="5">
        <v>78.09</v>
      </c>
      <c r="HQ7" s="5">
        <v>72.39</v>
      </c>
    </row>
    <row r="8" spans="1:225">
      <c r="A8" s="69">
        <v>6</v>
      </c>
      <c r="B8" s="13">
        <v>10</v>
      </c>
      <c r="C8" s="5">
        <v>10</v>
      </c>
      <c r="D8" s="5">
        <f t="shared" si="0"/>
        <v>100</v>
      </c>
      <c r="E8" s="5">
        <v>1</v>
      </c>
      <c r="F8" s="60">
        <f t="shared" si="1"/>
        <v>10</v>
      </c>
      <c r="G8" s="60">
        <f t="shared" si="2"/>
        <v>55</v>
      </c>
      <c r="H8" s="13">
        <v>10</v>
      </c>
      <c r="I8" s="5">
        <v>7</v>
      </c>
      <c r="J8" s="5">
        <f t="shared" si="3"/>
        <v>70</v>
      </c>
      <c r="K8" s="60">
        <v>0.92</v>
      </c>
      <c r="L8" s="60">
        <f t="shared" si="4"/>
        <v>13.142857142857142</v>
      </c>
      <c r="M8" s="60">
        <f t="shared" si="5"/>
        <v>41.571428571428569</v>
      </c>
      <c r="N8" s="75">
        <v>7478.8200000000015</v>
      </c>
      <c r="O8" s="5">
        <v>-60.224346149999995</v>
      </c>
      <c r="P8" s="5">
        <v>43.775653849999998</v>
      </c>
      <c r="Q8" s="5">
        <v>-63.304565400000001</v>
      </c>
      <c r="R8" s="5">
        <v>40.695434599999999</v>
      </c>
      <c r="T8" s="60">
        <v>1.05</v>
      </c>
      <c r="U8" s="60">
        <v>1.1200000000000001</v>
      </c>
      <c r="V8" s="60">
        <v>1.1200000000000001</v>
      </c>
      <c r="W8" s="60">
        <v>1.2</v>
      </c>
      <c r="X8" s="60">
        <v>1.02</v>
      </c>
      <c r="Y8" s="60">
        <v>1.2</v>
      </c>
      <c r="Z8" s="60">
        <v>1.31</v>
      </c>
      <c r="AA8" s="60">
        <v>1.25</v>
      </c>
      <c r="AB8" s="60">
        <v>1.36</v>
      </c>
      <c r="AC8" s="60">
        <v>1.31</v>
      </c>
      <c r="AD8" s="60">
        <v>1.22</v>
      </c>
      <c r="AE8" s="60">
        <v>1.36</v>
      </c>
      <c r="AF8" s="60">
        <v>1.25</v>
      </c>
      <c r="AG8" s="60">
        <v>1.37</v>
      </c>
      <c r="AH8" s="60">
        <v>1.26</v>
      </c>
      <c r="AI8" s="60">
        <v>1.0900000000000001</v>
      </c>
      <c r="AJ8" s="60">
        <v>1.39</v>
      </c>
      <c r="AK8" s="60">
        <v>1.26</v>
      </c>
      <c r="AL8" s="60">
        <v>1.26</v>
      </c>
      <c r="AM8" s="60">
        <v>1.08</v>
      </c>
      <c r="AN8" s="60">
        <v>1.1200000000000001</v>
      </c>
      <c r="AO8" s="60">
        <v>1.06</v>
      </c>
      <c r="AP8" s="60">
        <v>1.1499999999999999</v>
      </c>
      <c r="AQ8" s="60">
        <v>1.1299999999999999</v>
      </c>
      <c r="AR8" s="60">
        <v>1.17</v>
      </c>
      <c r="AS8" s="60">
        <v>1.0900000000000001</v>
      </c>
      <c r="AT8" s="60">
        <v>1.1599999999999999</v>
      </c>
      <c r="AU8" s="60">
        <v>1.17</v>
      </c>
      <c r="AV8" s="60">
        <v>1.1499999999999999</v>
      </c>
      <c r="AW8" s="60">
        <v>1.1599999999999999</v>
      </c>
      <c r="AX8" s="60">
        <v>1.07</v>
      </c>
      <c r="AY8" s="60">
        <v>1.19</v>
      </c>
      <c r="AZ8" s="60">
        <v>1.1299999999999999</v>
      </c>
      <c r="BA8" s="60">
        <v>1.28</v>
      </c>
      <c r="BB8" s="60">
        <v>1.1399999999999999</v>
      </c>
      <c r="BC8" s="60">
        <v>1.22</v>
      </c>
      <c r="BD8" s="60">
        <v>1.35</v>
      </c>
      <c r="BE8" s="60">
        <v>1.24</v>
      </c>
      <c r="BF8" s="60">
        <v>1.39</v>
      </c>
      <c r="BG8" s="60">
        <v>1.46</v>
      </c>
      <c r="BH8" s="60">
        <v>1.25</v>
      </c>
      <c r="BI8" s="60">
        <v>1.26</v>
      </c>
      <c r="BJ8" s="60">
        <v>1.32</v>
      </c>
      <c r="BK8" s="60">
        <v>1.43</v>
      </c>
      <c r="BL8" s="60">
        <v>1.47</v>
      </c>
      <c r="BM8" s="60">
        <v>1.41</v>
      </c>
      <c r="BN8" s="60">
        <v>1.35</v>
      </c>
      <c r="BO8" s="60">
        <v>1.46</v>
      </c>
      <c r="BP8" s="60">
        <v>1.44</v>
      </c>
      <c r="BQ8" s="60">
        <v>1.32</v>
      </c>
      <c r="BR8" s="60">
        <v>1.1100000000000001</v>
      </c>
      <c r="BS8" s="60">
        <v>1.39</v>
      </c>
      <c r="BT8" s="60">
        <v>1.3</v>
      </c>
      <c r="BU8" s="60">
        <v>1.32</v>
      </c>
      <c r="BV8" s="60">
        <v>1.3</v>
      </c>
      <c r="BW8" s="60">
        <v>1.27</v>
      </c>
      <c r="BX8" s="60">
        <v>1.3</v>
      </c>
      <c r="BY8" s="60">
        <v>1.26</v>
      </c>
      <c r="BZ8" s="60">
        <v>1.29</v>
      </c>
      <c r="CA8" s="60">
        <v>1.18</v>
      </c>
      <c r="CB8" s="60">
        <v>1.06</v>
      </c>
      <c r="CC8" s="60">
        <v>1.07</v>
      </c>
      <c r="CD8" s="60">
        <v>1.1200000000000001</v>
      </c>
      <c r="CE8" s="60">
        <v>1.1000000000000001</v>
      </c>
      <c r="CF8" s="60">
        <v>1.01</v>
      </c>
      <c r="CG8" s="60">
        <v>1.08</v>
      </c>
      <c r="CH8" s="60">
        <v>1.07</v>
      </c>
      <c r="CI8" s="60">
        <v>1.1399999999999999</v>
      </c>
      <c r="CJ8" s="60">
        <v>1.0900000000000001</v>
      </c>
      <c r="CK8" s="60">
        <v>1.19</v>
      </c>
      <c r="CL8" s="60">
        <v>1.03</v>
      </c>
      <c r="CM8" s="60">
        <v>1.05</v>
      </c>
      <c r="CN8" s="60">
        <v>0.95</v>
      </c>
      <c r="CO8" s="60">
        <v>0.88</v>
      </c>
      <c r="CP8" s="60">
        <v>0.99</v>
      </c>
      <c r="CQ8" s="60">
        <v>0.98</v>
      </c>
      <c r="CR8" s="60">
        <v>1.05</v>
      </c>
      <c r="CS8" s="60">
        <v>1.03</v>
      </c>
      <c r="CT8" s="60">
        <v>1.02</v>
      </c>
      <c r="CU8" s="60">
        <v>1.1100000000000001</v>
      </c>
      <c r="CV8" s="60">
        <v>1.0900000000000001</v>
      </c>
      <c r="CW8" s="60">
        <v>1.24</v>
      </c>
      <c r="CX8" s="60">
        <v>1.17</v>
      </c>
      <c r="CY8" s="60">
        <v>1.1000000000000001</v>
      </c>
      <c r="CZ8" s="60">
        <v>1.3</v>
      </c>
      <c r="DA8" s="60">
        <v>1.22</v>
      </c>
      <c r="DB8" s="60">
        <v>1.2</v>
      </c>
      <c r="DC8" s="60">
        <v>1.2</v>
      </c>
      <c r="DD8" s="60">
        <v>1.02</v>
      </c>
      <c r="DE8" s="60">
        <v>1.27</v>
      </c>
      <c r="DF8" s="60">
        <v>1.28</v>
      </c>
      <c r="DG8" s="60">
        <v>1.1499999999999999</v>
      </c>
      <c r="DH8" s="60">
        <v>1.37</v>
      </c>
      <c r="DI8" s="60">
        <v>1.39</v>
      </c>
      <c r="DJ8" s="60">
        <v>1.29</v>
      </c>
      <c r="DK8" s="60">
        <v>1.37</v>
      </c>
      <c r="DL8" s="60">
        <v>1.38</v>
      </c>
      <c r="DM8" s="60">
        <v>1.2</v>
      </c>
      <c r="DN8" s="60">
        <v>1.1399999999999999</v>
      </c>
      <c r="DP8" s="5" t="s">
        <v>523</v>
      </c>
      <c r="DQ8" s="5">
        <v>500</v>
      </c>
      <c r="DR8" s="73">
        <v>7.6246999999999995E-2</v>
      </c>
      <c r="DS8" s="5">
        <v>9</v>
      </c>
      <c r="DU8" s="5">
        <v>59.7</v>
      </c>
      <c r="DV8" s="5">
        <v>70.680000000000007</v>
      </c>
      <c r="DW8" s="5">
        <v>65.55</v>
      </c>
      <c r="DX8" s="5">
        <v>69.540000000000006</v>
      </c>
      <c r="DY8" s="5">
        <v>69.540000000000006</v>
      </c>
      <c r="DZ8" s="5">
        <v>74.099999999999994</v>
      </c>
      <c r="EA8" s="5">
        <v>63.84</v>
      </c>
      <c r="EB8" s="5">
        <v>74.099999999999994</v>
      </c>
      <c r="EC8" s="5">
        <v>80.37</v>
      </c>
      <c r="ED8" s="5">
        <v>76.95</v>
      </c>
      <c r="EE8" s="5">
        <v>83.22</v>
      </c>
      <c r="EF8" s="5">
        <v>80.37</v>
      </c>
      <c r="EG8" s="5">
        <v>75.239999999999995</v>
      </c>
      <c r="EH8" s="5">
        <v>83.22</v>
      </c>
      <c r="EI8" s="5">
        <v>76.38</v>
      </c>
      <c r="EJ8" s="5">
        <v>83.79</v>
      </c>
      <c r="EK8" s="5">
        <v>77.52</v>
      </c>
      <c r="EL8" s="5">
        <v>67.260000000000005</v>
      </c>
      <c r="EM8" s="5">
        <v>84.93</v>
      </c>
      <c r="EN8" s="5">
        <v>77.52</v>
      </c>
      <c r="EO8" s="5">
        <v>77.52</v>
      </c>
      <c r="EP8" s="5">
        <v>67.260000000000005</v>
      </c>
      <c r="EQ8" s="5">
        <v>69.540000000000006</v>
      </c>
      <c r="ER8" s="5">
        <v>66.12</v>
      </c>
      <c r="ES8" s="5">
        <v>71.25</v>
      </c>
      <c r="ET8" s="5">
        <v>70.11</v>
      </c>
      <c r="EU8" s="5">
        <v>72.39</v>
      </c>
      <c r="EV8" s="5">
        <v>67.83</v>
      </c>
      <c r="EW8" s="5">
        <v>71.819999999999993</v>
      </c>
      <c r="EX8" s="5">
        <v>72.39</v>
      </c>
      <c r="EY8" s="5">
        <v>71.25</v>
      </c>
      <c r="EZ8" s="5">
        <v>71.819999999999993</v>
      </c>
      <c r="FA8" s="5">
        <v>66.69</v>
      </c>
      <c r="FB8" s="5">
        <v>73.53</v>
      </c>
      <c r="FC8" s="5">
        <v>70.11</v>
      </c>
      <c r="FD8" s="5">
        <v>78.66</v>
      </c>
      <c r="FE8" s="5">
        <v>70.680000000000007</v>
      </c>
      <c r="FF8" s="5">
        <v>75.239999999999995</v>
      </c>
      <c r="FG8" s="5">
        <v>82.65</v>
      </c>
      <c r="FH8" s="5">
        <v>76.38</v>
      </c>
      <c r="FI8" s="5">
        <v>84.93</v>
      </c>
      <c r="FJ8" s="5">
        <v>88.92</v>
      </c>
      <c r="FK8" s="5">
        <v>76.95</v>
      </c>
      <c r="FL8" s="5">
        <v>76.95</v>
      </c>
      <c r="FM8" s="5">
        <v>80.94</v>
      </c>
      <c r="FN8" s="5">
        <v>87.21</v>
      </c>
      <c r="FO8" s="5">
        <v>89.49</v>
      </c>
      <c r="FP8" s="5">
        <v>86.07</v>
      </c>
      <c r="FQ8" s="5">
        <v>82.08</v>
      </c>
      <c r="FR8" s="5">
        <v>88.92</v>
      </c>
      <c r="FS8" s="5">
        <v>87.78</v>
      </c>
      <c r="FT8" s="5">
        <v>80.94</v>
      </c>
      <c r="FU8" s="5">
        <v>68.400000000000006</v>
      </c>
      <c r="FV8" s="5">
        <v>84.93</v>
      </c>
      <c r="FW8" s="5">
        <v>79.8</v>
      </c>
      <c r="FX8" s="5">
        <v>80.94</v>
      </c>
      <c r="FY8" s="5">
        <v>79.8</v>
      </c>
      <c r="FZ8" s="5">
        <v>78.09</v>
      </c>
      <c r="GA8" s="5">
        <v>79.8</v>
      </c>
      <c r="GB8" s="5">
        <v>77.52</v>
      </c>
      <c r="GC8" s="5">
        <v>79.23</v>
      </c>
      <c r="GD8" s="5">
        <v>72.959999999999994</v>
      </c>
      <c r="GE8" s="5">
        <v>66.12</v>
      </c>
      <c r="GF8" s="5">
        <v>66.69</v>
      </c>
      <c r="GG8" s="5">
        <v>69.540000000000006</v>
      </c>
      <c r="GH8" s="5">
        <v>68.400000000000006</v>
      </c>
      <c r="GI8" s="5">
        <v>62.7</v>
      </c>
      <c r="GJ8" s="5">
        <v>67.260000000000005</v>
      </c>
      <c r="GK8" s="5">
        <v>66.69</v>
      </c>
      <c r="GL8" s="5">
        <v>70.680000000000007</v>
      </c>
      <c r="GM8" s="5">
        <v>67.83</v>
      </c>
      <c r="GN8" s="5">
        <v>73.53</v>
      </c>
      <c r="GO8" s="5">
        <v>64.41</v>
      </c>
      <c r="GP8" s="5">
        <v>65.55</v>
      </c>
      <c r="GQ8" s="5">
        <v>59.85</v>
      </c>
      <c r="GR8" s="5">
        <v>55.29</v>
      </c>
      <c r="GS8" s="5">
        <v>62.13</v>
      </c>
      <c r="GT8" s="5">
        <v>61.56</v>
      </c>
      <c r="GU8" s="5">
        <v>65.55</v>
      </c>
      <c r="GV8" s="5">
        <v>64.41</v>
      </c>
      <c r="GW8" s="5">
        <v>63.84</v>
      </c>
      <c r="GX8" s="5">
        <v>68.97</v>
      </c>
      <c r="GY8" s="5">
        <v>67.260000000000005</v>
      </c>
      <c r="GZ8" s="5">
        <v>76.38</v>
      </c>
      <c r="HA8" s="5">
        <v>72.39</v>
      </c>
      <c r="HB8" s="5">
        <v>68.400000000000006</v>
      </c>
      <c r="HC8" s="5">
        <v>79.8</v>
      </c>
      <c r="HD8" s="5">
        <v>75.239999999999995</v>
      </c>
      <c r="HE8" s="5">
        <v>74.099999999999994</v>
      </c>
      <c r="HF8" s="5">
        <v>74.099999999999994</v>
      </c>
      <c r="HG8" s="5">
        <v>63.27</v>
      </c>
      <c r="HH8" s="5">
        <v>78.09</v>
      </c>
      <c r="HI8" s="5">
        <v>78.66</v>
      </c>
      <c r="HJ8" s="5">
        <v>71.25</v>
      </c>
      <c r="HK8" s="5">
        <v>83.79</v>
      </c>
      <c r="HL8" s="5">
        <v>84.93</v>
      </c>
      <c r="HM8" s="5">
        <v>79.23</v>
      </c>
      <c r="HN8" s="5">
        <v>83.79</v>
      </c>
      <c r="HO8" s="5">
        <v>84.36</v>
      </c>
      <c r="HP8" s="5">
        <v>73.53</v>
      </c>
      <c r="HQ8" s="5">
        <v>69.540000000000006</v>
      </c>
    </row>
    <row r="9" spans="1:225">
      <c r="A9" s="69">
        <v>7</v>
      </c>
      <c r="B9" s="13">
        <v>10</v>
      </c>
      <c r="C9" s="5">
        <v>8</v>
      </c>
      <c r="D9" s="5">
        <f t="shared" si="0"/>
        <v>80</v>
      </c>
      <c r="E9" s="5">
        <v>1</v>
      </c>
      <c r="F9" s="60">
        <f t="shared" si="1"/>
        <v>12.5</v>
      </c>
      <c r="G9" s="60">
        <f t="shared" si="2"/>
        <v>46.25</v>
      </c>
      <c r="H9" s="13">
        <v>10</v>
      </c>
      <c r="I9" s="5">
        <v>5</v>
      </c>
      <c r="J9" s="5">
        <f t="shared" si="3"/>
        <v>50</v>
      </c>
      <c r="K9" s="60">
        <v>0.99</v>
      </c>
      <c r="L9" s="60">
        <f t="shared" si="4"/>
        <v>19.8</v>
      </c>
      <c r="M9" s="60">
        <f t="shared" si="5"/>
        <v>34.9</v>
      </c>
      <c r="N9" s="75">
        <v>7756.9799999999987</v>
      </c>
      <c r="O9" s="5">
        <v>-62.238772949999998</v>
      </c>
      <c r="P9" s="5">
        <v>41.761227050000002</v>
      </c>
      <c r="Q9" s="5">
        <v>-60.366662700000006</v>
      </c>
      <c r="R9" s="5">
        <v>43.633337299999994</v>
      </c>
      <c r="T9" s="60">
        <v>1.2</v>
      </c>
      <c r="U9" s="60">
        <v>1.18</v>
      </c>
      <c r="V9" s="60">
        <v>1.18</v>
      </c>
      <c r="W9" s="60">
        <v>1.0900000000000001</v>
      </c>
      <c r="X9" s="60">
        <v>1.1499999999999999</v>
      </c>
      <c r="Y9" s="60">
        <v>1.32</v>
      </c>
      <c r="Z9" s="60">
        <v>1.21</v>
      </c>
      <c r="AA9" s="60">
        <v>1.1000000000000001</v>
      </c>
      <c r="AB9" s="60">
        <v>1.27</v>
      </c>
      <c r="AC9" s="60">
        <v>1.1200000000000001</v>
      </c>
      <c r="AD9" s="60">
        <v>1.17</v>
      </c>
      <c r="AE9" s="60">
        <v>1.49</v>
      </c>
      <c r="AF9" s="60">
        <v>1.48</v>
      </c>
      <c r="AG9" s="60">
        <v>1.39</v>
      </c>
      <c r="AH9" s="60">
        <v>1.51</v>
      </c>
      <c r="AI9" s="60">
        <v>1.39</v>
      </c>
      <c r="AJ9" s="60">
        <v>1.42</v>
      </c>
      <c r="AK9" s="60">
        <v>1.34</v>
      </c>
      <c r="AL9" s="60">
        <v>1.54</v>
      </c>
      <c r="AM9" s="60">
        <v>1.23</v>
      </c>
      <c r="AN9" s="60">
        <v>1.25</v>
      </c>
      <c r="AO9" s="60">
        <v>1.1299999999999999</v>
      </c>
      <c r="AP9" s="60">
        <v>1.3</v>
      </c>
      <c r="AQ9" s="60">
        <v>1.23</v>
      </c>
      <c r="AR9" s="60">
        <v>1.17</v>
      </c>
      <c r="AS9" s="60">
        <v>1.07</v>
      </c>
      <c r="AT9" s="60">
        <v>1.19</v>
      </c>
      <c r="AU9" s="60">
        <v>1.25</v>
      </c>
      <c r="AV9" s="60">
        <v>1.22</v>
      </c>
      <c r="AW9" s="60">
        <v>1.18</v>
      </c>
      <c r="AX9" s="60">
        <v>1.03</v>
      </c>
      <c r="AY9" s="60">
        <v>1.19</v>
      </c>
      <c r="AZ9" s="60">
        <v>1.28</v>
      </c>
      <c r="BA9" s="60">
        <v>1.23</v>
      </c>
      <c r="BB9" s="60">
        <v>1.38</v>
      </c>
      <c r="BC9" s="60">
        <v>1.45</v>
      </c>
      <c r="BD9" s="60">
        <v>1.46</v>
      </c>
      <c r="BE9" s="60">
        <v>1.48</v>
      </c>
      <c r="BF9" s="60">
        <v>1.32</v>
      </c>
      <c r="BG9" s="60">
        <v>1.59</v>
      </c>
      <c r="BH9" s="60">
        <v>1.35</v>
      </c>
      <c r="BI9" s="60">
        <v>1.34</v>
      </c>
      <c r="BJ9" s="60">
        <v>1.48</v>
      </c>
      <c r="BK9" s="60">
        <v>1.18</v>
      </c>
      <c r="BL9" s="60">
        <v>1.51</v>
      </c>
      <c r="BM9" s="60">
        <v>1.42</v>
      </c>
      <c r="BN9" s="60">
        <v>1.42</v>
      </c>
      <c r="BO9" s="60">
        <v>1.36</v>
      </c>
      <c r="BP9" s="60">
        <v>1.47</v>
      </c>
      <c r="BQ9" s="60">
        <v>1.28</v>
      </c>
      <c r="BR9" s="60">
        <v>1.43</v>
      </c>
      <c r="BS9" s="60">
        <v>1.26</v>
      </c>
      <c r="BT9" s="60">
        <v>1.2</v>
      </c>
      <c r="BU9" s="60">
        <v>1.1299999999999999</v>
      </c>
      <c r="BV9" s="60">
        <v>1.27</v>
      </c>
      <c r="BW9" s="60">
        <v>1.24</v>
      </c>
      <c r="BX9" s="60">
        <v>1.21</v>
      </c>
      <c r="BY9" s="60">
        <v>1.21</v>
      </c>
      <c r="BZ9" s="60">
        <v>1.19</v>
      </c>
      <c r="CA9" s="60">
        <v>1.24</v>
      </c>
      <c r="CB9" s="60">
        <v>1.0900000000000001</v>
      </c>
      <c r="CC9" s="60">
        <v>1.03</v>
      </c>
      <c r="CD9" s="60">
        <v>1.1100000000000001</v>
      </c>
      <c r="CE9" s="60">
        <v>0.94</v>
      </c>
      <c r="CF9" s="60">
        <v>1.17</v>
      </c>
      <c r="CG9" s="60">
        <v>1.17</v>
      </c>
      <c r="CH9" s="60">
        <v>1.1299999999999999</v>
      </c>
      <c r="CI9" s="60">
        <v>0.95</v>
      </c>
      <c r="CJ9" s="60">
        <v>1.0900000000000001</v>
      </c>
      <c r="CK9" s="60">
        <v>1.06</v>
      </c>
      <c r="CL9" s="60">
        <v>1.1100000000000001</v>
      </c>
      <c r="CM9" s="60">
        <v>1.1200000000000001</v>
      </c>
      <c r="CN9" s="60">
        <v>1.04</v>
      </c>
      <c r="CO9" s="60">
        <v>0.98</v>
      </c>
      <c r="CP9" s="60">
        <v>1.04</v>
      </c>
      <c r="CQ9" s="60">
        <v>0.91</v>
      </c>
      <c r="CR9" s="60">
        <v>1.1299999999999999</v>
      </c>
      <c r="CS9" s="60">
        <v>1.1000000000000001</v>
      </c>
      <c r="CT9" s="60">
        <v>1.1100000000000001</v>
      </c>
      <c r="CU9" s="60">
        <v>1.39</v>
      </c>
      <c r="CV9" s="60">
        <v>1.28</v>
      </c>
      <c r="CW9" s="60">
        <v>1.45</v>
      </c>
      <c r="CX9" s="60">
        <v>1.19</v>
      </c>
      <c r="CY9" s="60">
        <v>1.24</v>
      </c>
      <c r="CZ9" s="60">
        <v>1.38</v>
      </c>
      <c r="DA9" s="60">
        <v>1.35</v>
      </c>
      <c r="DB9" s="60">
        <v>1.4</v>
      </c>
      <c r="DC9" s="60">
        <v>1.43</v>
      </c>
      <c r="DD9" s="60">
        <v>1.3</v>
      </c>
      <c r="DE9" s="60">
        <v>1.28</v>
      </c>
      <c r="DF9" s="60">
        <v>1.32</v>
      </c>
      <c r="DG9" s="60">
        <v>1.21</v>
      </c>
      <c r="DH9" s="60">
        <v>1.1399999999999999</v>
      </c>
      <c r="DI9" s="60">
        <v>1.2</v>
      </c>
      <c r="DJ9" s="60">
        <v>1.1299999999999999</v>
      </c>
      <c r="DK9" s="60">
        <v>1.27</v>
      </c>
      <c r="DL9" s="60">
        <v>1.41</v>
      </c>
      <c r="DM9" s="60">
        <v>1.43</v>
      </c>
      <c r="DN9" s="60">
        <v>1.41</v>
      </c>
      <c r="DP9" s="5" t="s">
        <v>524</v>
      </c>
      <c r="DQ9" s="5">
        <v>500</v>
      </c>
      <c r="DR9" s="73">
        <v>7.5223999999999999E-2</v>
      </c>
      <c r="DS9" s="5">
        <v>9</v>
      </c>
      <c r="DU9" s="5">
        <v>63.69</v>
      </c>
      <c r="DV9" s="5">
        <v>76.95</v>
      </c>
      <c r="DW9" s="5">
        <v>74.099999999999994</v>
      </c>
      <c r="DX9" s="5">
        <v>72.959999999999994</v>
      </c>
      <c r="DY9" s="5">
        <v>72.959999999999994</v>
      </c>
      <c r="DZ9" s="5">
        <v>67.83</v>
      </c>
      <c r="EA9" s="5">
        <v>71.25</v>
      </c>
      <c r="EB9" s="5">
        <v>80.94</v>
      </c>
      <c r="EC9" s="5">
        <v>74.67</v>
      </c>
      <c r="ED9" s="5">
        <v>68.400000000000006</v>
      </c>
      <c r="EE9" s="5">
        <v>78.09</v>
      </c>
      <c r="EF9" s="5">
        <v>68.97</v>
      </c>
      <c r="EG9" s="5">
        <v>71.819999999999993</v>
      </c>
      <c r="EH9" s="5">
        <v>90.63</v>
      </c>
      <c r="EI9" s="5">
        <v>90.06</v>
      </c>
      <c r="EJ9" s="5">
        <v>84.93</v>
      </c>
      <c r="EK9" s="5">
        <v>91.77</v>
      </c>
      <c r="EL9" s="5">
        <v>84.93</v>
      </c>
      <c r="EM9" s="5">
        <v>86.64</v>
      </c>
      <c r="EN9" s="5">
        <v>81.510000000000005</v>
      </c>
      <c r="EO9" s="5">
        <v>93.48</v>
      </c>
      <c r="EP9" s="5">
        <v>75.81</v>
      </c>
      <c r="EQ9" s="5">
        <v>76.95</v>
      </c>
      <c r="ER9" s="5">
        <v>70.11</v>
      </c>
      <c r="ES9" s="5">
        <v>79.8</v>
      </c>
      <c r="ET9" s="5">
        <v>75.81</v>
      </c>
      <c r="EU9" s="5">
        <v>72.39</v>
      </c>
      <c r="EV9" s="5">
        <v>66.69</v>
      </c>
      <c r="EW9" s="5">
        <v>73.53</v>
      </c>
      <c r="EX9" s="5">
        <v>76.95</v>
      </c>
      <c r="EY9" s="5">
        <v>75.239999999999995</v>
      </c>
      <c r="EZ9" s="5">
        <v>72.959999999999994</v>
      </c>
      <c r="FA9" s="5">
        <v>64.41</v>
      </c>
      <c r="FB9" s="5">
        <v>73.53</v>
      </c>
      <c r="FC9" s="5">
        <v>78.66</v>
      </c>
      <c r="FD9" s="5">
        <v>75.81</v>
      </c>
      <c r="FE9" s="5">
        <v>84.36</v>
      </c>
      <c r="FF9" s="5">
        <v>88.35</v>
      </c>
      <c r="FG9" s="5">
        <v>88.92</v>
      </c>
      <c r="FH9" s="5">
        <v>90.06</v>
      </c>
      <c r="FI9" s="5">
        <v>80.94</v>
      </c>
      <c r="FJ9" s="5">
        <v>96.33</v>
      </c>
      <c r="FK9" s="5">
        <v>82.65</v>
      </c>
      <c r="FL9" s="5">
        <v>82.08</v>
      </c>
      <c r="FM9" s="5">
        <v>90.06</v>
      </c>
      <c r="FN9" s="5">
        <v>72.39</v>
      </c>
      <c r="FO9" s="5">
        <v>91.77</v>
      </c>
      <c r="FP9" s="5">
        <v>86.64</v>
      </c>
      <c r="FQ9" s="5">
        <v>86.64</v>
      </c>
      <c r="FR9" s="5">
        <v>83.22</v>
      </c>
      <c r="FS9" s="5">
        <v>89.49</v>
      </c>
      <c r="FT9" s="5">
        <v>78.66</v>
      </c>
      <c r="FU9" s="5">
        <v>87.21</v>
      </c>
      <c r="FV9" s="5">
        <v>76.95</v>
      </c>
      <c r="FW9" s="5">
        <v>74.099999999999994</v>
      </c>
      <c r="FX9" s="5">
        <v>69.540000000000006</v>
      </c>
      <c r="FY9" s="5">
        <v>78.09</v>
      </c>
      <c r="FZ9" s="5">
        <v>76.38</v>
      </c>
      <c r="GA9" s="5">
        <v>74.67</v>
      </c>
      <c r="GB9" s="5">
        <v>74.67</v>
      </c>
      <c r="GC9" s="5">
        <v>73.53</v>
      </c>
      <c r="GD9" s="5">
        <v>76.38</v>
      </c>
      <c r="GE9" s="5">
        <v>67.83</v>
      </c>
      <c r="GF9" s="5">
        <v>64.41</v>
      </c>
      <c r="GG9" s="5">
        <v>68.97</v>
      </c>
      <c r="GH9" s="5">
        <v>58.71</v>
      </c>
      <c r="GI9" s="5">
        <v>72.39</v>
      </c>
      <c r="GJ9" s="5">
        <v>72.39</v>
      </c>
      <c r="GK9" s="5">
        <v>70.11</v>
      </c>
      <c r="GL9" s="5">
        <v>58.71</v>
      </c>
      <c r="GM9" s="5">
        <v>67.83</v>
      </c>
      <c r="GN9" s="5">
        <v>65.55</v>
      </c>
      <c r="GO9" s="5">
        <v>68.97</v>
      </c>
      <c r="GP9" s="5">
        <v>69.540000000000006</v>
      </c>
      <c r="GQ9" s="5">
        <v>64.98</v>
      </c>
      <c r="GR9" s="5">
        <v>61.56</v>
      </c>
      <c r="GS9" s="5">
        <v>64.98</v>
      </c>
      <c r="GT9" s="5">
        <v>57</v>
      </c>
      <c r="GU9" s="5">
        <v>70.11</v>
      </c>
      <c r="GV9" s="5">
        <v>68.400000000000006</v>
      </c>
      <c r="GW9" s="5">
        <v>68.97</v>
      </c>
      <c r="GX9" s="5">
        <v>84.93</v>
      </c>
      <c r="GY9" s="5">
        <v>78.66</v>
      </c>
      <c r="GZ9" s="5">
        <v>88.35</v>
      </c>
      <c r="HA9" s="5">
        <v>72.959999999999994</v>
      </c>
      <c r="HB9" s="5">
        <v>76.38</v>
      </c>
      <c r="HC9" s="5">
        <v>84.36</v>
      </c>
      <c r="HD9" s="5">
        <v>82.65</v>
      </c>
      <c r="HE9" s="5">
        <v>85.5</v>
      </c>
      <c r="HF9" s="5">
        <v>87.21</v>
      </c>
      <c r="HG9" s="5">
        <v>79.8</v>
      </c>
      <c r="HH9" s="5">
        <v>78.66</v>
      </c>
      <c r="HI9" s="5">
        <v>80.94</v>
      </c>
      <c r="HJ9" s="5">
        <v>74.67</v>
      </c>
      <c r="HK9" s="5">
        <v>70.11</v>
      </c>
      <c r="HL9" s="5">
        <v>74.099999999999994</v>
      </c>
      <c r="HM9" s="5">
        <v>69.540000000000006</v>
      </c>
      <c r="HN9" s="5">
        <v>78.09</v>
      </c>
      <c r="HO9" s="5">
        <v>86.07</v>
      </c>
      <c r="HP9" s="5">
        <v>87.21</v>
      </c>
      <c r="HQ9" s="5">
        <v>86.07</v>
      </c>
    </row>
    <row r="10" spans="1:225">
      <c r="A10" s="69">
        <v>8</v>
      </c>
      <c r="B10" s="13">
        <v>10</v>
      </c>
      <c r="C10" s="5">
        <v>10</v>
      </c>
      <c r="D10" s="5">
        <f t="shared" si="0"/>
        <v>100</v>
      </c>
      <c r="E10" s="5">
        <v>1</v>
      </c>
      <c r="F10" s="60">
        <f t="shared" si="1"/>
        <v>10</v>
      </c>
      <c r="G10" s="60">
        <f t="shared" si="2"/>
        <v>55</v>
      </c>
      <c r="H10" s="13">
        <v>10</v>
      </c>
      <c r="I10" s="5">
        <v>5</v>
      </c>
      <c r="J10" s="5">
        <f t="shared" si="3"/>
        <v>50</v>
      </c>
      <c r="K10" s="60">
        <v>0.86</v>
      </c>
      <c r="L10" s="60">
        <f t="shared" si="4"/>
        <v>17.2</v>
      </c>
      <c r="M10" s="60">
        <f t="shared" si="5"/>
        <v>33.6</v>
      </c>
      <c r="N10" s="75">
        <v>6885.4499999999989</v>
      </c>
      <c r="O10" s="5">
        <v>-60.942685700000006</v>
      </c>
      <c r="P10" s="5">
        <v>43.057314299999994</v>
      </c>
      <c r="Q10" s="5">
        <v>-60.496667100000003</v>
      </c>
      <c r="R10" s="5">
        <v>43.503332899999997</v>
      </c>
      <c r="T10" s="60">
        <v>0.97</v>
      </c>
      <c r="U10" s="60">
        <v>0.92</v>
      </c>
      <c r="V10" s="60">
        <v>1.06</v>
      </c>
      <c r="W10" s="60">
        <v>1.1200000000000001</v>
      </c>
      <c r="X10" s="60">
        <v>1.04</v>
      </c>
      <c r="Y10" s="60">
        <v>1.1100000000000001</v>
      </c>
      <c r="Z10" s="60">
        <v>1.03</v>
      </c>
      <c r="AA10" s="60">
        <v>1.1499999999999999</v>
      </c>
      <c r="AB10" s="60">
        <v>1.18</v>
      </c>
      <c r="AC10" s="60">
        <v>1.26</v>
      </c>
      <c r="AD10" s="60">
        <v>1.24</v>
      </c>
      <c r="AE10" s="60">
        <v>1.35</v>
      </c>
      <c r="AF10" s="60">
        <v>1.21</v>
      </c>
      <c r="AG10" s="60">
        <v>1.3</v>
      </c>
      <c r="AH10" s="60">
        <v>1.06</v>
      </c>
      <c r="AI10" s="60">
        <v>1.32</v>
      </c>
      <c r="AJ10" s="60">
        <v>1.23</v>
      </c>
      <c r="AK10" s="60">
        <v>1.2</v>
      </c>
      <c r="AL10" s="60">
        <v>1.1299999999999999</v>
      </c>
      <c r="AM10" s="60">
        <v>1.04</v>
      </c>
      <c r="AN10" s="60">
        <v>1</v>
      </c>
      <c r="AO10" s="60">
        <v>0.96</v>
      </c>
      <c r="AP10" s="60">
        <v>1.07</v>
      </c>
      <c r="AQ10" s="60">
        <v>1.01</v>
      </c>
      <c r="AR10" s="60">
        <v>0.99</v>
      </c>
      <c r="AS10" s="60">
        <v>0.92</v>
      </c>
      <c r="AT10" s="60">
        <v>1.06</v>
      </c>
      <c r="AU10" s="60">
        <v>1.1399999999999999</v>
      </c>
      <c r="AV10" s="60">
        <v>1.03</v>
      </c>
      <c r="AW10" s="60">
        <v>1.04</v>
      </c>
      <c r="AX10" s="60">
        <v>1</v>
      </c>
      <c r="AY10" s="60">
        <v>1.06</v>
      </c>
      <c r="AZ10" s="60">
        <v>1.08</v>
      </c>
      <c r="BA10" s="60">
        <v>1.19</v>
      </c>
      <c r="BB10" s="60">
        <v>1.17</v>
      </c>
      <c r="BC10" s="60">
        <v>1.21</v>
      </c>
      <c r="BD10" s="60">
        <v>1.3</v>
      </c>
      <c r="BE10" s="60">
        <v>1.3</v>
      </c>
      <c r="BF10" s="60">
        <v>1.25</v>
      </c>
      <c r="BG10" s="60">
        <v>1.1200000000000001</v>
      </c>
      <c r="BH10" s="60">
        <v>1.19</v>
      </c>
      <c r="BI10" s="60">
        <v>1.1100000000000001</v>
      </c>
      <c r="BJ10" s="60">
        <v>1.21</v>
      </c>
      <c r="BK10" s="60">
        <v>1.22</v>
      </c>
      <c r="BL10" s="60">
        <v>1.21</v>
      </c>
      <c r="BM10" s="60">
        <v>1.26</v>
      </c>
      <c r="BN10" s="60">
        <v>1.25</v>
      </c>
      <c r="BO10" s="60">
        <v>1.2</v>
      </c>
      <c r="BP10" s="60">
        <v>1.1399999999999999</v>
      </c>
      <c r="BQ10" s="60">
        <v>1.24</v>
      </c>
      <c r="BR10" s="60">
        <v>1.25</v>
      </c>
      <c r="BS10" s="60">
        <v>1.27</v>
      </c>
      <c r="BT10" s="60">
        <v>1.02</v>
      </c>
      <c r="BU10" s="60">
        <v>0.95</v>
      </c>
      <c r="BV10" s="60">
        <v>0.98</v>
      </c>
      <c r="BW10" s="60">
        <v>1.05</v>
      </c>
      <c r="BX10" s="60">
        <v>1.0900000000000001</v>
      </c>
      <c r="BY10" s="60">
        <v>1.03</v>
      </c>
      <c r="BZ10" s="60">
        <v>0.9</v>
      </c>
      <c r="CA10" s="60">
        <v>1.03</v>
      </c>
      <c r="CB10" s="60">
        <v>1.07</v>
      </c>
      <c r="CC10" s="60">
        <v>1.1000000000000001</v>
      </c>
      <c r="CD10" s="60">
        <v>0.92</v>
      </c>
      <c r="CE10" s="60">
        <v>1.07</v>
      </c>
      <c r="CF10" s="60">
        <v>1.02</v>
      </c>
      <c r="CG10" s="60">
        <v>1.01</v>
      </c>
      <c r="CH10" s="60">
        <v>1.01</v>
      </c>
      <c r="CI10" s="60">
        <v>0.97</v>
      </c>
      <c r="CJ10" s="60">
        <v>0.98</v>
      </c>
      <c r="CK10" s="60">
        <v>1.01</v>
      </c>
      <c r="CL10" s="60">
        <v>0.97</v>
      </c>
      <c r="CM10" s="60">
        <v>0.93</v>
      </c>
      <c r="CN10" s="60">
        <v>0.88</v>
      </c>
      <c r="CO10" s="60">
        <v>0.89</v>
      </c>
      <c r="CP10" s="60">
        <v>0.84</v>
      </c>
      <c r="CQ10" s="60">
        <v>0.87</v>
      </c>
      <c r="CR10" s="60">
        <v>1.03</v>
      </c>
      <c r="CS10" s="60">
        <v>0.85</v>
      </c>
      <c r="CT10" s="60">
        <v>1.1399999999999999</v>
      </c>
      <c r="CU10" s="60">
        <v>1.1299999999999999</v>
      </c>
      <c r="CV10" s="60">
        <v>1.26</v>
      </c>
      <c r="CW10" s="60">
        <v>0.95</v>
      </c>
      <c r="CX10" s="60">
        <v>1.1100000000000001</v>
      </c>
      <c r="CY10" s="60">
        <v>1.1399999999999999</v>
      </c>
      <c r="CZ10" s="60">
        <v>1.0900000000000001</v>
      </c>
      <c r="DA10" s="60">
        <v>1.29</v>
      </c>
      <c r="DB10" s="60">
        <v>1.22</v>
      </c>
      <c r="DC10" s="60">
        <v>1.22</v>
      </c>
      <c r="DD10" s="60">
        <v>1.08</v>
      </c>
      <c r="DE10" s="60">
        <v>1.06</v>
      </c>
      <c r="DF10" s="60">
        <v>1.06</v>
      </c>
      <c r="DG10" s="60">
        <v>1.08</v>
      </c>
      <c r="DH10" s="60">
        <v>1.03</v>
      </c>
      <c r="DI10" s="60">
        <v>1.02</v>
      </c>
      <c r="DJ10" s="60">
        <v>1.3</v>
      </c>
      <c r="DK10" s="60">
        <v>1.29</v>
      </c>
      <c r="DL10" s="60">
        <v>1.17</v>
      </c>
      <c r="DM10" s="60">
        <v>1.28</v>
      </c>
      <c r="DN10" s="60">
        <v>1.1499999999999999</v>
      </c>
      <c r="DP10" s="5" t="s">
        <v>525</v>
      </c>
      <c r="DQ10" s="5">
        <v>500</v>
      </c>
      <c r="DR10" s="73">
        <v>8.7104000000000001E-2</v>
      </c>
      <c r="DS10" s="5">
        <v>9</v>
      </c>
      <c r="DU10" s="5">
        <v>56.28</v>
      </c>
      <c r="DV10" s="5">
        <v>64.41</v>
      </c>
      <c r="DW10" s="5">
        <v>60.99</v>
      </c>
      <c r="DX10" s="5">
        <v>57.57</v>
      </c>
      <c r="DY10" s="5">
        <v>66.12</v>
      </c>
      <c r="DZ10" s="5">
        <v>69.540000000000006</v>
      </c>
      <c r="EA10" s="5">
        <v>64.98</v>
      </c>
      <c r="EB10" s="5">
        <v>68.400000000000006</v>
      </c>
      <c r="EC10" s="5">
        <v>64.41</v>
      </c>
      <c r="ED10" s="5">
        <v>71.25</v>
      </c>
      <c r="EE10" s="5">
        <v>72.959999999999994</v>
      </c>
      <c r="EF10" s="5">
        <v>77.52</v>
      </c>
      <c r="EG10" s="5">
        <v>76.38</v>
      </c>
      <c r="EH10" s="5">
        <v>82.65</v>
      </c>
      <c r="EI10" s="5">
        <v>74.67</v>
      </c>
      <c r="EJ10" s="5">
        <v>79.8</v>
      </c>
      <c r="EK10" s="5">
        <v>65.55</v>
      </c>
      <c r="EL10" s="5">
        <v>80.94</v>
      </c>
      <c r="EM10" s="5">
        <v>75.81</v>
      </c>
      <c r="EN10" s="5">
        <v>74.099999999999994</v>
      </c>
      <c r="EO10" s="5">
        <v>70.11</v>
      </c>
      <c r="EP10" s="5">
        <v>64.98</v>
      </c>
      <c r="EQ10" s="5">
        <v>62.7</v>
      </c>
      <c r="ER10" s="5">
        <v>60.42</v>
      </c>
      <c r="ES10" s="5">
        <v>66.69</v>
      </c>
      <c r="ET10" s="5">
        <v>63.27</v>
      </c>
      <c r="EU10" s="5">
        <v>62.13</v>
      </c>
      <c r="EV10" s="5">
        <v>58.14</v>
      </c>
      <c r="EW10" s="5">
        <v>66.12</v>
      </c>
      <c r="EX10" s="5">
        <v>70.680000000000007</v>
      </c>
      <c r="EY10" s="5">
        <v>64.41</v>
      </c>
      <c r="EZ10" s="5">
        <v>64.98</v>
      </c>
      <c r="FA10" s="5">
        <v>62.7</v>
      </c>
      <c r="FB10" s="5">
        <v>66.12</v>
      </c>
      <c r="FC10" s="5">
        <v>67.260000000000005</v>
      </c>
      <c r="FD10" s="5">
        <v>73.53</v>
      </c>
      <c r="FE10" s="5">
        <v>72.39</v>
      </c>
      <c r="FF10" s="5">
        <v>74.67</v>
      </c>
      <c r="FG10" s="5">
        <v>79.8</v>
      </c>
      <c r="FH10" s="5">
        <v>79.8</v>
      </c>
      <c r="FI10" s="5">
        <v>76.95</v>
      </c>
      <c r="FJ10" s="5">
        <v>69.540000000000006</v>
      </c>
      <c r="FK10" s="5">
        <v>73.53</v>
      </c>
      <c r="FL10" s="5">
        <v>68.97</v>
      </c>
      <c r="FM10" s="5">
        <v>74.67</v>
      </c>
      <c r="FN10" s="5">
        <v>75.239999999999995</v>
      </c>
      <c r="FO10" s="5">
        <v>74.67</v>
      </c>
      <c r="FP10" s="5">
        <v>77.52</v>
      </c>
      <c r="FQ10" s="5">
        <v>76.95</v>
      </c>
      <c r="FR10" s="5">
        <v>74.099999999999994</v>
      </c>
      <c r="FS10" s="5">
        <v>70.680000000000007</v>
      </c>
      <c r="FT10" s="5">
        <v>76.38</v>
      </c>
      <c r="FU10" s="5">
        <v>76.95</v>
      </c>
      <c r="FV10" s="5">
        <v>78.09</v>
      </c>
      <c r="FW10" s="5">
        <v>63.27</v>
      </c>
      <c r="FX10" s="5">
        <v>59.28</v>
      </c>
      <c r="FY10" s="5">
        <v>60.99</v>
      </c>
      <c r="FZ10" s="5">
        <v>65.55</v>
      </c>
      <c r="GA10" s="5">
        <v>67.83</v>
      </c>
      <c r="GB10" s="5">
        <v>64.41</v>
      </c>
      <c r="GC10" s="5">
        <v>55.86</v>
      </c>
      <c r="GD10" s="5">
        <v>64.41</v>
      </c>
      <c r="GE10" s="5">
        <v>66.69</v>
      </c>
      <c r="GF10" s="5">
        <v>68.400000000000006</v>
      </c>
      <c r="GG10" s="5">
        <v>58.14</v>
      </c>
      <c r="GH10" s="5">
        <v>66.69</v>
      </c>
      <c r="GI10" s="5">
        <v>63.84</v>
      </c>
      <c r="GJ10" s="5">
        <v>62.7</v>
      </c>
      <c r="GK10" s="5">
        <v>63.27</v>
      </c>
      <c r="GL10" s="5">
        <v>60.99</v>
      </c>
      <c r="GM10" s="5">
        <v>61.56</v>
      </c>
      <c r="GN10" s="5">
        <v>63.27</v>
      </c>
      <c r="GO10" s="5">
        <v>60.99</v>
      </c>
      <c r="GP10" s="5">
        <v>58.71</v>
      </c>
      <c r="GQ10" s="5">
        <v>55.86</v>
      </c>
      <c r="GR10" s="5">
        <v>56.43</v>
      </c>
      <c r="GS10" s="5">
        <v>53.58</v>
      </c>
      <c r="GT10" s="5">
        <v>55.29</v>
      </c>
      <c r="GU10" s="5">
        <v>64.41</v>
      </c>
      <c r="GV10" s="5">
        <v>54.15</v>
      </c>
      <c r="GW10" s="5">
        <v>70.680000000000007</v>
      </c>
      <c r="GX10" s="5">
        <v>70.11</v>
      </c>
      <c r="GY10" s="5">
        <v>77.52</v>
      </c>
      <c r="GZ10" s="5">
        <v>59.28</v>
      </c>
      <c r="HA10" s="5">
        <v>68.400000000000006</v>
      </c>
      <c r="HB10" s="5">
        <v>70.680000000000007</v>
      </c>
      <c r="HC10" s="5">
        <v>67.260000000000005</v>
      </c>
      <c r="HD10" s="5">
        <v>79.23</v>
      </c>
      <c r="HE10" s="5">
        <v>75.239999999999995</v>
      </c>
      <c r="HF10" s="5">
        <v>75.239999999999995</v>
      </c>
      <c r="HG10" s="5">
        <v>67.260000000000005</v>
      </c>
      <c r="HH10" s="5">
        <v>66.12</v>
      </c>
      <c r="HI10" s="5">
        <v>65.55</v>
      </c>
      <c r="HJ10" s="5">
        <v>67.260000000000005</v>
      </c>
      <c r="HK10" s="5">
        <v>64.41</v>
      </c>
      <c r="HL10" s="5">
        <v>63.84</v>
      </c>
      <c r="HM10" s="5">
        <v>79.8</v>
      </c>
      <c r="HN10" s="5">
        <v>79.23</v>
      </c>
      <c r="HO10" s="5">
        <v>72.39</v>
      </c>
      <c r="HP10" s="5">
        <v>78.66</v>
      </c>
      <c r="HQ10" s="5">
        <v>71.25</v>
      </c>
    </row>
    <row r="11" spans="1:225">
      <c r="A11" s="69">
        <v>9</v>
      </c>
      <c r="B11" s="13">
        <v>10</v>
      </c>
      <c r="C11" s="5">
        <v>8</v>
      </c>
      <c r="D11" s="5">
        <f t="shared" si="0"/>
        <v>80</v>
      </c>
      <c r="E11" s="5">
        <v>4</v>
      </c>
      <c r="F11" s="60">
        <f t="shared" si="1"/>
        <v>50</v>
      </c>
      <c r="G11" s="60">
        <f t="shared" si="2"/>
        <v>65</v>
      </c>
      <c r="H11" s="13">
        <v>10</v>
      </c>
      <c r="I11" s="5">
        <v>7</v>
      </c>
      <c r="J11" s="5">
        <f t="shared" si="3"/>
        <v>70</v>
      </c>
      <c r="K11" s="60">
        <v>0.9</v>
      </c>
      <c r="L11" s="60">
        <f t="shared" si="4"/>
        <v>12.857142857142859</v>
      </c>
      <c r="M11" s="60">
        <f t="shared" si="5"/>
        <v>41.428571428571431</v>
      </c>
      <c r="N11" s="75">
        <v>7405.8599999999979</v>
      </c>
      <c r="O11" s="5">
        <v>-61.952695449999986</v>
      </c>
      <c r="P11" s="5">
        <v>42.04730455</v>
      </c>
      <c r="Q11" s="5">
        <v>-62.041521000000003</v>
      </c>
      <c r="R11" s="5">
        <v>41.958478999999997</v>
      </c>
      <c r="T11" s="60">
        <v>1.08</v>
      </c>
      <c r="U11" s="60">
        <v>1.1599999999999999</v>
      </c>
      <c r="V11" s="60">
        <v>1.21</v>
      </c>
      <c r="W11" s="60">
        <v>1.07</v>
      </c>
      <c r="X11" s="60">
        <v>1.2</v>
      </c>
      <c r="Y11" s="60">
        <v>1.04</v>
      </c>
      <c r="Z11" s="60">
        <v>1.18</v>
      </c>
      <c r="AA11" s="60">
        <v>1.1399999999999999</v>
      </c>
      <c r="AB11" s="60">
        <v>0.99</v>
      </c>
      <c r="AC11" s="60">
        <v>1.32</v>
      </c>
      <c r="AD11" s="60">
        <v>1.37</v>
      </c>
      <c r="AE11" s="60">
        <v>1.3</v>
      </c>
      <c r="AF11" s="60">
        <v>1.35</v>
      </c>
      <c r="AG11" s="60">
        <v>1.35</v>
      </c>
      <c r="AH11" s="60">
        <v>1.41</v>
      </c>
      <c r="AI11" s="60">
        <v>1.28</v>
      </c>
      <c r="AJ11" s="60">
        <v>1.29</v>
      </c>
      <c r="AK11" s="60">
        <v>1.31</v>
      </c>
      <c r="AL11" s="60">
        <v>1.06</v>
      </c>
      <c r="AM11" s="60">
        <v>1.07</v>
      </c>
      <c r="AN11" s="60">
        <v>1.17</v>
      </c>
      <c r="AO11" s="60">
        <v>1.1299999999999999</v>
      </c>
      <c r="AP11" s="60">
        <v>1.1000000000000001</v>
      </c>
      <c r="AQ11" s="60">
        <v>1.02</v>
      </c>
      <c r="AR11" s="60">
        <v>1.1499999999999999</v>
      </c>
      <c r="AS11" s="60">
        <v>1.1299999999999999</v>
      </c>
      <c r="AT11" s="60">
        <v>1.03</v>
      </c>
      <c r="AU11" s="60">
        <v>1.1100000000000001</v>
      </c>
      <c r="AV11" s="60">
        <v>1.2</v>
      </c>
      <c r="AW11" s="60">
        <v>1.1299999999999999</v>
      </c>
      <c r="AX11" s="60">
        <v>1.24</v>
      </c>
      <c r="AY11" s="60">
        <v>1.1399999999999999</v>
      </c>
      <c r="AZ11" s="60">
        <v>1.32</v>
      </c>
      <c r="BA11" s="60">
        <v>1.32</v>
      </c>
      <c r="BB11" s="60">
        <v>1.33</v>
      </c>
      <c r="BC11" s="60">
        <v>1.37</v>
      </c>
      <c r="BD11" s="60">
        <v>1.37</v>
      </c>
      <c r="BE11" s="60">
        <v>1.4</v>
      </c>
      <c r="BF11" s="60">
        <v>1.34</v>
      </c>
      <c r="BG11" s="60">
        <v>1.23</v>
      </c>
      <c r="BH11" s="60">
        <v>1.2</v>
      </c>
      <c r="BI11" s="60">
        <v>1.36</v>
      </c>
      <c r="BJ11" s="60">
        <v>1.44</v>
      </c>
      <c r="BK11" s="60">
        <v>1.37</v>
      </c>
      <c r="BL11" s="60">
        <v>1.49</v>
      </c>
      <c r="BM11" s="60">
        <v>1.38</v>
      </c>
      <c r="BN11" s="60">
        <v>1.52</v>
      </c>
      <c r="BO11" s="60">
        <v>1.31</v>
      </c>
      <c r="BP11" s="60">
        <v>1.21</v>
      </c>
      <c r="BQ11" s="60">
        <v>1.36</v>
      </c>
      <c r="BR11" s="60">
        <v>1.29</v>
      </c>
      <c r="BS11" s="60">
        <v>1.25</v>
      </c>
      <c r="BT11" s="60">
        <v>1.34</v>
      </c>
      <c r="BU11" s="60">
        <v>1.25</v>
      </c>
      <c r="BV11" s="60">
        <v>1.19</v>
      </c>
      <c r="BW11" s="60">
        <v>1.21</v>
      </c>
      <c r="BX11" s="60">
        <v>1.21</v>
      </c>
      <c r="BY11" s="60">
        <v>1.2</v>
      </c>
      <c r="BZ11" s="60">
        <v>1.0900000000000001</v>
      </c>
      <c r="CA11" s="60">
        <v>1.1499999999999999</v>
      </c>
      <c r="CB11" s="60">
        <v>0.99</v>
      </c>
      <c r="CC11" s="60">
        <v>1.1100000000000001</v>
      </c>
      <c r="CD11" s="60">
        <v>1.1599999999999999</v>
      </c>
      <c r="CE11" s="60">
        <v>0.99</v>
      </c>
      <c r="CF11" s="60">
        <v>1.08</v>
      </c>
      <c r="CG11" s="60">
        <v>1.01</v>
      </c>
      <c r="CH11" s="60">
        <v>1.1200000000000001</v>
      </c>
      <c r="CI11" s="60">
        <v>1.1000000000000001</v>
      </c>
      <c r="CJ11" s="60">
        <v>1.04</v>
      </c>
      <c r="CK11" s="60">
        <v>1.03</v>
      </c>
      <c r="CL11" s="60">
        <v>0.83</v>
      </c>
      <c r="CM11" s="60">
        <v>1.01</v>
      </c>
      <c r="CN11" s="60">
        <v>1.03</v>
      </c>
      <c r="CO11" s="60">
        <v>0.96</v>
      </c>
      <c r="CP11" s="60">
        <v>1.01</v>
      </c>
      <c r="CQ11" s="60">
        <v>0.97</v>
      </c>
      <c r="CR11" s="60">
        <v>0.94</v>
      </c>
      <c r="CS11" s="60">
        <v>0.98</v>
      </c>
      <c r="CT11" s="60">
        <v>1.07</v>
      </c>
      <c r="CU11" s="60">
        <v>1.1599999999999999</v>
      </c>
      <c r="CV11" s="60">
        <v>1.22</v>
      </c>
      <c r="CW11" s="60">
        <v>1.27</v>
      </c>
      <c r="CX11" s="60">
        <v>1.28</v>
      </c>
      <c r="CY11" s="60">
        <v>1.0900000000000001</v>
      </c>
      <c r="CZ11" s="60">
        <v>1.05</v>
      </c>
      <c r="DA11" s="60">
        <v>1.22</v>
      </c>
      <c r="DB11" s="60">
        <v>1.01</v>
      </c>
      <c r="DC11" s="60">
        <v>1.25</v>
      </c>
      <c r="DD11" s="60">
        <v>1.32</v>
      </c>
      <c r="DE11" s="60">
        <v>1.26</v>
      </c>
      <c r="DF11" s="60">
        <v>1.29</v>
      </c>
      <c r="DG11" s="60">
        <v>1.1299999999999999</v>
      </c>
      <c r="DH11" s="60">
        <v>1.2</v>
      </c>
      <c r="DI11" s="60">
        <v>1.28</v>
      </c>
      <c r="DJ11" s="60">
        <v>1.25</v>
      </c>
      <c r="DK11" s="60">
        <v>1.28</v>
      </c>
      <c r="DL11" s="60">
        <v>1.32</v>
      </c>
      <c r="DM11" s="60">
        <v>1.21</v>
      </c>
      <c r="DN11" s="60">
        <v>1.22</v>
      </c>
      <c r="DP11" s="5" t="s">
        <v>526</v>
      </c>
      <c r="DQ11" s="5">
        <v>500</v>
      </c>
      <c r="DR11" s="73">
        <v>7.8629749999999998E-2</v>
      </c>
      <c r="DS11" s="5">
        <v>6</v>
      </c>
      <c r="DU11" s="5">
        <v>58.56</v>
      </c>
      <c r="DV11" s="5">
        <v>66.69</v>
      </c>
      <c r="DW11" s="5">
        <v>67.260000000000005</v>
      </c>
      <c r="DX11" s="5">
        <v>71.819999999999993</v>
      </c>
      <c r="DY11" s="5">
        <v>74.67</v>
      </c>
      <c r="DZ11" s="5">
        <v>66.69</v>
      </c>
      <c r="EA11" s="5">
        <v>74.099999999999994</v>
      </c>
      <c r="EB11" s="5">
        <v>64.41</v>
      </c>
      <c r="EC11" s="5">
        <v>72.959999999999994</v>
      </c>
      <c r="ED11" s="5">
        <v>70.680000000000007</v>
      </c>
      <c r="EE11" s="5">
        <v>61.56</v>
      </c>
      <c r="EF11" s="5">
        <v>80.94</v>
      </c>
      <c r="EG11" s="5">
        <v>83.79</v>
      </c>
      <c r="EH11" s="5">
        <v>79.8</v>
      </c>
      <c r="EI11" s="5">
        <v>82.65</v>
      </c>
      <c r="EJ11" s="5">
        <v>82.65</v>
      </c>
      <c r="EK11" s="5">
        <v>86.07</v>
      </c>
      <c r="EL11" s="5">
        <v>78.66</v>
      </c>
      <c r="EM11" s="5">
        <v>79.23</v>
      </c>
      <c r="EN11" s="5">
        <v>80.37</v>
      </c>
      <c r="EO11" s="5">
        <v>65.55</v>
      </c>
      <c r="EP11" s="5">
        <v>66.69</v>
      </c>
      <c r="EQ11" s="5">
        <v>72.39</v>
      </c>
      <c r="ER11" s="5">
        <v>70.11</v>
      </c>
      <c r="ES11" s="5">
        <v>68.400000000000006</v>
      </c>
      <c r="ET11" s="5">
        <v>63.84</v>
      </c>
      <c r="EU11" s="5">
        <v>71.25</v>
      </c>
      <c r="EV11" s="5">
        <v>70.11</v>
      </c>
      <c r="EW11" s="5">
        <v>64.41</v>
      </c>
      <c r="EX11" s="5">
        <v>68.97</v>
      </c>
      <c r="EY11" s="5">
        <v>74.099999999999994</v>
      </c>
      <c r="EZ11" s="5">
        <v>70.11</v>
      </c>
      <c r="FA11" s="5">
        <v>76.38</v>
      </c>
      <c r="FB11" s="5">
        <v>70.680000000000007</v>
      </c>
      <c r="FC11" s="5">
        <v>80.94</v>
      </c>
      <c r="FD11" s="5">
        <v>80.94</v>
      </c>
      <c r="FE11" s="5">
        <v>80.94</v>
      </c>
      <c r="FF11" s="5">
        <v>83.79</v>
      </c>
      <c r="FG11" s="5">
        <v>83.79</v>
      </c>
      <c r="FH11" s="5">
        <v>85.5</v>
      </c>
      <c r="FI11" s="5">
        <v>81.510000000000005</v>
      </c>
      <c r="FJ11" s="5">
        <v>75.239999999999995</v>
      </c>
      <c r="FK11" s="5">
        <v>74.099999999999994</v>
      </c>
      <c r="FL11" s="5">
        <v>83.22</v>
      </c>
      <c r="FM11" s="5">
        <v>87.78</v>
      </c>
      <c r="FN11" s="5">
        <v>83.79</v>
      </c>
      <c r="FO11" s="5">
        <v>90.63</v>
      </c>
      <c r="FP11" s="5">
        <v>84.36</v>
      </c>
      <c r="FQ11" s="5">
        <v>92.34</v>
      </c>
      <c r="FR11" s="5">
        <v>80.37</v>
      </c>
      <c r="FS11" s="5">
        <v>74.099999999999994</v>
      </c>
      <c r="FT11" s="5">
        <v>83.22</v>
      </c>
      <c r="FU11" s="5">
        <v>79.23</v>
      </c>
      <c r="FV11" s="5">
        <v>76.38</v>
      </c>
      <c r="FW11" s="5">
        <v>82.08</v>
      </c>
      <c r="FX11" s="5">
        <v>76.95</v>
      </c>
      <c r="FY11" s="5">
        <v>72.959999999999994</v>
      </c>
      <c r="FZ11" s="5">
        <v>74.67</v>
      </c>
      <c r="GA11" s="5">
        <v>74.67</v>
      </c>
      <c r="GB11" s="5">
        <v>74.099999999999994</v>
      </c>
      <c r="GC11" s="5">
        <v>67.83</v>
      </c>
      <c r="GD11" s="5">
        <v>71.25</v>
      </c>
      <c r="GE11" s="5">
        <v>62.13</v>
      </c>
      <c r="GF11" s="5">
        <v>68.97</v>
      </c>
      <c r="GG11" s="5">
        <v>71.819999999999993</v>
      </c>
      <c r="GH11" s="5">
        <v>61.56</v>
      </c>
      <c r="GI11" s="5">
        <v>67.260000000000005</v>
      </c>
      <c r="GJ11" s="5">
        <v>63.27</v>
      </c>
      <c r="GK11" s="5">
        <v>69.540000000000006</v>
      </c>
      <c r="GL11" s="5">
        <v>68.400000000000006</v>
      </c>
      <c r="GM11" s="5">
        <v>64.98</v>
      </c>
      <c r="GN11" s="5">
        <v>64.41</v>
      </c>
      <c r="GO11" s="5">
        <v>52.44</v>
      </c>
      <c r="GP11" s="5">
        <v>63.27</v>
      </c>
      <c r="GQ11" s="5">
        <v>64.41</v>
      </c>
      <c r="GR11" s="5">
        <v>60.42</v>
      </c>
      <c r="GS11" s="5">
        <v>63.27</v>
      </c>
      <c r="GT11" s="5">
        <v>60.99</v>
      </c>
      <c r="GU11" s="5">
        <v>58.71</v>
      </c>
      <c r="GV11" s="5">
        <v>61.56</v>
      </c>
      <c r="GW11" s="5">
        <v>66.12</v>
      </c>
      <c r="GX11" s="5">
        <v>71.819999999999993</v>
      </c>
      <c r="GY11" s="5">
        <v>75.239999999999995</v>
      </c>
      <c r="GZ11" s="5">
        <v>78.09</v>
      </c>
      <c r="HA11" s="5">
        <v>78.66</v>
      </c>
      <c r="HB11" s="5">
        <v>67.83</v>
      </c>
      <c r="HC11" s="5">
        <v>65.55</v>
      </c>
      <c r="HD11" s="5">
        <v>75.239999999999995</v>
      </c>
      <c r="HE11" s="5">
        <v>63.27</v>
      </c>
      <c r="HF11" s="5">
        <v>76.95</v>
      </c>
      <c r="HG11" s="5">
        <v>80.94</v>
      </c>
      <c r="HH11" s="5">
        <v>77.52</v>
      </c>
      <c r="HI11" s="5">
        <v>79.23</v>
      </c>
      <c r="HJ11" s="5">
        <v>70.11</v>
      </c>
      <c r="HK11" s="5">
        <v>73.53</v>
      </c>
      <c r="HL11" s="5">
        <v>78.66</v>
      </c>
      <c r="HM11" s="5">
        <v>76.95</v>
      </c>
      <c r="HN11" s="5">
        <v>78.66</v>
      </c>
      <c r="HO11" s="5">
        <v>80.94</v>
      </c>
      <c r="HP11" s="5">
        <v>74.67</v>
      </c>
      <c r="HQ11" s="5">
        <v>75.239999999999995</v>
      </c>
    </row>
    <row r="12" spans="1:225">
      <c r="A12" s="69">
        <v>10</v>
      </c>
      <c r="B12" s="13">
        <v>10</v>
      </c>
      <c r="C12" s="5">
        <v>10</v>
      </c>
      <c r="D12" s="5">
        <f t="shared" si="0"/>
        <v>100</v>
      </c>
      <c r="E12" s="5">
        <v>4</v>
      </c>
      <c r="F12" s="60">
        <f t="shared" si="1"/>
        <v>40</v>
      </c>
      <c r="G12" s="60">
        <f t="shared" si="2"/>
        <v>70</v>
      </c>
      <c r="H12" s="13">
        <v>10</v>
      </c>
      <c r="I12" s="5">
        <v>8</v>
      </c>
      <c r="J12" s="5">
        <f t="shared" si="3"/>
        <v>80</v>
      </c>
      <c r="K12" s="60">
        <v>0.95</v>
      </c>
      <c r="L12" s="60">
        <f t="shared" si="4"/>
        <v>11.875</v>
      </c>
      <c r="M12" s="60">
        <f t="shared" si="5"/>
        <v>45.9375</v>
      </c>
      <c r="N12" s="75">
        <v>7728.4799999999968</v>
      </c>
      <c r="O12" s="5">
        <v>-60.05093875</v>
      </c>
      <c r="P12" s="5">
        <v>43.94906125</v>
      </c>
      <c r="Q12" s="5">
        <v>-59.764106599999991</v>
      </c>
      <c r="R12" s="5">
        <v>44.235893400000002</v>
      </c>
      <c r="T12" s="60">
        <v>0.96</v>
      </c>
      <c r="U12" s="60">
        <v>1.08</v>
      </c>
      <c r="V12" s="60">
        <v>1</v>
      </c>
      <c r="W12" s="60">
        <v>1.07</v>
      </c>
      <c r="X12" s="60">
        <v>1.23</v>
      </c>
      <c r="Y12" s="60">
        <v>1.1200000000000001</v>
      </c>
      <c r="Z12" s="60">
        <v>1.2</v>
      </c>
      <c r="AA12" s="60">
        <v>1.19</v>
      </c>
      <c r="AB12" s="60">
        <v>1.1599999999999999</v>
      </c>
      <c r="AC12" s="60">
        <v>1.45</v>
      </c>
      <c r="AD12" s="60">
        <v>1.38</v>
      </c>
      <c r="AE12" s="60">
        <v>1.38</v>
      </c>
      <c r="AF12" s="60">
        <v>1.27</v>
      </c>
      <c r="AG12" s="60">
        <v>1.43</v>
      </c>
      <c r="AH12" s="60">
        <v>1.18</v>
      </c>
      <c r="AI12" s="60">
        <v>1.38</v>
      </c>
      <c r="AJ12" s="60">
        <v>1.04</v>
      </c>
      <c r="AK12" s="60">
        <v>1.33</v>
      </c>
      <c r="AL12" s="60">
        <v>1.32</v>
      </c>
      <c r="AM12" s="60">
        <v>1.1399999999999999</v>
      </c>
      <c r="AN12" s="60">
        <v>1.04</v>
      </c>
      <c r="AO12" s="60">
        <v>1.0900000000000001</v>
      </c>
      <c r="AP12" s="60">
        <v>1.05</v>
      </c>
      <c r="AQ12" s="60">
        <v>1.07</v>
      </c>
      <c r="AR12" s="60">
        <v>1.05</v>
      </c>
      <c r="AS12" s="60">
        <v>1.03</v>
      </c>
      <c r="AT12" s="60">
        <v>1.21</v>
      </c>
      <c r="AU12" s="60">
        <v>1.24</v>
      </c>
      <c r="AV12" s="60">
        <v>1.19</v>
      </c>
      <c r="AW12" s="60">
        <v>1.24</v>
      </c>
      <c r="AX12" s="60">
        <v>1.22</v>
      </c>
      <c r="AY12" s="60">
        <v>1.25</v>
      </c>
      <c r="AZ12" s="60">
        <v>1.39</v>
      </c>
      <c r="BA12" s="60">
        <v>1.45</v>
      </c>
      <c r="BB12" s="60">
        <v>1.58</v>
      </c>
      <c r="BC12" s="60">
        <v>1.1299999999999999</v>
      </c>
      <c r="BD12" s="60">
        <v>1.54</v>
      </c>
      <c r="BE12" s="60">
        <v>1.53</v>
      </c>
      <c r="BF12" s="60">
        <v>1.55</v>
      </c>
      <c r="BG12" s="60">
        <v>1.57</v>
      </c>
      <c r="BH12" s="60">
        <v>1.44</v>
      </c>
      <c r="BI12" s="60">
        <v>1.45</v>
      </c>
      <c r="BJ12" s="60">
        <v>1.47</v>
      </c>
      <c r="BK12" s="60">
        <v>1.46</v>
      </c>
      <c r="BL12" s="60">
        <v>1.49</v>
      </c>
      <c r="BM12" s="60">
        <v>1.59</v>
      </c>
      <c r="BN12" s="60">
        <v>1.62</v>
      </c>
      <c r="BO12" s="60">
        <v>1.55</v>
      </c>
      <c r="BP12" s="60">
        <v>1.56</v>
      </c>
      <c r="BQ12" s="60">
        <v>1.47</v>
      </c>
      <c r="BR12" s="60">
        <v>1.43</v>
      </c>
      <c r="BS12" s="60">
        <v>1.43</v>
      </c>
      <c r="BT12" s="60">
        <v>1.61</v>
      </c>
      <c r="BU12" s="60">
        <v>1.41</v>
      </c>
      <c r="BV12" s="60">
        <v>1.08</v>
      </c>
      <c r="BW12" s="60">
        <v>1.07</v>
      </c>
      <c r="BX12" s="60">
        <v>1.1499999999999999</v>
      </c>
      <c r="BY12" s="60">
        <v>1.26</v>
      </c>
      <c r="BZ12" s="60">
        <v>1.08</v>
      </c>
      <c r="CA12" s="60">
        <v>1.21</v>
      </c>
      <c r="CB12" s="60">
        <v>1.19</v>
      </c>
      <c r="CC12" s="60">
        <v>1.29</v>
      </c>
      <c r="CD12" s="60">
        <v>1.03</v>
      </c>
      <c r="CE12" s="60">
        <v>0.9</v>
      </c>
      <c r="CF12" s="60">
        <v>1.0900000000000001</v>
      </c>
      <c r="CG12" s="60">
        <v>0.97</v>
      </c>
      <c r="CH12" s="60">
        <v>1.07</v>
      </c>
      <c r="CI12" s="60">
        <v>1.18</v>
      </c>
      <c r="CJ12" s="60">
        <v>1.17</v>
      </c>
      <c r="CK12" s="60">
        <v>1.07</v>
      </c>
      <c r="CL12" s="60">
        <v>1.19</v>
      </c>
      <c r="CM12" s="60">
        <v>0.96</v>
      </c>
      <c r="CN12" s="60">
        <v>0.91</v>
      </c>
      <c r="CO12" s="60">
        <v>1.1499999999999999</v>
      </c>
      <c r="CP12" s="60">
        <v>0.97</v>
      </c>
      <c r="CQ12" s="60">
        <v>1.1100000000000001</v>
      </c>
      <c r="CR12" s="60">
        <v>1.1599999999999999</v>
      </c>
      <c r="CS12" s="60">
        <v>1.0900000000000001</v>
      </c>
      <c r="CT12" s="60">
        <v>1.1100000000000001</v>
      </c>
      <c r="CU12" s="60">
        <v>1.35</v>
      </c>
      <c r="CV12" s="60">
        <v>1.41</v>
      </c>
      <c r="CW12" s="60">
        <v>1.36</v>
      </c>
      <c r="CX12" s="60">
        <v>1.31</v>
      </c>
      <c r="CY12" s="60">
        <v>1.1299999999999999</v>
      </c>
      <c r="CZ12" s="60">
        <v>1.22</v>
      </c>
      <c r="DA12" s="60">
        <v>1.19</v>
      </c>
      <c r="DB12" s="60">
        <v>1.25</v>
      </c>
      <c r="DC12" s="60">
        <v>1.21</v>
      </c>
      <c r="DD12" s="60">
        <v>1.46</v>
      </c>
      <c r="DE12" s="60">
        <v>1.24</v>
      </c>
      <c r="DF12" s="60">
        <v>1.36</v>
      </c>
      <c r="DG12" s="60">
        <v>1.05</v>
      </c>
      <c r="DH12" s="60">
        <v>1.1599999999999999</v>
      </c>
      <c r="DI12" s="60">
        <v>1.28</v>
      </c>
      <c r="DJ12" s="60">
        <v>1.27</v>
      </c>
      <c r="DK12" s="60">
        <v>1.32</v>
      </c>
      <c r="DL12" s="60">
        <v>1.49</v>
      </c>
      <c r="DM12" s="60">
        <v>1.0900000000000001</v>
      </c>
      <c r="DN12" s="60">
        <v>1.37</v>
      </c>
      <c r="DP12" s="5" t="s">
        <v>527</v>
      </c>
      <c r="DQ12" s="5">
        <v>500</v>
      </c>
      <c r="DR12" s="73">
        <v>6.7347500000000005E-2</v>
      </c>
      <c r="DS12" s="5">
        <v>6</v>
      </c>
      <c r="DU12" s="5">
        <v>61.41</v>
      </c>
      <c r="DV12" s="5">
        <v>62.13</v>
      </c>
      <c r="DW12" s="5">
        <v>59.85</v>
      </c>
      <c r="DX12" s="5">
        <v>67.260000000000005</v>
      </c>
      <c r="DY12" s="5">
        <v>62.7</v>
      </c>
      <c r="DZ12" s="5">
        <v>66.69</v>
      </c>
      <c r="EA12" s="5">
        <v>75.81</v>
      </c>
      <c r="EB12" s="5">
        <v>69.540000000000006</v>
      </c>
      <c r="EC12" s="5">
        <v>74.099999999999994</v>
      </c>
      <c r="ED12" s="5">
        <v>73.53</v>
      </c>
      <c r="EE12" s="5">
        <v>71.25</v>
      </c>
      <c r="EF12" s="5">
        <v>88.35</v>
      </c>
      <c r="EG12" s="5">
        <v>84.36</v>
      </c>
      <c r="EH12" s="5">
        <v>84.36</v>
      </c>
      <c r="EI12" s="5">
        <v>77.52</v>
      </c>
      <c r="EJ12" s="5">
        <v>87.21</v>
      </c>
      <c r="EK12" s="5">
        <v>72.39</v>
      </c>
      <c r="EL12" s="5">
        <v>84.36</v>
      </c>
      <c r="EM12" s="5">
        <v>64.41</v>
      </c>
      <c r="EN12" s="5">
        <v>81.510000000000005</v>
      </c>
      <c r="EO12" s="5">
        <v>80.37</v>
      </c>
      <c r="EP12" s="5">
        <v>70.680000000000007</v>
      </c>
      <c r="EQ12" s="5">
        <v>64.98</v>
      </c>
      <c r="ER12" s="5">
        <v>67.83</v>
      </c>
      <c r="ES12" s="5">
        <v>65.55</v>
      </c>
      <c r="ET12" s="5">
        <v>66.69</v>
      </c>
      <c r="EU12" s="5">
        <v>65.55</v>
      </c>
      <c r="EV12" s="5">
        <v>64.41</v>
      </c>
      <c r="EW12" s="5">
        <v>74.67</v>
      </c>
      <c r="EX12" s="5">
        <v>76.38</v>
      </c>
      <c r="EY12" s="5">
        <v>73.53</v>
      </c>
      <c r="EZ12" s="5">
        <v>76.38</v>
      </c>
      <c r="FA12" s="5">
        <v>75.239999999999995</v>
      </c>
      <c r="FB12" s="5">
        <v>76.95</v>
      </c>
      <c r="FC12" s="5">
        <v>84.93</v>
      </c>
      <c r="FD12" s="5">
        <v>88.35</v>
      </c>
      <c r="FE12" s="5">
        <v>95.76</v>
      </c>
      <c r="FF12" s="5">
        <v>69.540000000000006</v>
      </c>
      <c r="FG12" s="5">
        <v>93.48</v>
      </c>
      <c r="FH12" s="5">
        <v>92.91</v>
      </c>
      <c r="FI12" s="5">
        <v>94.05</v>
      </c>
      <c r="FJ12" s="5">
        <v>95.19</v>
      </c>
      <c r="FK12" s="5">
        <v>87.78</v>
      </c>
      <c r="FL12" s="5">
        <v>88.35</v>
      </c>
      <c r="FM12" s="5">
        <v>89.49</v>
      </c>
      <c r="FN12" s="5">
        <v>88.92</v>
      </c>
      <c r="FO12" s="5">
        <v>90.63</v>
      </c>
      <c r="FP12" s="5">
        <v>96.33</v>
      </c>
      <c r="FQ12" s="5">
        <v>98.04</v>
      </c>
      <c r="FR12" s="5">
        <v>94.05</v>
      </c>
      <c r="FS12" s="5">
        <v>94.62</v>
      </c>
      <c r="FT12" s="5">
        <v>89.49</v>
      </c>
      <c r="FU12" s="5">
        <v>87.21</v>
      </c>
      <c r="FV12" s="5">
        <v>87.21</v>
      </c>
      <c r="FW12" s="5">
        <v>97.47</v>
      </c>
      <c r="FX12" s="5">
        <v>86.07</v>
      </c>
      <c r="FY12" s="5">
        <v>66.69</v>
      </c>
      <c r="FZ12" s="5">
        <v>66.12</v>
      </c>
      <c r="GA12" s="5">
        <v>71.25</v>
      </c>
      <c r="GB12" s="5">
        <v>77.52</v>
      </c>
      <c r="GC12" s="5">
        <v>66.69</v>
      </c>
      <c r="GD12" s="5">
        <v>74.67</v>
      </c>
      <c r="GE12" s="5">
        <v>73.53</v>
      </c>
      <c r="GF12" s="5">
        <v>79.23</v>
      </c>
      <c r="GG12" s="5">
        <v>63.84</v>
      </c>
      <c r="GH12" s="5">
        <v>56.43</v>
      </c>
      <c r="GI12" s="5">
        <v>67.260000000000005</v>
      </c>
      <c r="GJ12" s="5">
        <v>60.99</v>
      </c>
      <c r="GK12" s="5">
        <v>66.69</v>
      </c>
      <c r="GL12" s="5">
        <v>72.959999999999994</v>
      </c>
      <c r="GM12" s="5">
        <v>72.39</v>
      </c>
      <c r="GN12" s="5">
        <v>66.69</v>
      </c>
      <c r="GO12" s="5">
        <v>73.53</v>
      </c>
      <c r="GP12" s="5">
        <v>60.42</v>
      </c>
      <c r="GQ12" s="5">
        <v>57</v>
      </c>
      <c r="GR12" s="5">
        <v>71.25</v>
      </c>
      <c r="GS12" s="5">
        <v>60.99</v>
      </c>
      <c r="GT12" s="5">
        <v>68.97</v>
      </c>
      <c r="GU12" s="5">
        <v>71.819999999999993</v>
      </c>
      <c r="GV12" s="5">
        <v>67.83</v>
      </c>
      <c r="GW12" s="5">
        <v>68.97</v>
      </c>
      <c r="GX12" s="5">
        <v>82.65</v>
      </c>
      <c r="GY12" s="5">
        <v>86.07</v>
      </c>
      <c r="GZ12" s="5">
        <v>83.22</v>
      </c>
      <c r="HA12" s="5">
        <v>80.37</v>
      </c>
      <c r="HB12" s="5">
        <v>70.11</v>
      </c>
      <c r="HC12" s="5">
        <v>75.239999999999995</v>
      </c>
      <c r="HD12" s="5">
        <v>73.53</v>
      </c>
      <c r="HE12" s="5">
        <v>76.95</v>
      </c>
      <c r="HF12" s="5">
        <v>74.67</v>
      </c>
      <c r="HG12" s="5">
        <v>88.92</v>
      </c>
      <c r="HH12" s="5">
        <v>76.38</v>
      </c>
      <c r="HI12" s="5">
        <v>83.22</v>
      </c>
      <c r="HJ12" s="5">
        <v>64.98</v>
      </c>
      <c r="HK12" s="5">
        <v>71.819999999999993</v>
      </c>
      <c r="HL12" s="5">
        <v>78.66</v>
      </c>
      <c r="HM12" s="5">
        <v>78.09</v>
      </c>
      <c r="HN12" s="5">
        <v>80.94</v>
      </c>
      <c r="HO12" s="5">
        <v>90.63</v>
      </c>
      <c r="HP12" s="5">
        <v>66.69</v>
      </c>
      <c r="HQ12" s="5">
        <v>83.79</v>
      </c>
    </row>
    <row r="13" spans="1:225">
      <c r="A13" s="69">
        <v>11</v>
      </c>
      <c r="B13" s="13">
        <v>10</v>
      </c>
      <c r="C13" s="5">
        <v>10</v>
      </c>
      <c r="D13" s="5">
        <f t="shared" si="0"/>
        <v>100</v>
      </c>
      <c r="E13" s="5">
        <v>3</v>
      </c>
      <c r="F13" s="60">
        <f t="shared" si="1"/>
        <v>30</v>
      </c>
      <c r="G13" s="60">
        <f t="shared" si="2"/>
        <v>65</v>
      </c>
      <c r="H13" s="13">
        <v>10</v>
      </c>
      <c r="I13" s="5">
        <v>7</v>
      </c>
      <c r="J13" s="5">
        <f t="shared" si="3"/>
        <v>70</v>
      </c>
      <c r="K13" s="60">
        <v>0.95</v>
      </c>
      <c r="L13" s="60">
        <f t="shared" si="4"/>
        <v>13.571428571428571</v>
      </c>
      <c r="M13" s="60">
        <f t="shared" si="5"/>
        <v>41.785714285714285</v>
      </c>
      <c r="N13" s="75">
        <v>6764.0400000000018</v>
      </c>
      <c r="O13" s="5">
        <v>-60.559634450000011</v>
      </c>
      <c r="P13" s="5">
        <v>43.440365549999989</v>
      </c>
      <c r="Q13" s="5">
        <v>-59.450921400000006</v>
      </c>
      <c r="R13" s="5">
        <v>44.549078599999994</v>
      </c>
      <c r="T13" s="60">
        <v>0.89</v>
      </c>
      <c r="U13" s="60">
        <v>0.95</v>
      </c>
      <c r="V13" s="60">
        <v>0.97</v>
      </c>
      <c r="W13" s="60">
        <v>1.03</v>
      </c>
      <c r="X13" s="60">
        <v>0.95</v>
      </c>
      <c r="Y13" s="60">
        <v>1.05</v>
      </c>
      <c r="Z13" s="60">
        <v>1.01</v>
      </c>
      <c r="AA13" s="60">
        <v>1</v>
      </c>
      <c r="AB13" s="60">
        <v>1.1599999999999999</v>
      </c>
      <c r="AC13" s="60">
        <v>1.28</v>
      </c>
      <c r="AD13" s="60">
        <v>1.1100000000000001</v>
      </c>
      <c r="AE13" s="60">
        <v>1.1499999999999999</v>
      </c>
      <c r="AF13" s="60">
        <v>1.28</v>
      </c>
      <c r="AG13" s="60">
        <v>1.42</v>
      </c>
      <c r="AH13" s="60">
        <v>1.04</v>
      </c>
      <c r="AI13" s="60">
        <v>1.2</v>
      </c>
      <c r="AJ13" s="60">
        <v>1.1499999999999999</v>
      </c>
      <c r="AK13" s="60">
        <v>1.21</v>
      </c>
      <c r="AL13" s="60">
        <v>1.21</v>
      </c>
      <c r="AM13" s="60">
        <v>0.98</v>
      </c>
      <c r="AN13" s="60">
        <v>0.95</v>
      </c>
      <c r="AO13" s="60">
        <v>1.01</v>
      </c>
      <c r="AP13" s="60">
        <v>1.01</v>
      </c>
      <c r="AQ13" s="60">
        <v>1.05</v>
      </c>
      <c r="AR13" s="60">
        <v>0.97</v>
      </c>
      <c r="AS13" s="60">
        <v>0.95</v>
      </c>
      <c r="AT13" s="60">
        <v>0.92</v>
      </c>
      <c r="AU13" s="60">
        <v>1</v>
      </c>
      <c r="AV13" s="60">
        <v>1.07</v>
      </c>
      <c r="AW13" s="60">
        <v>1.02</v>
      </c>
      <c r="AX13" s="60">
        <v>1.1299999999999999</v>
      </c>
      <c r="AY13" s="60">
        <v>1.1299999999999999</v>
      </c>
      <c r="AZ13" s="60">
        <v>1.0900000000000001</v>
      </c>
      <c r="BA13" s="60">
        <v>1.1299999999999999</v>
      </c>
      <c r="BB13" s="60">
        <v>1.24</v>
      </c>
      <c r="BC13" s="60">
        <v>1.24</v>
      </c>
      <c r="BD13" s="60">
        <v>1.22</v>
      </c>
      <c r="BE13" s="60">
        <v>1.17</v>
      </c>
      <c r="BF13" s="60">
        <v>1.33</v>
      </c>
      <c r="BG13" s="60">
        <v>1.35</v>
      </c>
      <c r="BH13" s="60">
        <v>1.27</v>
      </c>
      <c r="BI13" s="60">
        <v>1.21</v>
      </c>
      <c r="BJ13" s="60">
        <v>1.22</v>
      </c>
      <c r="BK13" s="60">
        <v>1.27</v>
      </c>
      <c r="BL13" s="60">
        <v>1.34</v>
      </c>
      <c r="BM13" s="60">
        <v>1.1499999999999999</v>
      </c>
      <c r="BN13" s="60">
        <v>1.37</v>
      </c>
      <c r="BO13" s="60">
        <v>1.2</v>
      </c>
      <c r="BP13" s="60">
        <v>1.38</v>
      </c>
      <c r="BQ13" s="60">
        <v>1.29</v>
      </c>
      <c r="BR13" s="60">
        <v>1.1399999999999999</v>
      </c>
      <c r="BS13" s="60">
        <v>1.27</v>
      </c>
      <c r="BT13" s="60">
        <v>1.22</v>
      </c>
      <c r="BU13" s="60">
        <v>1.1299999999999999</v>
      </c>
      <c r="BV13" s="60">
        <v>1.01</v>
      </c>
      <c r="BW13" s="60">
        <v>0.95</v>
      </c>
      <c r="BX13" s="60">
        <v>0.79</v>
      </c>
      <c r="BY13" s="60">
        <v>0.91</v>
      </c>
      <c r="BZ13" s="60">
        <v>1.02</v>
      </c>
      <c r="CA13" s="60">
        <v>0.9</v>
      </c>
      <c r="CB13" s="60">
        <v>0.86</v>
      </c>
      <c r="CC13" s="60">
        <v>1</v>
      </c>
      <c r="CD13" s="60">
        <v>0.92</v>
      </c>
      <c r="CE13" s="60">
        <v>0.8</v>
      </c>
      <c r="CF13" s="60">
        <v>0.84</v>
      </c>
      <c r="CG13" s="60">
        <v>0.86</v>
      </c>
      <c r="CH13" s="60">
        <v>0.86</v>
      </c>
      <c r="CI13" s="60">
        <v>0.82</v>
      </c>
      <c r="CJ13" s="60">
        <v>0.83</v>
      </c>
      <c r="CK13" s="60">
        <v>0.89</v>
      </c>
      <c r="CL13" s="60">
        <v>0.87</v>
      </c>
      <c r="CM13" s="60">
        <v>0.85</v>
      </c>
      <c r="CN13" s="60">
        <v>0.92</v>
      </c>
      <c r="CO13" s="60">
        <v>0.85</v>
      </c>
      <c r="CP13" s="60">
        <v>0.89</v>
      </c>
      <c r="CQ13" s="60">
        <v>0.93</v>
      </c>
      <c r="CR13" s="60">
        <v>1.1100000000000001</v>
      </c>
      <c r="CS13" s="60">
        <v>0.96</v>
      </c>
      <c r="CT13" s="60">
        <v>1.17</v>
      </c>
      <c r="CU13" s="60">
        <v>0.94</v>
      </c>
      <c r="CV13" s="60">
        <v>1.27</v>
      </c>
      <c r="CW13" s="60">
        <v>1.04</v>
      </c>
      <c r="CX13" s="60">
        <v>1.34</v>
      </c>
      <c r="CY13" s="60">
        <v>0.93</v>
      </c>
      <c r="CZ13" s="60">
        <v>1.04</v>
      </c>
      <c r="DA13" s="60">
        <v>1.06</v>
      </c>
      <c r="DB13" s="60">
        <v>1.06</v>
      </c>
      <c r="DC13" s="60">
        <v>1.26</v>
      </c>
      <c r="DD13" s="60">
        <v>1.31</v>
      </c>
      <c r="DE13" s="60">
        <v>1.26</v>
      </c>
      <c r="DF13" s="60">
        <v>1.0900000000000001</v>
      </c>
      <c r="DG13" s="60">
        <v>1.08</v>
      </c>
      <c r="DH13" s="60">
        <v>1.06</v>
      </c>
      <c r="DI13" s="60">
        <v>1.1299999999999999</v>
      </c>
      <c r="DJ13" s="60">
        <v>1.23</v>
      </c>
      <c r="DK13" s="60">
        <v>1.1399999999999999</v>
      </c>
      <c r="DL13" s="60">
        <v>0.97</v>
      </c>
      <c r="DM13" s="60">
        <v>1.1299999999999999</v>
      </c>
      <c r="DN13" s="60">
        <v>1.1200000000000001</v>
      </c>
      <c r="DP13" s="5" t="s">
        <v>528</v>
      </c>
      <c r="DQ13" s="5">
        <v>500</v>
      </c>
      <c r="DR13" s="73">
        <v>6.3388E-2</v>
      </c>
      <c r="DS13" s="5">
        <v>7</v>
      </c>
      <c r="DU13" s="5">
        <v>61.41</v>
      </c>
      <c r="DV13" s="5">
        <v>62.13</v>
      </c>
      <c r="DW13" s="5">
        <v>56.43</v>
      </c>
      <c r="DX13" s="5">
        <v>59.85</v>
      </c>
      <c r="DY13" s="5">
        <v>60.99</v>
      </c>
      <c r="DZ13" s="5">
        <v>64.41</v>
      </c>
      <c r="EA13" s="5">
        <v>59.85</v>
      </c>
      <c r="EB13" s="5">
        <v>65.55</v>
      </c>
      <c r="EC13" s="5">
        <v>63.27</v>
      </c>
      <c r="ED13" s="5">
        <v>62.7</v>
      </c>
      <c r="EE13" s="5">
        <v>71.819999999999993</v>
      </c>
      <c r="EF13" s="5">
        <v>78.66</v>
      </c>
      <c r="EG13" s="5">
        <v>68.400000000000006</v>
      </c>
      <c r="EH13" s="5">
        <v>71.25</v>
      </c>
      <c r="EI13" s="5">
        <v>78.66</v>
      </c>
      <c r="EJ13" s="5">
        <v>86.64</v>
      </c>
      <c r="EK13" s="5">
        <v>64.41</v>
      </c>
      <c r="EL13" s="5">
        <v>74.099999999999994</v>
      </c>
      <c r="EM13" s="5">
        <v>71.25</v>
      </c>
      <c r="EN13" s="5">
        <v>74.67</v>
      </c>
      <c r="EO13" s="5">
        <v>74.67</v>
      </c>
      <c r="EP13" s="5">
        <v>61.56</v>
      </c>
      <c r="EQ13" s="5">
        <v>59.85</v>
      </c>
      <c r="ER13" s="5">
        <v>63.27</v>
      </c>
      <c r="ES13" s="5">
        <v>63.27</v>
      </c>
      <c r="ET13" s="5">
        <v>65.55</v>
      </c>
      <c r="EU13" s="5">
        <v>60.99</v>
      </c>
      <c r="EV13" s="5">
        <v>59.85</v>
      </c>
      <c r="EW13" s="5">
        <v>58.14</v>
      </c>
      <c r="EX13" s="5">
        <v>62.7</v>
      </c>
      <c r="EY13" s="5">
        <v>66.69</v>
      </c>
      <c r="EZ13" s="5">
        <v>63.84</v>
      </c>
      <c r="FA13" s="5">
        <v>70.11</v>
      </c>
      <c r="FB13" s="5">
        <v>70.11</v>
      </c>
      <c r="FC13" s="5">
        <v>67.83</v>
      </c>
      <c r="FD13" s="5">
        <v>70.11</v>
      </c>
      <c r="FE13" s="5">
        <v>76.38</v>
      </c>
      <c r="FF13" s="5">
        <v>76.38</v>
      </c>
      <c r="FG13" s="5">
        <v>75.239999999999995</v>
      </c>
      <c r="FH13" s="5">
        <v>71.819999999999993</v>
      </c>
      <c r="FI13" s="5">
        <v>81.510000000000005</v>
      </c>
      <c r="FJ13" s="5">
        <v>82.65</v>
      </c>
      <c r="FK13" s="5">
        <v>78.09</v>
      </c>
      <c r="FL13" s="5">
        <v>74.67</v>
      </c>
      <c r="FM13" s="5">
        <v>75.239999999999995</v>
      </c>
      <c r="FN13" s="5">
        <v>78.09</v>
      </c>
      <c r="FO13" s="5">
        <v>82.08</v>
      </c>
      <c r="FP13" s="5">
        <v>71.25</v>
      </c>
      <c r="FQ13" s="5">
        <v>83.79</v>
      </c>
      <c r="FR13" s="5">
        <v>73.53</v>
      </c>
      <c r="FS13" s="5">
        <v>84.36</v>
      </c>
      <c r="FT13" s="5">
        <v>79.23</v>
      </c>
      <c r="FU13" s="5">
        <v>70.680000000000007</v>
      </c>
      <c r="FV13" s="5">
        <v>78.09</v>
      </c>
      <c r="FW13" s="5">
        <v>75.239999999999995</v>
      </c>
      <c r="FX13" s="5">
        <v>70.11</v>
      </c>
      <c r="FY13" s="5">
        <v>63.27</v>
      </c>
      <c r="FZ13" s="5">
        <v>59.85</v>
      </c>
      <c r="GA13" s="5">
        <v>50.16</v>
      </c>
      <c r="GB13" s="5">
        <v>57.57</v>
      </c>
      <c r="GC13" s="5">
        <v>63.84</v>
      </c>
      <c r="GD13" s="5">
        <v>57</v>
      </c>
      <c r="GE13" s="5">
        <v>54.15</v>
      </c>
      <c r="GF13" s="5">
        <v>62.7</v>
      </c>
      <c r="GG13" s="5">
        <v>57.57</v>
      </c>
      <c r="GH13" s="5">
        <v>50.73</v>
      </c>
      <c r="GI13" s="5">
        <v>53.01</v>
      </c>
      <c r="GJ13" s="5">
        <v>54.72</v>
      </c>
      <c r="GK13" s="5">
        <v>54.72</v>
      </c>
      <c r="GL13" s="5">
        <v>52.44</v>
      </c>
      <c r="GM13" s="5">
        <v>53.01</v>
      </c>
      <c r="GN13" s="5">
        <v>56.43</v>
      </c>
      <c r="GO13" s="5">
        <v>55.29</v>
      </c>
      <c r="GP13" s="5">
        <v>54.15</v>
      </c>
      <c r="GQ13" s="5">
        <v>58.14</v>
      </c>
      <c r="GR13" s="5">
        <v>54.15</v>
      </c>
      <c r="GS13" s="5">
        <v>56.43</v>
      </c>
      <c r="GT13" s="5">
        <v>58.71</v>
      </c>
      <c r="GU13" s="5">
        <v>68.97</v>
      </c>
      <c r="GV13" s="5">
        <v>60.42</v>
      </c>
      <c r="GW13" s="5">
        <v>72.39</v>
      </c>
      <c r="GX13" s="5">
        <v>58.71</v>
      </c>
      <c r="GY13" s="5">
        <v>78.09</v>
      </c>
      <c r="GZ13" s="5">
        <v>64.41</v>
      </c>
      <c r="HA13" s="5">
        <v>82.08</v>
      </c>
      <c r="HB13" s="5">
        <v>58.71</v>
      </c>
      <c r="HC13" s="5">
        <v>64.98</v>
      </c>
      <c r="HD13" s="5">
        <v>65.55</v>
      </c>
      <c r="HE13" s="5">
        <v>66.12</v>
      </c>
      <c r="HF13" s="5">
        <v>77.52</v>
      </c>
      <c r="HG13" s="5">
        <v>80.37</v>
      </c>
      <c r="HH13" s="5">
        <v>77.52</v>
      </c>
      <c r="HI13" s="5">
        <v>67.260000000000005</v>
      </c>
      <c r="HJ13" s="5">
        <v>67.260000000000005</v>
      </c>
      <c r="HK13" s="5">
        <v>66.12</v>
      </c>
      <c r="HL13" s="5">
        <v>70.11</v>
      </c>
      <c r="HM13" s="5">
        <v>75.81</v>
      </c>
      <c r="HN13" s="5">
        <v>70.680000000000007</v>
      </c>
      <c r="HO13" s="5">
        <v>60.42</v>
      </c>
      <c r="HP13" s="5">
        <v>69.540000000000006</v>
      </c>
      <c r="HQ13" s="5">
        <v>69.540000000000006</v>
      </c>
    </row>
    <row r="14" spans="1:225">
      <c r="A14" s="69">
        <v>12</v>
      </c>
      <c r="B14" s="13">
        <v>10</v>
      </c>
      <c r="C14" s="5">
        <v>7</v>
      </c>
      <c r="D14" s="5">
        <f t="shared" si="0"/>
        <v>70</v>
      </c>
      <c r="E14" s="5">
        <v>4</v>
      </c>
      <c r="F14" s="60">
        <f t="shared" si="1"/>
        <v>57.142857142857139</v>
      </c>
      <c r="G14" s="60">
        <f t="shared" si="2"/>
        <v>63.571428571428569</v>
      </c>
      <c r="H14" s="13">
        <v>10</v>
      </c>
      <c r="I14" s="5">
        <v>5</v>
      </c>
      <c r="J14" s="5">
        <f t="shared" si="3"/>
        <v>50</v>
      </c>
      <c r="K14" s="60">
        <v>0.65</v>
      </c>
      <c r="L14" s="60">
        <f t="shared" si="4"/>
        <v>13</v>
      </c>
      <c r="M14" s="60">
        <f t="shared" si="5"/>
        <v>31.5</v>
      </c>
      <c r="N14" s="5">
        <v>5821.2599999999993</v>
      </c>
      <c r="O14" s="5">
        <v>-57.369828800000008</v>
      </c>
      <c r="P14" s="5">
        <v>46.630171199999999</v>
      </c>
      <c r="Q14" s="5">
        <v>-60.177996000000007</v>
      </c>
      <c r="R14" s="5">
        <v>43.822004</v>
      </c>
      <c r="T14" s="60">
        <v>0.91</v>
      </c>
      <c r="U14" s="60">
        <v>0.83</v>
      </c>
      <c r="V14" s="60">
        <v>0.86</v>
      </c>
      <c r="W14" s="60">
        <v>0.73</v>
      </c>
      <c r="X14" s="60">
        <v>0.81</v>
      </c>
      <c r="Y14" s="60">
        <v>0.76</v>
      </c>
      <c r="Z14" s="60">
        <v>0.85</v>
      </c>
      <c r="AA14" s="60">
        <v>0.77</v>
      </c>
      <c r="AB14" s="60">
        <v>0.97</v>
      </c>
      <c r="AC14" s="60">
        <v>0.91</v>
      </c>
      <c r="AD14" s="60">
        <v>1.04</v>
      </c>
      <c r="AE14" s="60">
        <v>1.06</v>
      </c>
      <c r="AF14" s="60">
        <v>0.99</v>
      </c>
      <c r="AG14" s="60">
        <v>1.0900000000000001</v>
      </c>
      <c r="AH14" s="60">
        <v>0.99</v>
      </c>
      <c r="AI14" s="60">
        <v>0.99</v>
      </c>
      <c r="AJ14" s="60">
        <v>1.02</v>
      </c>
      <c r="AK14" s="60">
        <v>0.93</v>
      </c>
      <c r="AL14" s="60">
        <v>1.03</v>
      </c>
      <c r="AM14" s="60">
        <v>0.89</v>
      </c>
      <c r="AN14" s="60">
        <v>0.87</v>
      </c>
      <c r="AO14" s="60">
        <v>0.82</v>
      </c>
      <c r="AP14" s="60">
        <v>0.93</v>
      </c>
      <c r="AQ14" s="60">
        <v>0.8</v>
      </c>
      <c r="AR14" s="60">
        <v>0.75</v>
      </c>
      <c r="AS14" s="60">
        <v>0.83</v>
      </c>
      <c r="AT14" s="60">
        <v>0.85</v>
      </c>
      <c r="AU14" s="60">
        <v>0.85</v>
      </c>
      <c r="AV14" s="60">
        <v>0.87</v>
      </c>
      <c r="AW14" s="60">
        <v>1</v>
      </c>
      <c r="AX14" s="60">
        <v>0.99</v>
      </c>
      <c r="AY14" s="60">
        <v>1.1599999999999999</v>
      </c>
      <c r="AZ14" s="60">
        <v>1.06</v>
      </c>
      <c r="BA14" s="60">
        <v>1.1200000000000001</v>
      </c>
      <c r="BB14" s="60">
        <v>1.02</v>
      </c>
      <c r="BC14" s="60">
        <v>1.1000000000000001</v>
      </c>
      <c r="BD14" s="60">
        <v>1.08</v>
      </c>
      <c r="BE14" s="60">
        <v>1.2</v>
      </c>
      <c r="BF14" s="60">
        <v>1.1499999999999999</v>
      </c>
      <c r="BG14" s="60">
        <v>0.98</v>
      </c>
      <c r="BH14" s="60">
        <v>1.04</v>
      </c>
      <c r="BI14" s="60">
        <v>1.1599999999999999</v>
      </c>
      <c r="BJ14" s="60">
        <v>1.05</v>
      </c>
      <c r="BK14" s="60">
        <v>1.08</v>
      </c>
      <c r="BL14" s="60">
        <v>1.22</v>
      </c>
      <c r="BM14" s="60">
        <v>1.25</v>
      </c>
      <c r="BN14" s="60">
        <v>1.17</v>
      </c>
      <c r="BO14" s="60">
        <v>1.1299999999999999</v>
      </c>
      <c r="BP14" s="60">
        <v>1.1000000000000001</v>
      </c>
      <c r="BQ14" s="60">
        <v>1.1599999999999999</v>
      </c>
      <c r="BR14" s="60">
        <v>1.19</v>
      </c>
      <c r="BS14" s="60">
        <v>0.97</v>
      </c>
      <c r="BT14" s="60">
        <v>1.05</v>
      </c>
      <c r="BU14" s="60">
        <v>0.97</v>
      </c>
      <c r="BV14" s="60">
        <v>0.82</v>
      </c>
      <c r="BW14" s="60">
        <v>0.81</v>
      </c>
      <c r="BX14" s="60">
        <v>0.83</v>
      </c>
      <c r="BY14" s="60">
        <v>0.84</v>
      </c>
      <c r="BZ14" s="60">
        <v>0.77</v>
      </c>
      <c r="CA14" s="60">
        <v>0.72</v>
      </c>
      <c r="CB14" s="60">
        <v>0.9</v>
      </c>
      <c r="CC14" s="60">
        <v>0.86</v>
      </c>
      <c r="CD14" s="60">
        <v>0.8</v>
      </c>
      <c r="CE14" s="60">
        <v>0.81</v>
      </c>
      <c r="CF14" s="60">
        <v>0.73</v>
      </c>
      <c r="CG14" s="60">
        <v>0.68</v>
      </c>
      <c r="CH14" s="60">
        <v>0.76</v>
      </c>
      <c r="CI14" s="60">
        <v>0.64</v>
      </c>
      <c r="CJ14" s="60">
        <v>0.63</v>
      </c>
      <c r="CK14" s="60">
        <v>0.68</v>
      </c>
      <c r="CL14" s="60">
        <v>0.71</v>
      </c>
      <c r="CM14" s="60">
        <v>0.69</v>
      </c>
      <c r="CN14" s="60">
        <v>0.62</v>
      </c>
      <c r="CO14" s="60">
        <v>0.72</v>
      </c>
      <c r="CP14" s="60">
        <v>0.78</v>
      </c>
      <c r="CQ14" s="60">
        <v>0.72</v>
      </c>
      <c r="CR14" s="60">
        <v>0.77</v>
      </c>
      <c r="CS14" s="60">
        <v>0.79</v>
      </c>
      <c r="CT14" s="60">
        <v>0.91</v>
      </c>
      <c r="CU14" s="60">
        <v>0.85</v>
      </c>
      <c r="CV14" s="60">
        <v>0.97</v>
      </c>
      <c r="CW14" s="60">
        <v>0.93</v>
      </c>
      <c r="CX14" s="60">
        <v>0.9</v>
      </c>
      <c r="CY14" s="60">
        <v>0.84</v>
      </c>
      <c r="CZ14" s="60">
        <v>0.74</v>
      </c>
      <c r="DA14" s="60">
        <v>0.89</v>
      </c>
      <c r="DB14" s="60">
        <v>0.95</v>
      </c>
      <c r="DC14" s="60">
        <v>0.87</v>
      </c>
      <c r="DD14" s="60">
        <v>0.83</v>
      </c>
      <c r="DE14" s="60">
        <v>1.02</v>
      </c>
      <c r="DF14" s="60">
        <v>0.91</v>
      </c>
      <c r="DG14" s="60">
        <v>0.87</v>
      </c>
      <c r="DH14" s="60">
        <v>0.88</v>
      </c>
      <c r="DI14" s="60">
        <v>0.99</v>
      </c>
      <c r="DJ14" s="60">
        <v>1.04</v>
      </c>
      <c r="DK14" s="60">
        <v>0.93</v>
      </c>
      <c r="DL14" s="60">
        <v>0.94</v>
      </c>
      <c r="DM14" s="60">
        <v>0.92</v>
      </c>
      <c r="DN14" s="60">
        <v>0.93</v>
      </c>
      <c r="DP14" s="5" t="s">
        <v>529</v>
      </c>
      <c r="DQ14" s="5">
        <v>500</v>
      </c>
      <c r="DR14" s="73">
        <v>7.1057750000000003E-2</v>
      </c>
      <c r="DS14" s="5">
        <v>6</v>
      </c>
      <c r="DU14" s="5">
        <v>44.31</v>
      </c>
      <c r="DV14" s="5">
        <v>55.86</v>
      </c>
      <c r="DW14" s="5">
        <v>57.57</v>
      </c>
      <c r="DX14" s="5">
        <v>53.01</v>
      </c>
      <c r="DY14" s="5">
        <v>54.72</v>
      </c>
      <c r="DZ14" s="5">
        <v>47.31</v>
      </c>
      <c r="EA14" s="5">
        <v>51.87</v>
      </c>
      <c r="EB14" s="5">
        <v>49.02</v>
      </c>
      <c r="EC14" s="5">
        <v>53.58</v>
      </c>
      <c r="ED14" s="5">
        <v>49.59</v>
      </c>
      <c r="EE14" s="5">
        <v>60.99</v>
      </c>
      <c r="EF14" s="5">
        <v>57</v>
      </c>
      <c r="EG14" s="5">
        <v>64.98</v>
      </c>
      <c r="EH14" s="5">
        <v>66.12</v>
      </c>
      <c r="EI14" s="5">
        <v>62.13</v>
      </c>
      <c r="EJ14" s="5">
        <v>67.83</v>
      </c>
      <c r="EK14" s="5">
        <v>62.13</v>
      </c>
      <c r="EL14" s="5">
        <v>62.13</v>
      </c>
      <c r="EM14" s="5">
        <v>63.84</v>
      </c>
      <c r="EN14" s="5">
        <v>58.14</v>
      </c>
      <c r="EO14" s="5">
        <v>64.41</v>
      </c>
      <c r="EP14" s="5">
        <v>56.43</v>
      </c>
      <c r="EQ14" s="5">
        <v>55.29</v>
      </c>
      <c r="ER14" s="5">
        <v>52.44</v>
      </c>
      <c r="ES14" s="5">
        <v>58.71</v>
      </c>
      <c r="ET14" s="5">
        <v>51.3</v>
      </c>
      <c r="EU14" s="5">
        <v>48.45</v>
      </c>
      <c r="EV14" s="5">
        <v>53.01</v>
      </c>
      <c r="EW14" s="5">
        <v>54.15</v>
      </c>
      <c r="EX14" s="5">
        <v>54.15</v>
      </c>
      <c r="EY14" s="5">
        <v>55.29</v>
      </c>
      <c r="EZ14" s="5">
        <v>62.7</v>
      </c>
      <c r="FA14" s="5">
        <v>62.13</v>
      </c>
      <c r="FB14" s="5">
        <v>71.819999999999993</v>
      </c>
      <c r="FC14" s="5">
        <v>66.12</v>
      </c>
      <c r="FD14" s="5">
        <v>69.540000000000006</v>
      </c>
      <c r="FE14" s="5">
        <v>63.27</v>
      </c>
      <c r="FF14" s="5">
        <v>68.400000000000006</v>
      </c>
      <c r="FG14" s="5">
        <v>67.260000000000005</v>
      </c>
      <c r="FH14" s="5">
        <v>74.099999999999994</v>
      </c>
      <c r="FI14" s="5">
        <v>71.25</v>
      </c>
      <c r="FJ14" s="5">
        <v>60.99</v>
      </c>
      <c r="FK14" s="5">
        <v>64.98</v>
      </c>
      <c r="FL14" s="5">
        <v>71.819999999999993</v>
      </c>
      <c r="FM14" s="5">
        <v>65.55</v>
      </c>
      <c r="FN14" s="5">
        <v>67.260000000000005</v>
      </c>
      <c r="FO14" s="5">
        <v>75.239999999999995</v>
      </c>
      <c r="FP14" s="5">
        <v>76.95</v>
      </c>
      <c r="FQ14" s="5">
        <v>72.39</v>
      </c>
      <c r="FR14" s="5">
        <v>70.11</v>
      </c>
      <c r="FS14" s="5">
        <v>68.400000000000006</v>
      </c>
      <c r="FT14" s="5">
        <v>71.819999999999993</v>
      </c>
      <c r="FU14" s="5">
        <v>73.53</v>
      </c>
      <c r="FV14" s="5">
        <v>60.42</v>
      </c>
      <c r="FW14" s="5">
        <v>65.55</v>
      </c>
      <c r="FX14" s="5">
        <v>60.99</v>
      </c>
      <c r="FY14" s="5">
        <v>52.44</v>
      </c>
      <c r="FZ14" s="5">
        <v>51.87</v>
      </c>
      <c r="GA14" s="5">
        <v>53.01</v>
      </c>
      <c r="GB14" s="5">
        <v>53.58</v>
      </c>
      <c r="GC14" s="5">
        <v>49.02</v>
      </c>
      <c r="GD14" s="5">
        <v>46.17</v>
      </c>
      <c r="GE14" s="5">
        <v>57</v>
      </c>
      <c r="GF14" s="5">
        <v>54.72</v>
      </c>
      <c r="GG14" s="5">
        <v>51.3</v>
      </c>
      <c r="GH14" s="5">
        <v>51.87</v>
      </c>
      <c r="GI14" s="5">
        <v>47.31</v>
      </c>
      <c r="GJ14" s="5">
        <v>44.46</v>
      </c>
      <c r="GK14" s="5">
        <v>49.02</v>
      </c>
      <c r="GL14" s="5">
        <v>42.18</v>
      </c>
      <c r="GM14" s="5">
        <v>41.61</v>
      </c>
      <c r="GN14" s="5">
        <v>43.89</v>
      </c>
      <c r="GO14" s="5">
        <v>46.17</v>
      </c>
      <c r="GP14" s="5">
        <v>45.03</v>
      </c>
      <c r="GQ14" s="5">
        <v>41.04</v>
      </c>
      <c r="GR14" s="5">
        <v>46.74</v>
      </c>
      <c r="GS14" s="5">
        <v>50.16</v>
      </c>
      <c r="GT14" s="5">
        <v>46.74</v>
      </c>
      <c r="GU14" s="5">
        <v>49.59</v>
      </c>
      <c r="GV14" s="5">
        <v>50.73</v>
      </c>
      <c r="GW14" s="5">
        <v>57.57</v>
      </c>
      <c r="GX14" s="5">
        <v>54.15</v>
      </c>
      <c r="GY14" s="5">
        <v>60.99</v>
      </c>
      <c r="GZ14" s="5">
        <v>58.71</v>
      </c>
      <c r="HA14" s="5">
        <v>56.43</v>
      </c>
      <c r="HB14" s="5">
        <v>53.58</v>
      </c>
      <c r="HC14" s="5">
        <v>47.88</v>
      </c>
      <c r="HD14" s="5">
        <v>56.43</v>
      </c>
      <c r="HE14" s="5">
        <v>59.85</v>
      </c>
      <c r="HF14" s="5">
        <v>55.29</v>
      </c>
      <c r="HG14" s="5">
        <v>52.44</v>
      </c>
      <c r="HH14" s="5">
        <v>63.84</v>
      </c>
      <c r="HI14" s="5">
        <v>57.57</v>
      </c>
      <c r="HJ14" s="5">
        <v>55.29</v>
      </c>
      <c r="HK14" s="5">
        <v>55.86</v>
      </c>
      <c r="HL14" s="5">
        <v>62.13</v>
      </c>
      <c r="HM14" s="5">
        <v>64.98</v>
      </c>
      <c r="HN14" s="5">
        <v>58.71</v>
      </c>
      <c r="HO14" s="5">
        <v>59.28</v>
      </c>
      <c r="HP14" s="5">
        <v>57.57</v>
      </c>
      <c r="HQ14" s="5">
        <v>58.71</v>
      </c>
    </row>
    <row r="15" spans="1:225">
      <c r="A15" s="69">
        <v>13</v>
      </c>
      <c r="B15" s="13">
        <v>10</v>
      </c>
      <c r="C15" s="5">
        <v>10</v>
      </c>
      <c r="D15" s="5">
        <f t="shared" si="0"/>
        <v>100</v>
      </c>
      <c r="E15" s="5">
        <v>1</v>
      </c>
      <c r="F15" s="60">
        <f t="shared" si="1"/>
        <v>10</v>
      </c>
      <c r="G15" s="60">
        <f t="shared" si="2"/>
        <v>55</v>
      </c>
      <c r="H15" s="13">
        <v>10</v>
      </c>
      <c r="I15" s="5">
        <v>10</v>
      </c>
      <c r="J15" s="5">
        <f t="shared" si="3"/>
        <v>100</v>
      </c>
      <c r="K15" s="60">
        <v>0.68</v>
      </c>
      <c r="L15" s="60">
        <f t="shared" si="4"/>
        <v>6.8000000000000007</v>
      </c>
      <c r="M15" s="60">
        <f t="shared" si="5"/>
        <v>53.4</v>
      </c>
      <c r="N15" s="5">
        <v>5995.1100000000015</v>
      </c>
      <c r="O15" s="5">
        <v>-60.784232249999988</v>
      </c>
      <c r="P15" s="5">
        <v>43.215767750000005</v>
      </c>
      <c r="Q15" s="5">
        <v>-56.891774099999999</v>
      </c>
      <c r="R15" s="5">
        <v>47.108225900000001</v>
      </c>
      <c r="T15" s="60">
        <v>0.82</v>
      </c>
      <c r="U15" s="60">
        <v>0.91</v>
      </c>
      <c r="V15" s="60">
        <v>0.85</v>
      </c>
      <c r="W15" s="60">
        <v>0.69</v>
      </c>
      <c r="X15" s="60">
        <v>0.8</v>
      </c>
      <c r="Y15" s="60">
        <v>0.68</v>
      </c>
      <c r="Z15" s="60">
        <v>0.83</v>
      </c>
      <c r="AA15" s="60">
        <v>0.77</v>
      </c>
      <c r="AB15" s="60">
        <v>0.8</v>
      </c>
      <c r="AC15" s="60">
        <v>1.01</v>
      </c>
      <c r="AD15" s="60">
        <v>1.0900000000000001</v>
      </c>
      <c r="AE15" s="60">
        <v>0.88</v>
      </c>
      <c r="AF15" s="60">
        <v>1.04</v>
      </c>
      <c r="AG15" s="60">
        <v>1.19</v>
      </c>
      <c r="AH15" s="60">
        <v>0.86</v>
      </c>
      <c r="AI15" s="60">
        <v>0.91</v>
      </c>
      <c r="AJ15" s="60">
        <v>0.85</v>
      </c>
      <c r="AK15" s="60">
        <v>1.03</v>
      </c>
      <c r="AL15" s="60">
        <v>0.95</v>
      </c>
      <c r="AM15" s="60">
        <v>0.82</v>
      </c>
      <c r="AN15" s="60">
        <v>0.83</v>
      </c>
      <c r="AO15" s="60">
        <v>0.8</v>
      </c>
      <c r="AP15" s="60">
        <v>0.87</v>
      </c>
      <c r="AQ15" s="60">
        <v>0.85</v>
      </c>
      <c r="AR15" s="60">
        <v>1</v>
      </c>
      <c r="AS15" s="60">
        <v>0.89</v>
      </c>
      <c r="AT15" s="60">
        <v>0.96</v>
      </c>
      <c r="AU15" s="60">
        <v>0.84</v>
      </c>
      <c r="AV15" s="60">
        <v>1.01</v>
      </c>
      <c r="AW15" s="60">
        <v>0.94</v>
      </c>
      <c r="AX15" s="60">
        <v>1.17</v>
      </c>
      <c r="AY15" s="60">
        <v>1.1200000000000001</v>
      </c>
      <c r="AZ15" s="60">
        <v>1.01</v>
      </c>
      <c r="BA15" s="60">
        <v>1.19</v>
      </c>
      <c r="BB15" s="60">
        <v>1.2</v>
      </c>
      <c r="BC15" s="60">
        <v>1.23</v>
      </c>
      <c r="BD15" s="60">
        <v>1.3</v>
      </c>
      <c r="BE15" s="60">
        <v>1.29</v>
      </c>
      <c r="BF15" s="60">
        <v>1</v>
      </c>
      <c r="BG15" s="60">
        <v>1.32</v>
      </c>
      <c r="BH15" s="60">
        <v>1.1599999999999999</v>
      </c>
      <c r="BI15" s="60">
        <v>1.25</v>
      </c>
      <c r="BJ15" s="60">
        <v>1.35</v>
      </c>
      <c r="BK15" s="60">
        <v>1.06</v>
      </c>
      <c r="BL15" s="60">
        <v>1.19</v>
      </c>
      <c r="BM15" s="60">
        <v>1.23</v>
      </c>
      <c r="BN15" s="60">
        <v>1.31</v>
      </c>
      <c r="BO15" s="60">
        <v>1.27</v>
      </c>
      <c r="BP15" s="60">
        <v>1.1599999999999999</v>
      </c>
      <c r="BQ15" s="60">
        <v>1.23</v>
      </c>
      <c r="BR15" s="60">
        <v>1.1000000000000001</v>
      </c>
      <c r="BS15" s="60">
        <v>1.21</v>
      </c>
      <c r="BT15" s="60">
        <v>1.2</v>
      </c>
      <c r="BU15" s="60">
        <v>0.99</v>
      </c>
      <c r="BV15" s="60">
        <v>0.9</v>
      </c>
      <c r="BW15" s="60">
        <v>0.78</v>
      </c>
      <c r="BX15" s="60">
        <v>0.82</v>
      </c>
      <c r="BY15" s="60">
        <v>0.81</v>
      </c>
      <c r="BZ15" s="60">
        <v>0.84</v>
      </c>
      <c r="CA15" s="60">
        <v>0.89</v>
      </c>
      <c r="CB15" s="60">
        <v>1.03</v>
      </c>
      <c r="CC15" s="60">
        <v>0.81</v>
      </c>
      <c r="CD15" s="60">
        <v>0.83</v>
      </c>
      <c r="CE15" s="60">
        <v>0.78</v>
      </c>
      <c r="CF15" s="60">
        <v>0.81</v>
      </c>
      <c r="CG15" s="60">
        <v>0.67</v>
      </c>
      <c r="CH15" s="60">
        <v>0.74</v>
      </c>
      <c r="CI15" s="60">
        <v>0.67</v>
      </c>
      <c r="CJ15" s="60">
        <v>0.64</v>
      </c>
      <c r="CK15" s="60">
        <v>0.62</v>
      </c>
      <c r="CL15" s="60">
        <v>0.59</v>
      </c>
      <c r="CM15" s="60">
        <v>0.62</v>
      </c>
      <c r="CN15" s="60">
        <v>0.7</v>
      </c>
      <c r="CO15" s="60">
        <v>0.88</v>
      </c>
      <c r="CP15" s="60">
        <v>0.73</v>
      </c>
      <c r="CQ15" s="60">
        <v>0.75</v>
      </c>
      <c r="CR15" s="60">
        <v>0.95</v>
      </c>
      <c r="CS15" s="60">
        <v>0.83</v>
      </c>
      <c r="CT15" s="60">
        <v>1.08</v>
      </c>
      <c r="CU15" s="60">
        <v>0.98</v>
      </c>
      <c r="CV15" s="60">
        <v>1.0900000000000001</v>
      </c>
      <c r="CW15" s="60">
        <v>1.1100000000000001</v>
      </c>
      <c r="CX15" s="60">
        <v>0.62</v>
      </c>
      <c r="CY15" s="60">
        <v>0.84</v>
      </c>
      <c r="CZ15" s="60">
        <v>0.84</v>
      </c>
      <c r="DA15" s="60">
        <v>0.87</v>
      </c>
      <c r="DB15" s="60">
        <v>0.7</v>
      </c>
      <c r="DC15" s="60">
        <v>1.04</v>
      </c>
      <c r="DD15" s="60">
        <v>0.94</v>
      </c>
      <c r="DE15" s="60">
        <v>0.89</v>
      </c>
      <c r="DF15" s="60">
        <v>1.01</v>
      </c>
      <c r="DG15" s="60">
        <v>0.76</v>
      </c>
      <c r="DH15" s="60">
        <v>1.01</v>
      </c>
      <c r="DI15" s="60">
        <v>1.03</v>
      </c>
      <c r="DJ15" s="60">
        <v>0.94</v>
      </c>
      <c r="DK15" s="60">
        <v>0.95</v>
      </c>
      <c r="DL15" s="60">
        <v>0.98</v>
      </c>
      <c r="DM15" s="60">
        <v>1.08</v>
      </c>
      <c r="DN15" s="60">
        <v>1.08</v>
      </c>
      <c r="DP15" s="5" t="s">
        <v>530</v>
      </c>
      <c r="DQ15" s="5">
        <v>500</v>
      </c>
      <c r="DR15" s="73">
        <v>7.5967000000000007E-2</v>
      </c>
      <c r="DS15" s="5">
        <v>9</v>
      </c>
      <c r="DU15" s="5">
        <v>46.02</v>
      </c>
      <c r="DV15" s="5">
        <v>49.59</v>
      </c>
      <c r="DW15" s="5">
        <v>52.44</v>
      </c>
      <c r="DX15" s="5">
        <v>57.57</v>
      </c>
      <c r="DY15" s="5">
        <v>54.15</v>
      </c>
      <c r="DZ15" s="5">
        <v>45.03</v>
      </c>
      <c r="EA15" s="5">
        <v>51.3</v>
      </c>
      <c r="EB15" s="5">
        <v>44.46</v>
      </c>
      <c r="EC15" s="5">
        <v>53.01</v>
      </c>
      <c r="ED15" s="5">
        <v>49.59</v>
      </c>
      <c r="EE15" s="5">
        <v>51.3</v>
      </c>
      <c r="EF15" s="5">
        <v>63.27</v>
      </c>
      <c r="EG15" s="5">
        <v>67.83</v>
      </c>
      <c r="EH15" s="5">
        <v>55.29</v>
      </c>
      <c r="EI15" s="5">
        <v>64.98</v>
      </c>
      <c r="EJ15" s="5">
        <v>73.53</v>
      </c>
      <c r="EK15" s="5">
        <v>53.58</v>
      </c>
      <c r="EL15" s="5">
        <v>57</v>
      </c>
      <c r="EM15" s="5">
        <v>53.58</v>
      </c>
      <c r="EN15" s="5">
        <v>64.41</v>
      </c>
      <c r="EO15" s="5">
        <v>59.85</v>
      </c>
      <c r="EP15" s="5">
        <v>52.44</v>
      </c>
      <c r="EQ15" s="5">
        <v>53.01</v>
      </c>
      <c r="ER15" s="5">
        <v>51.3</v>
      </c>
      <c r="ES15" s="5">
        <v>55.29</v>
      </c>
      <c r="ET15" s="5">
        <v>54.15</v>
      </c>
      <c r="EU15" s="5">
        <v>62.7</v>
      </c>
      <c r="EV15" s="5">
        <v>56.43</v>
      </c>
      <c r="EW15" s="5">
        <v>60.42</v>
      </c>
      <c r="EX15" s="5">
        <v>53.58</v>
      </c>
      <c r="EY15" s="5">
        <v>63.27</v>
      </c>
      <c r="EZ15" s="5">
        <v>59.28</v>
      </c>
      <c r="FA15" s="5">
        <v>72.39</v>
      </c>
      <c r="FB15" s="5">
        <v>69.540000000000006</v>
      </c>
      <c r="FC15" s="5">
        <v>63.27</v>
      </c>
      <c r="FD15" s="5">
        <v>73.53</v>
      </c>
      <c r="FE15" s="5">
        <v>74.099999999999994</v>
      </c>
      <c r="FF15" s="5">
        <v>75.81</v>
      </c>
      <c r="FG15" s="5">
        <v>79.8</v>
      </c>
      <c r="FH15" s="5">
        <v>78.66</v>
      </c>
      <c r="FI15" s="5">
        <v>61.56</v>
      </c>
      <c r="FJ15" s="5">
        <v>80.94</v>
      </c>
      <c r="FK15" s="5">
        <v>71.819999999999993</v>
      </c>
      <c r="FL15" s="5">
        <v>76.95</v>
      </c>
      <c r="FM15" s="5">
        <v>82.65</v>
      </c>
      <c r="FN15" s="5">
        <v>65.55</v>
      </c>
      <c r="FO15" s="5">
        <v>73.53</v>
      </c>
      <c r="FP15" s="5">
        <v>75.81</v>
      </c>
      <c r="FQ15" s="5">
        <v>80.37</v>
      </c>
      <c r="FR15" s="5">
        <v>78.09</v>
      </c>
      <c r="FS15" s="5">
        <v>71.819999999999993</v>
      </c>
      <c r="FT15" s="5">
        <v>75.81</v>
      </c>
      <c r="FU15" s="5">
        <v>68.400000000000006</v>
      </c>
      <c r="FV15" s="5">
        <v>74.67</v>
      </c>
      <c r="FW15" s="5">
        <v>74.099999999999994</v>
      </c>
      <c r="FX15" s="5">
        <v>62.13</v>
      </c>
      <c r="FY15" s="5">
        <v>57</v>
      </c>
      <c r="FZ15" s="5">
        <v>50.16</v>
      </c>
      <c r="GA15" s="5">
        <v>52.44</v>
      </c>
      <c r="GB15" s="5">
        <v>51.87</v>
      </c>
      <c r="GC15" s="5">
        <v>53.58</v>
      </c>
      <c r="GD15" s="5">
        <v>56.43</v>
      </c>
      <c r="GE15" s="5">
        <v>64.41</v>
      </c>
      <c r="GF15" s="5">
        <v>51.3</v>
      </c>
      <c r="GG15" s="5">
        <v>52.44</v>
      </c>
      <c r="GH15" s="5">
        <v>50.16</v>
      </c>
      <c r="GI15" s="5">
        <v>51.87</v>
      </c>
      <c r="GJ15" s="5">
        <v>43.32</v>
      </c>
      <c r="GK15" s="5">
        <v>47.88</v>
      </c>
      <c r="GL15" s="5">
        <v>43.89</v>
      </c>
      <c r="GM15" s="5">
        <v>42.18</v>
      </c>
      <c r="GN15" s="5">
        <v>41.04</v>
      </c>
      <c r="GO15" s="5">
        <v>39.33</v>
      </c>
      <c r="GP15" s="5">
        <v>41.04</v>
      </c>
      <c r="GQ15" s="5">
        <v>45.6</v>
      </c>
      <c r="GR15" s="5">
        <v>55.86</v>
      </c>
      <c r="GS15" s="5">
        <v>47.31</v>
      </c>
      <c r="GT15" s="5">
        <v>48.45</v>
      </c>
      <c r="GU15" s="5">
        <v>59.85</v>
      </c>
      <c r="GV15" s="5">
        <v>52.44</v>
      </c>
      <c r="GW15" s="5">
        <v>67.260000000000005</v>
      </c>
      <c r="GX15" s="5">
        <v>60.99</v>
      </c>
      <c r="GY15" s="5">
        <v>67.83</v>
      </c>
      <c r="GZ15" s="5">
        <v>68.97</v>
      </c>
      <c r="HA15" s="5">
        <v>39.33</v>
      </c>
      <c r="HB15" s="5">
        <v>53.58</v>
      </c>
      <c r="HC15" s="5">
        <v>53.58</v>
      </c>
      <c r="HD15" s="5">
        <v>55.29</v>
      </c>
      <c r="HE15" s="5">
        <v>44.46</v>
      </c>
      <c r="HF15" s="5">
        <v>64.98</v>
      </c>
      <c r="HG15" s="5">
        <v>59.28</v>
      </c>
      <c r="HH15" s="5">
        <v>55.29</v>
      </c>
      <c r="HI15" s="5">
        <v>63.27</v>
      </c>
      <c r="HJ15" s="5">
        <v>48.45</v>
      </c>
      <c r="HK15" s="5">
        <v>63.27</v>
      </c>
      <c r="HL15" s="5">
        <v>64.41</v>
      </c>
      <c r="HM15" s="5">
        <v>58.71</v>
      </c>
      <c r="HN15" s="5">
        <v>59.85</v>
      </c>
      <c r="HO15" s="5">
        <v>60.99</v>
      </c>
      <c r="HP15" s="5">
        <v>67.260000000000005</v>
      </c>
      <c r="HQ15" s="5">
        <v>67.260000000000005</v>
      </c>
    </row>
    <row r="16" spans="1:225">
      <c r="A16" s="69">
        <v>14</v>
      </c>
      <c r="B16" s="13">
        <v>10</v>
      </c>
      <c r="C16" s="5">
        <v>10</v>
      </c>
      <c r="D16" s="5">
        <f t="shared" si="0"/>
        <v>100</v>
      </c>
      <c r="E16" s="5">
        <v>2</v>
      </c>
      <c r="F16" s="60">
        <f t="shared" si="1"/>
        <v>20</v>
      </c>
      <c r="G16" s="60">
        <f t="shared" si="2"/>
        <v>60</v>
      </c>
      <c r="H16" s="13">
        <v>10</v>
      </c>
      <c r="I16" s="5">
        <v>3</v>
      </c>
      <c r="J16" s="5">
        <f t="shared" si="3"/>
        <v>30</v>
      </c>
      <c r="K16" s="60">
        <v>0.88</v>
      </c>
      <c r="L16" s="60">
        <f t="shared" si="4"/>
        <v>29.333333333333332</v>
      </c>
      <c r="M16" s="60">
        <f t="shared" si="5"/>
        <v>29.666666666666664</v>
      </c>
      <c r="N16" s="75">
        <v>7409.8499999999985</v>
      </c>
      <c r="O16" s="5">
        <v>-59.448027900000014</v>
      </c>
      <c r="P16" s="5">
        <v>44.551972099999993</v>
      </c>
      <c r="Q16" s="5">
        <v>-59.751892399999996</v>
      </c>
      <c r="R16" s="5">
        <v>44.248107600000004</v>
      </c>
      <c r="T16" s="60">
        <v>0.99</v>
      </c>
      <c r="U16" s="60">
        <v>0.97</v>
      </c>
      <c r="V16" s="60">
        <v>0.96</v>
      </c>
      <c r="W16" s="60">
        <v>0.92</v>
      </c>
      <c r="X16" s="60">
        <v>1.07</v>
      </c>
      <c r="Y16" s="60">
        <v>1.04</v>
      </c>
      <c r="Z16" s="60">
        <v>1.07</v>
      </c>
      <c r="AA16" s="60">
        <v>1.0900000000000001</v>
      </c>
      <c r="AB16" s="60">
        <v>1.17</v>
      </c>
      <c r="AC16" s="60">
        <v>1.21</v>
      </c>
      <c r="AD16" s="60">
        <v>1.28</v>
      </c>
      <c r="AE16" s="60">
        <v>1.26</v>
      </c>
      <c r="AF16" s="60">
        <v>1.34</v>
      </c>
      <c r="AG16" s="60">
        <v>1.36</v>
      </c>
      <c r="AH16" s="60">
        <v>1.21</v>
      </c>
      <c r="AI16" s="60">
        <v>1.37</v>
      </c>
      <c r="AJ16" s="60">
        <v>1.3</v>
      </c>
      <c r="AK16" s="60">
        <v>1.29</v>
      </c>
      <c r="AL16" s="60">
        <v>1.26</v>
      </c>
      <c r="AM16" s="60">
        <v>0.98</v>
      </c>
      <c r="AN16" s="60">
        <v>1.04</v>
      </c>
      <c r="AO16" s="60">
        <v>1.05</v>
      </c>
      <c r="AP16" s="60">
        <v>1.05</v>
      </c>
      <c r="AQ16" s="60">
        <v>0.98</v>
      </c>
      <c r="AR16" s="60">
        <v>1.08</v>
      </c>
      <c r="AS16" s="60">
        <v>1.0900000000000001</v>
      </c>
      <c r="AT16" s="60">
        <v>1.03</v>
      </c>
      <c r="AU16" s="60">
        <v>1.07</v>
      </c>
      <c r="AV16" s="60">
        <v>1.1100000000000001</v>
      </c>
      <c r="AW16" s="60">
        <v>1.47</v>
      </c>
      <c r="AX16" s="60">
        <v>1.22</v>
      </c>
      <c r="AY16" s="60">
        <v>1.42</v>
      </c>
      <c r="AZ16" s="60">
        <v>1.36</v>
      </c>
      <c r="BA16" s="60">
        <v>1.37</v>
      </c>
      <c r="BB16" s="60">
        <v>1.52</v>
      </c>
      <c r="BC16" s="60">
        <v>1.46</v>
      </c>
      <c r="BD16" s="60">
        <v>1.25</v>
      </c>
      <c r="BE16" s="60">
        <v>1.39</v>
      </c>
      <c r="BF16" s="60">
        <v>1.46</v>
      </c>
      <c r="BG16" s="60">
        <v>1.34</v>
      </c>
      <c r="BH16" s="60">
        <v>1.47</v>
      </c>
      <c r="BI16" s="60">
        <v>1.38</v>
      </c>
      <c r="BJ16" s="60">
        <v>1.55</v>
      </c>
      <c r="BK16" s="60">
        <v>1.47</v>
      </c>
      <c r="BL16" s="60">
        <v>1.35</v>
      </c>
      <c r="BM16" s="60">
        <v>1.56</v>
      </c>
      <c r="BN16" s="60">
        <v>1.4</v>
      </c>
      <c r="BO16" s="60">
        <v>1.29</v>
      </c>
      <c r="BP16" s="60">
        <v>1.5</v>
      </c>
      <c r="BQ16" s="60">
        <v>1.08</v>
      </c>
      <c r="BR16" s="60">
        <v>1.32</v>
      </c>
      <c r="BS16" s="60">
        <v>1.33</v>
      </c>
      <c r="BT16" s="60">
        <v>1.29</v>
      </c>
      <c r="BU16" s="60">
        <v>1.25</v>
      </c>
      <c r="BV16" s="60">
        <v>1.1399999999999999</v>
      </c>
      <c r="BW16" s="60">
        <v>1.1100000000000001</v>
      </c>
      <c r="BX16" s="60">
        <v>1.1299999999999999</v>
      </c>
      <c r="BY16" s="60">
        <v>1.1299999999999999</v>
      </c>
      <c r="BZ16" s="60">
        <v>1.01</v>
      </c>
      <c r="CA16" s="60">
        <v>1.1000000000000001</v>
      </c>
      <c r="CB16" s="60">
        <v>1.2</v>
      </c>
      <c r="CC16" s="60">
        <v>0.95</v>
      </c>
      <c r="CD16" s="60">
        <v>1.1200000000000001</v>
      </c>
      <c r="CE16" s="60">
        <v>1.1299999999999999</v>
      </c>
      <c r="CF16" s="60">
        <v>0.92</v>
      </c>
      <c r="CG16" s="60">
        <v>0.97</v>
      </c>
      <c r="CH16" s="60">
        <v>0.8</v>
      </c>
      <c r="CI16" s="60">
        <v>0.86</v>
      </c>
      <c r="CJ16" s="60">
        <v>0.9</v>
      </c>
      <c r="CK16" s="60">
        <v>0.99</v>
      </c>
      <c r="CL16" s="60">
        <v>0.92</v>
      </c>
      <c r="CM16" s="60">
        <v>0.89</v>
      </c>
      <c r="CN16" s="60">
        <v>0.99</v>
      </c>
      <c r="CO16" s="60">
        <v>1.0900000000000001</v>
      </c>
      <c r="CP16" s="60">
        <v>1.08</v>
      </c>
      <c r="CQ16" s="60">
        <v>1.24</v>
      </c>
      <c r="CR16" s="60">
        <v>1.38</v>
      </c>
      <c r="CS16" s="60">
        <v>1.1499999999999999</v>
      </c>
      <c r="CT16" s="60">
        <v>1.18</v>
      </c>
      <c r="CU16" s="60">
        <v>1.34</v>
      </c>
      <c r="CV16" s="60">
        <v>1.43</v>
      </c>
      <c r="CW16" s="60">
        <v>1.37</v>
      </c>
      <c r="CX16" s="60">
        <v>1.1000000000000001</v>
      </c>
      <c r="CY16" s="60">
        <v>1.1000000000000001</v>
      </c>
      <c r="CZ16" s="60">
        <v>1.18</v>
      </c>
      <c r="DA16" s="60">
        <v>1.1000000000000001</v>
      </c>
      <c r="DB16" s="60">
        <v>1.1200000000000001</v>
      </c>
      <c r="DC16" s="60">
        <v>1.24</v>
      </c>
      <c r="DD16" s="60">
        <v>1.0900000000000001</v>
      </c>
      <c r="DE16" s="60">
        <v>1.43</v>
      </c>
      <c r="DF16" s="60">
        <v>1.19</v>
      </c>
      <c r="DG16" s="60">
        <v>1.06</v>
      </c>
      <c r="DH16" s="60">
        <v>1.27</v>
      </c>
      <c r="DI16" s="60">
        <v>1.36</v>
      </c>
      <c r="DJ16" s="60">
        <v>1.32</v>
      </c>
      <c r="DK16" s="60">
        <v>1.02</v>
      </c>
      <c r="DL16" s="60">
        <v>1.27</v>
      </c>
      <c r="DM16" s="60">
        <v>1.28</v>
      </c>
      <c r="DN16" s="60">
        <v>1.37</v>
      </c>
      <c r="DP16" s="5" t="s">
        <v>531</v>
      </c>
      <c r="DQ16" s="5">
        <v>500</v>
      </c>
      <c r="DR16" s="73">
        <v>7.5693499999999997E-2</v>
      </c>
      <c r="DS16" s="5">
        <v>8</v>
      </c>
      <c r="DU16" s="5">
        <v>57.42</v>
      </c>
      <c r="DV16" s="5">
        <v>64.98</v>
      </c>
      <c r="DW16" s="5">
        <v>62.13</v>
      </c>
      <c r="DX16" s="5">
        <v>60.99</v>
      </c>
      <c r="DY16" s="5">
        <v>60.42</v>
      </c>
      <c r="DZ16" s="5">
        <v>58.14</v>
      </c>
      <c r="EA16" s="5">
        <v>66.69</v>
      </c>
      <c r="EB16" s="5">
        <v>64.98</v>
      </c>
      <c r="EC16" s="5">
        <v>66.69</v>
      </c>
      <c r="ED16" s="5">
        <v>67.83</v>
      </c>
      <c r="EE16" s="5">
        <v>72.39</v>
      </c>
      <c r="EF16" s="5">
        <v>74.67</v>
      </c>
      <c r="EG16" s="5">
        <v>78.66</v>
      </c>
      <c r="EH16" s="5">
        <v>77.52</v>
      </c>
      <c r="EI16" s="5">
        <v>82.08</v>
      </c>
      <c r="EJ16" s="5">
        <v>83.22</v>
      </c>
      <c r="EK16" s="5">
        <v>74.67</v>
      </c>
      <c r="EL16" s="5">
        <v>83.79</v>
      </c>
      <c r="EM16" s="5">
        <v>79.8</v>
      </c>
      <c r="EN16" s="5">
        <v>79.23</v>
      </c>
      <c r="EO16" s="5">
        <v>77.52</v>
      </c>
      <c r="EP16" s="5">
        <v>61.56</v>
      </c>
      <c r="EQ16" s="5">
        <v>64.98</v>
      </c>
      <c r="ER16" s="5">
        <v>65.55</v>
      </c>
      <c r="ES16" s="5">
        <v>65.55</v>
      </c>
      <c r="ET16" s="5">
        <v>61.56</v>
      </c>
      <c r="EU16" s="5">
        <v>67.260000000000005</v>
      </c>
      <c r="EV16" s="5">
        <v>67.83</v>
      </c>
      <c r="EW16" s="5">
        <v>64.41</v>
      </c>
      <c r="EX16" s="5">
        <v>66.69</v>
      </c>
      <c r="EY16" s="5">
        <v>68.97</v>
      </c>
      <c r="EZ16" s="5">
        <v>89.49</v>
      </c>
      <c r="FA16" s="5">
        <v>74.67</v>
      </c>
      <c r="FB16" s="5">
        <v>86.64</v>
      </c>
      <c r="FC16" s="5">
        <v>83.22</v>
      </c>
      <c r="FD16" s="5">
        <v>83.79</v>
      </c>
      <c r="FE16" s="5">
        <v>92.34</v>
      </c>
      <c r="FF16" s="5">
        <v>88.92</v>
      </c>
      <c r="FG16" s="5">
        <v>76.38</v>
      </c>
      <c r="FH16" s="5">
        <v>84.93</v>
      </c>
      <c r="FI16" s="5">
        <v>88.92</v>
      </c>
      <c r="FJ16" s="5">
        <v>82.08</v>
      </c>
      <c r="FK16" s="5">
        <v>89.49</v>
      </c>
      <c r="FL16" s="5">
        <v>84.36</v>
      </c>
      <c r="FM16" s="5">
        <v>94.05</v>
      </c>
      <c r="FN16" s="5">
        <v>89.49</v>
      </c>
      <c r="FO16" s="5">
        <v>82.08</v>
      </c>
      <c r="FP16" s="5">
        <v>94.62</v>
      </c>
      <c r="FQ16" s="5">
        <v>85.5</v>
      </c>
      <c r="FR16" s="5">
        <v>78.66</v>
      </c>
      <c r="FS16" s="5">
        <v>91.2</v>
      </c>
      <c r="FT16" s="5">
        <v>66.69</v>
      </c>
      <c r="FU16" s="5">
        <v>80.94</v>
      </c>
      <c r="FV16" s="5">
        <v>81.510000000000005</v>
      </c>
      <c r="FW16" s="5">
        <v>78.66</v>
      </c>
      <c r="FX16" s="5">
        <v>76.95</v>
      </c>
      <c r="FY16" s="5">
        <v>70.680000000000007</v>
      </c>
      <c r="FZ16" s="5">
        <v>68.97</v>
      </c>
      <c r="GA16" s="5">
        <v>70.11</v>
      </c>
      <c r="GB16" s="5">
        <v>70.11</v>
      </c>
      <c r="GC16" s="5">
        <v>62.7</v>
      </c>
      <c r="GD16" s="5">
        <v>68.400000000000006</v>
      </c>
      <c r="GE16" s="5">
        <v>74.099999999999994</v>
      </c>
      <c r="GF16" s="5">
        <v>59.85</v>
      </c>
      <c r="GG16" s="5">
        <v>69.540000000000006</v>
      </c>
      <c r="GH16" s="5">
        <v>70.11</v>
      </c>
      <c r="GI16" s="5">
        <v>57.57</v>
      </c>
      <c r="GJ16" s="5">
        <v>60.99</v>
      </c>
      <c r="GK16" s="5">
        <v>50.73</v>
      </c>
      <c r="GL16" s="5">
        <v>53.58</v>
      </c>
      <c r="GM16" s="5">
        <v>57</v>
      </c>
      <c r="GN16" s="5">
        <v>62.13</v>
      </c>
      <c r="GO16" s="5">
        <v>58.14</v>
      </c>
      <c r="GP16" s="5">
        <v>56.43</v>
      </c>
      <c r="GQ16" s="5">
        <v>62.13</v>
      </c>
      <c r="GR16" s="5">
        <v>67.83</v>
      </c>
      <c r="GS16" s="5">
        <v>67.260000000000005</v>
      </c>
      <c r="GT16" s="5">
        <v>76.38</v>
      </c>
      <c r="GU16" s="5">
        <v>84.36</v>
      </c>
      <c r="GV16" s="5">
        <v>71.25</v>
      </c>
      <c r="GW16" s="5">
        <v>72.39</v>
      </c>
      <c r="GX16" s="5">
        <v>82.08</v>
      </c>
      <c r="GY16" s="5">
        <v>87.21</v>
      </c>
      <c r="GZ16" s="5">
        <v>83.79</v>
      </c>
      <c r="HA16" s="5">
        <v>67.83</v>
      </c>
      <c r="HB16" s="5">
        <v>68.400000000000006</v>
      </c>
      <c r="HC16" s="5">
        <v>72.39</v>
      </c>
      <c r="HD16" s="5">
        <v>67.83</v>
      </c>
      <c r="HE16" s="5">
        <v>68.97</v>
      </c>
      <c r="HF16" s="5">
        <v>76.38</v>
      </c>
      <c r="HG16" s="5">
        <v>67.260000000000005</v>
      </c>
      <c r="HH16" s="5">
        <v>87.21</v>
      </c>
      <c r="HI16" s="5">
        <v>72.959999999999994</v>
      </c>
      <c r="HJ16" s="5">
        <v>65.55</v>
      </c>
      <c r="HK16" s="5">
        <v>78.09</v>
      </c>
      <c r="HL16" s="5">
        <v>83.22</v>
      </c>
      <c r="HM16" s="5">
        <v>80.94</v>
      </c>
      <c r="HN16" s="5">
        <v>62.7</v>
      </c>
      <c r="HO16" s="5">
        <v>78.09</v>
      </c>
      <c r="HP16" s="5">
        <v>78.66</v>
      </c>
      <c r="HQ16" s="5">
        <v>83.79</v>
      </c>
    </row>
    <row r="17" spans="1:225">
      <c r="A17" s="69">
        <v>15</v>
      </c>
      <c r="B17" s="13">
        <v>10</v>
      </c>
      <c r="C17" s="5">
        <v>8</v>
      </c>
      <c r="D17" s="5">
        <f t="shared" si="0"/>
        <v>80</v>
      </c>
      <c r="E17" s="5">
        <v>3</v>
      </c>
      <c r="F17" s="60">
        <f t="shared" si="1"/>
        <v>37.5</v>
      </c>
      <c r="G17" s="60">
        <f t="shared" si="2"/>
        <v>58.75</v>
      </c>
      <c r="H17" s="13">
        <v>10</v>
      </c>
      <c r="I17" s="5">
        <v>4</v>
      </c>
      <c r="J17" s="5">
        <f t="shared" si="3"/>
        <v>40</v>
      </c>
      <c r="K17" s="60">
        <v>0.87</v>
      </c>
      <c r="L17" s="60">
        <f t="shared" si="4"/>
        <v>21.75</v>
      </c>
      <c r="M17" s="60">
        <f t="shared" si="5"/>
        <v>30.875</v>
      </c>
      <c r="N17" s="75">
        <v>7330.0500000000047</v>
      </c>
      <c r="O17" s="5">
        <v>-60.904061949999992</v>
      </c>
      <c r="P17" s="5">
        <v>43.095938050000008</v>
      </c>
      <c r="Q17" s="5">
        <v>-59.185952699999987</v>
      </c>
      <c r="R17" s="5">
        <v>44.814047299999999</v>
      </c>
      <c r="T17" s="60">
        <v>1.02</v>
      </c>
      <c r="U17" s="60">
        <v>1</v>
      </c>
      <c r="V17" s="60">
        <v>0.99</v>
      </c>
      <c r="W17" s="60">
        <v>1.01</v>
      </c>
      <c r="X17" s="60">
        <v>1.02</v>
      </c>
      <c r="Y17" s="60">
        <v>1</v>
      </c>
      <c r="Z17" s="60">
        <v>0.99</v>
      </c>
      <c r="AA17" s="60">
        <v>1.02</v>
      </c>
      <c r="AB17" s="60">
        <v>1.08</v>
      </c>
      <c r="AC17" s="60">
        <v>1.0900000000000001</v>
      </c>
      <c r="AD17" s="60">
        <v>1.26</v>
      </c>
      <c r="AE17" s="60">
        <v>1.0900000000000001</v>
      </c>
      <c r="AF17" s="60">
        <v>1.25</v>
      </c>
      <c r="AG17" s="60">
        <v>1.29</v>
      </c>
      <c r="AH17" s="60">
        <v>1.22</v>
      </c>
      <c r="AI17" s="60">
        <v>1.33</v>
      </c>
      <c r="AJ17" s="60">
        <v>1.22</v>
      </c>
      <c r="AK17" s="60">
        <v>1.27</v>
      </c>
      <c r="AL17" s="60">
        <v>1.34</v>
      </c>
      <c r="AM17" s="60">
        <v>0.99</v>
      </c>
      <c r="AN17" s="60">
        <v>0.97</v>
      </c>
      <c r="AO17" s="60">
        <v>0.98</v>
      </c>
      <c r="AP17" s="60">
        <v>1.0900000000000001</v>
      </c>
      <c r="AQ17" s="60">
        <v>1.03</v>
      </c>
      <c r="AR17" s="60">
        <v>1.2</v>
      </c>
      <c r="AS17" s="60">
        <v>1.07</v>
      </c>
      <c r="AT17" s="60">
        <v>1.03</v>
      </c>
      <c r="AU17" s="60">
        <v>1.21</v>
      </c>
      <c r="AV17" s="60">
        <v>1.23</v>
      </c>
      <c r="AW17" s="60">
        <v>1.33</v>
      </c>
      <c r="AX17" s="60">
        <v>1.36</v>
      </c>
      <c r="AY17" s="60">
        <v>1.24</v>
      </c>
      <c r="AZ17" s="60">
        <v>1.36</v>
      </c>
      <c r="BA17" s="60">
        <v>1.52</v>
      </c>
      <c r="BB17" s="60">
        <v>1.41</v>
      </c>
      <c r="BC17" s="60">
        <v>1.24</v>
      </c>
      <c r="BD17" s="60">
        <v>1.45</v>
      </c>
      <c r="BE17" s="60">
        <v>1.45</v>
      </c>
      <c r="BF17" s="60">
        <v>1.34</v>
      </c>
      <c r="BG17" s="60">
        <v>1.26</v>
      </c>
      <c r="BH17" s="60">
        <v>1.33</v>
      </c>
      <c r="BI17" s="60">
        <v>1.38</v>
      </c>
      <c r="BJ17" s="60">
        <v>1.41</v>
      </c>
      <c r="BK17" s="60">
        <v>1.43</v>
      </c>
      <c r="BL17" s="60">
        <v>1.31</v>
      </c>
      <c r="BM17" s="60">
        <v>1.22</v>
      </c>
      <c r="BN17" s="60">
        <v>1.27</v>
      </c>
      <c r="BO17" s="60">
        <v>1.41</v>
      </c>
      <c r="BP17" s="60">
        <v>1.4</v>
      </c>
      <c r="BQ17" s="60">
        <v>1.42</v>
      </c>
      <c r="BR17" s="60">
        <v>1.32</v>
      </c>
      <c r="BS17" s="60">
        <v>1.32</v>
      </c>
      <c r="BT17" s="60">
        <v>1.39</v>
      </c>
      <c r="BU17" s="60">
        <v>1.23</v>
      </c>
      <c r="BV17" s="60">
        <v>1.05</v>
      </c>
      <c r="BW17" s="60">
        <v>0.81</v>
      </c>
      <c r="BX17" s="60">
        <v>1</v>
      </c>
      <c r="BY17" s="60">
        <v>1.04</v>
      </c>
      <c r="BZ17" s="60">
        <v>1.06</v>
      </c>
      <c r="CA17" s="60">
        <v>1.01</v>
      </c>
      <c r="CB17" s="60">
        <v>1.04</v>
      </c>
      <c r="CC17" s="60">
        <v>1.02</v>
      </c>
      <c r="CD17" s="60">
        <v>0.98</v>
      </c>
      <c r="CE17" s="60">
        <v>0.98</v>
      </c>
      <c r="CF17" s="60">
        <v>0.93</v>
      </c>
      <c r="CG17" s="60">
        <v>0.76</v>
      </c>
      <c r="CH17" s="60">
        <v>0.97</v>
      </c>
      <c r="CI17" s="60">
        <v>0.93</v>
      </c>
      <c r="CJ17" s="60">
        <v>0.93</v>
      </c>
      <c r="CK17" s="60">
        <v>0.99</v>
      </c>
      <c r="CL17" s="60">
        <v>0.86</v>
      </c>
      <c r="CM17" s="60">
        <v>0.96</v>
      </c>
      <c r="CN17" s="60">
        <v>0.99</v>
      </c>
      <c r="CO17" s="60">
        <v>1.06</v>
      </c>
      <c r="CP17" s="60">
        <v>1.05</v>
      </c>
      <c r="CQ17" s="60">
        <v>1.24</v>
      </c>
      <c r="CR17" s="60">
        <v>1.3</v>
      </c>
      <c r="CS17" s="60">
        <v>1.21</v>
      </c>
      <c r="CT17" s="60">
        <v>1.37</v>
      </c>
      <c r="CU17" s="60">
        <v>1.22</v>
      </c>
      <c r="CV17" s="60">
        <v>1.31</v>
      </c>
      <c r="CW17" s="60">
        <v>1.32</v>
      </c>
      <c r="CX17" s="60">
        <v>1.27</v>
      </c>
      <c r="CY17" s="60">
        <v>1.28</v>
      </c>
      <c r="CZ17" s="60">
        <v>1.2</v>
      </c>
      <c r="DA17" s="60">
        <v>1.22</v>
      </c>
      <c r="DB17" s="60">
        <v>1.3</v>
      </c>
      <c r="DC17" s="60">
        <v>1.36</v>
      </c>
      <c r="DD17" s="60">
        <v>1.3</v>
      </c>
      <c r="DE17" s="60">
        <v>1.0900000000000001</v>
      </c>
      <c r="DF17" s="60">
        <v>1.36</v>
      </c>
      <c r="DG17" s="60">
        <v>1.17</v>
      </c>
      <c r="DH17" s="60">
        <v>1.26</v>
      </c>
      <c r="DI17" s="60">
        <v>1.26</v>
      </c>
      <c r="DJ17" s="60">
        <v>1.07</v>
      </c>
      <c r="DK17" s="60">
        <v>1.23</v>
      </c>
      <c r="DL17" s="60">
        <v>1.1499999999999999</v>
      </c>
      <c r="DM17" s="60">
        <v>1.35</v>
      </c>
      <c r="DN17" s="60">
        <v>1.43</v>
      </c>
      <c r="DP17" s="5" t="s">
        <v>532</v>
      </c>
      <c r="DQ17" s="5">
        <v>500</v>
      </c>
      <c r="DR17" s="73">
        <v>7.5859999999999997E-2</v>
      </c>
      <c r="DS17" s="5">
        <v>7</v>
      </c>
      <c r="DU17" s="5">
        <v>56.85</v>
      </c>
      <c r="DV17" s="5">
        <v>61.56</v>
      </c>
      <c r="DW17" s="5">
        <v>63.84</v>
      </c>
      <c r="DX17" s="5">
        <v>62.7</v>
      </c>
      <c r="DY17" s="5">
        <v>62.13</v>
      </c>
      <c r="DZ17" s="5">
        <v>63.27</v>
      </c>
      <c r="EA17" s="5">
        <v>63.84</v>
      </c>
      <c r="EB17" s="5">
        <v>62.7</v>
      </c>
      <c r="EC17" s="5">
        <v>62.13</v>
      </c>
      <c r="ED17" s="5">
        <v>63.84</v>
      </c>
      <c r="EE17" s="5">
        <v>67.260000000000005</v>
      </c>
      <c r="EF17" s="5">
        <v>67.260000000000005</v>
      </c>
      <c r="EG17" s="5">
        <v>77.52</v>
      </c>
      <c r="EH17" s="5">
        <v>67.260000000000005</v>
      </c>
      <c r="EI17" s="5">
        <v>76.38</v>
      </c>
      <c r="EJ17" s="5">
        <v>79.23</v>
      </c>
      <c r="EK17" s="5">
        <v>75.239999999999995</v>
      </c>
      <c r="EL17" s="5">
        <v>81.510000000000005</v>
      </c>
      <c r="EM17" s="5">
        <v>74.67</v>
      </c>
      <c r="EN17" s="5">
        <v>78.09</v>
      </c>
      <c r="EO17" s="5">
        <v>82.08</v>
      </c>
      <c r="EP17" s="5">
        <v>62.13</v>
      </c>
      <c r="EQ17" s="5">
        <v>60.99</v>
      </c>
      <c r="ER17" s="5">
        <v>61.56</v>
      </c>
      <c r="ES17" s="5">
        <v>67.83</v>
      </c>
      <c r="ET17" s="5">
        <v>64.41</v>
      </c>
      <c r="EU17" s="5">
        <v>74.099999999999994</v>
      </c>
      <c r="EV17" s="5">
        <v>66.69</v>
      </c>
      <c r="EW17" s="5">
        <v>64.41</v>
      </c>
      <c r="EX17" s="5">
        <v>74.67</v>
      </c>
      <c r="EY17" s="5">
        <v>75.81</v>
      </c>
      <c r="EZ17" s="5">
        <v>81.510000000000005</v>
      </c>
      <c r="FA17" s="5">
        <v>83.22</v>
      </c>
      <c r="FB17" s="5">
        <v>76.38</v>
      </c>
      <c r="FC17" s="5">
        <v>83.22</v>
      </c>
      <c r="FD17" s="5">
        <v>92.34</v>
      </c>
      <c r="FE17" s="5">
        <v>86.07</v>
      </c>
      <c r="FF17" s="5">
        <v>75.81</v>
      </c>
      <c r="FG17" s="5">
        <v>88.35</v>
      </c>
      <c r="FH17" s="5">
        <v>88.35</v>
      </c>
      <c r="FI17" s="5">
        <v>82.08</v>
      </c>
      <c r="FJ17" s="5">
        <v>76.95</v>
      </c>
      <c r="FK17" s="5">
        <v>81.510000000000005</v>
      </c>
      <c r="FL17" s="5">
        <v>84.36</v>
      </c>
      <c r="FM17" s="5">
        <v>86.07</v>
      </c>
      <c r="FN17" s="5">
        <v>87.21</v>
      </c>
      <c r="FO17" s="5">
        <v>79.8</v>
      </c>
      <c r="FP17" s="5">
        <v>74.67</v>
      </c>
      <c r="FQ17" s="5">
        <v>77.52</v>
      </c>
      <c r="FR17" s="5">
        <v>86.07</v>
      </c>
      <c r="FS17" s="5">
        <v>85.5</v>
      </c>
      <c r="FT17" s="5">
        <v>86.64</v>
      </c>
      <c r="FU17" s="5">
        <v>80.94</v>
      </c>
      <c r="FV17" s="5">
        <v>80.94</v>
      </c>
      <c r="FW17" s="5">
        <v>84.93</v>
      </c>
      <c r="FX17" s="5">
        <v>75.81</v>
      </c>
      <c r="FY17" s="5">
        <v>65.55</v>
      </c>
      <c r="FZ17" s="5">
        <v>51.3</v>
      </c>
      <c r="GA17" s="5">
        <v>62.7</v>
      </c>
      <c r="GB17" s="5">
        <v>64.98</v>
      </c>
      <c r="GC17" s="5">
        <v>66.12</v>
      </c>
      <c r="GD17" s="5">
        <v>63.27</v>
      </c>
      <c r="GE17" s="5">
        <v>64.98</v>
      </c>
      <c r="GF17" s="5">
        <v>63.84</v>
      </c>
      <c r="GG17" s="5">
        <v>61.56</v>
      </c>
      <c r="GH17" s="5">
        <v>61.56</v>
      </c>
      <c r="GI17" s="5">
        <v>58.71</v>
      </c>
      <c r="GJ17" s="5">
        <v>48.45</v>
      </c>
      <c r="GK17" s="5">
        <v>60.99</v>
      </c>
      <c r="GL17" s="5">
        <v>58.71</v>
      </c>
      <c r="GM17" s="5">
        <v>58.71</v>
      </c>
      <c r="GN17" s="5">
        <v>62.13</v>
      </c>
      <c r="GO17" s="5">
        <v>54.72</v>
      </c>
      <c r="GP17" s="5">
        <v>60.42</v>
      </c>
      <c r="GQ17" s="5">
        <v>62.13</v>
      </c>
      <c r="GR17" s="5">
        <v>66.12</v>
      </c>
      <c r="GS17" s="5">
        <v>65.55</v>
      </c>
      <c r="GT17" s="5">
        <v>76.38</v>
      </c>
      <c r="GU17" s="5">
        <v>79.8</v>
      </c>
      <c r="GV17" s="5">
        <v>74.67</v>
      </c>
      <c r="GW17" s="5">
        <v>83.79</v>
      </c>
      <c r="GX17" s="5">
        <v>75.239999999999995</v>
      </c>
      <c r="GY17" s="5">
        <v>80.37</v>
      </c>
      <c r="GZ17" s="5">
        <v>80.37</v>
      </c>
      <c r="HA17" s="5">
        <v>78.09</v>
      </c>
      <c r="HB17" s="5">
        <v>78.66</v>
      </c>
      <c r="HC17" s="5">
        <v>74.099999999999994</v>
      </c>
      <c r="HD17" s="5">
        <v>75.239999999999995</v>
      </c>
      <c r="HE17" s="5">
        <v>79.8</v>
      </c>
      <c r="HF17" s="5">
        <v>83.22</v>
      </c>
      <c r="HG17" s="5">
        <v>79.8</v>
      </c>
      <c r="HH17" s="5">
        <v>67.260000000000005</v>
      </c>
      <c r="HI17" s="5">
        <v>83.22</v>
      </c>
      <c r="HJ17" s="5">
        <v>72.39</v>
      </c>
      <c r="HK17" s="5">
        <v>77.52</v>
      </c>
      <c r="HL17" s="5">
        <v>77.52</v>
      </c>
      <c r="HM17" s="5">
        <v>65.55</v>
      </c>
      <c r="HN17" s="5">
        <v>75.81</v>
      </c>
      <c r="HO17" s="5">
        <v>70.680000000000007</v>
      </c>
      <c r="HP17" s="5">
        <v>82.65</v>
      </c>
      <c r="HQ17" s="5">
        <v>87.21</v>
      </c>
    </row>
    <row r="18" spans="1:225">
      <c r="A18" s="69">
        <v>16</v>
      </c>
      <c r="B18" s="13">
        <v>10</v>
      </c>
      <c r="C18" s="5">
        <v>10</v>
      </c>
      <c r="D18" s="5">
        <f t="shared" si="0"/>
        <v>100</v>
      </c>
      <c r="E18" s="5">
        <v>7</v>
      </c>
      <c r="F18" s="60">
        <f t="shared" si="1"/>
        <v>70</v>
      </c>
      <c r="G18" s="60">
        <f t="shared" si="2"/>
        <v>85</v>
      </c>
      <c r="H18" s="13">
        <v>10</v>
      </c>
      <c r="I18" s="5">
        <v>10</v>
      </c>
      <c r="J18" s="5">
        <f t="shared" si="3"/>
        <v>100</v>
      </c>
      <c r="K18" s="60">
        <v>0.8</v>
      </c>
      <c r="L18" s="60">
        <f t="shared" si="4"/>
        <v>8</v>
      </c>
      <c r="M18" s="60">
        <f t="shared" si="5"/>
        <v>54</v>
      </c>
      <c r="N18" s="75">
        <v>7638.4200000000019</v>
      </c>
      <c r="O18" s="5">
        <v>-60.768833150000013</v>
      </c>
      <c r="P18" s="5">
        <v>43.231166849999994</v>
      </c>
      <c r="Q18" s="5">
        <v>-59.45492740000001</v>
      </c>
      <c r="R18" s="5">
        <v>44.545072599999997</v>
      </c>
      <c r="T18" s="60">
        <v>0.95</v>
      </c>
      <c r="U18" s="60">
        <v>0.96</v>
      </c>
      <c r="V18" s="60">
        <v>0.98</v>
      </c>
      <c r="W18" s="60">
        <v>0.86</v>
      </c>
      <c r="X18" s="60">
        <v>0.83</v>
      </c>
      <c r="Y18" s="60">
        <v>1</v>
      </c>
      <c r="Z18" s="60">
        <v>0.9</v>
      </c>
      <c r="AA18" s="60">
        <v>1.04</v>
      </c>
      <c r="AB18" s="60">
        <v>1.0900000000000001</v>
      </c>
      <c r="AC18" s="60">
        <v>1.1100000000000001</v>
      </c>
      <c r="AD18" s="60">
        <v>1.33</v>
      </c>
      <c r="AE18" s="60">
        <v>1.25</v>
      </c>
      <c r="AF18" s="60">
        <v>1.43</v>
      </c>
      <c r="AG18" s="60">
        <v>1.36</v>
      </c>
      <c r="AH18" s="60">
        <v>1.19</v>
      </c>
      <c r="AI18" s="60">
        <v>1.49</v>
      </c>
      <c r="AJ18" s="60">
        <v>1.31</v>
      </c>
      <c r="AK18" s="60">
        <v>1.28</v>
      </c>
      <c r="AL18" s="60">
        <v>1.31</v>
      </c>
      <c r="AM18" s="60">
        <v>1</v>
      </c>
      <c r="AN18" s="60">
        <v>0.97</v>
      </c>
      <c r="AO18" s="60">
        <v>1.01</v>
      </c>
      <c r="AP18" s="60">
        <v>1.04</v>
      </c>
      <c r="AQ18" s="60">
        <v>1.1100000000000001</v>
      </c>
      <c r="AR18" s="60">
        <v>1.1200000000000001</v>
      </c>
      <c r="AS18" s="60">
        <v>1.07</v>
      </c>
      <c r="AT18" s="60">
        <v>1.21</v>
      </c>
      <c r="AU18" s="60">
        <v>1.2</v>
      </c>
      <c r="AV18" s="60">
        <v>1.2</v>
      </c>
      <c r="AW18" s="60">
        <v>1.51</v>
      </c>
      <c r="AX18" s="60">
        <v>1.43</v>
      </c>
      <c r="AY18" s="60">
        <v>1.37</v>
      </c>
      <c r="AZ18" s="60">
        <v>1.42</v>
      </c>
      <c r="BA18" s="60">
        <v>1.55</v>
      </c>
      <c r="BB18" s="60">
        <v>1.65</v>
      </c>
      <c r="BC18" s="60">
        <v>1.3</v>
      </c>
      <c r="BD18" s="60">
        <v>1.37</v>
      </c>
      <c r="BE18" s="60">
        <v>1.41</v>
      </c>
      <c r="BF18" s="60">
        <v>1.45</v>
      </c>
      <c r="BG18" s="60">
        <v>1.17</v>
      </c>
      <c r="BH18" s="60">
        <v>1.38</v>
      </c>
      <c r="BI18" s="60">
        <v>1.49</v>
      </c>
      <c r="BJ18" s="60">
        <v>1.35</v>
      </c>
      <c r="BK18" s="60">
        <v>1.54</v>
      </c>
      <c r="BL18" s="60">
        <v>1.5</v>
      </c>
      <c r="BM18" s="60">
        <v>1.59</v>
      </c>
      <c r="BN18" s="60">
        <v>1.4</v>
      </c>
      <c r="BO18" s="60">
        <v>1.4</v>
      </c>
      <c r="BP18" s="60">
        <v>1.36</v>
      </c>
      <c r="BQ18" s="60">
        <v>1.31</v>
      </c>
      <c r="BR18" s="60">
        <v>1.3</v>
      </c>
      <c r="BS18" s="60">
        <v>1.26</v>
      </c>
      <c r="BT18" s="60">
        <v>1.35</v>
      </c>
      <c r="BU18" s="60">
        <v>1.1000000000000001</v>
      </c>
      <c r="BV18" s="60">
        <v>1.04</v>
      </c>
      <c r="BW18" s="60">
        <v>0.82</v>
      </c>
      <c r="BX18" s="60">
        <v>1</v>
      </c>
      <c r="BY18" s="60">
        <v>1.1599999999999999</v>
      </c>
      <c r="BZ18" s="60">
        <v>1.06</v>
      </c>
      <c r="CA18" s="60">
        <v>1.08</v>
      </c>
      <c r="CB18" s="60">
        <v>1.05</v>
      </c>
      <c r="CC18" s="60">
        <v>1.19</v>
      </c>
      <c r="CD18" s="60">
        <v>1.1299999999999999</v>
      </c>
      <c r="CE18" s="60">
        <v>1.01</v>
      </c>
      <c r="CF18" s="60">
        <v>1.03</v>
      </c>
      <c r="CG18" s="60">
        <v>1.01</v>
      </c>
      <c r="CH18" s="60">
        <v>0.95</v>
      </c>
      <c r="CI18" s="60">
        <v>0.94</v>
      </c>
      <c r="CJ18" s="60">
        <v>0.94</v>
      </c>
      <c r="CK18" s="60">
        <v>0.9</v>
      </c>
      <c r="CL18" s="60">
        <v>0.97</v>
      </c>
      <c r="CM18" s="60">
        <v>0.99</v>
      </c>
      <c r="CN18" s="60">
        <v>1.21</v>
      </c>
      <c r="CO18" s="60">
        <v>1.01</v>
      </c>
      <c r="CP18" s="60">
        <v>1.01</v>
      </c>
      <c r="CQ18" s="60">
        <v>1.29</v>
      </c>
      <c r="CR18" s="60">
        <v>1.25</v>
      </c>
      <c r="CS18" s="60">
        <v>1.24</v>
      </c>
      <c r="CT18" s="60">
        <v>1.48</v>
      </c>
      <c r="CU18" s="60">
        <v>1.51</v>
      </c>
      <c r="CV18" s="60">
        <v>1.42</v>
      </c>
      <c r="CW18" s="60">
        <v>1.52</v>
      </c>
      <c r="CX18" s="60">
        <v>1.39</v>
      </c>
      <c r="CY18" s="60">
        <v>1.31</v>
      </c>
      <c r="CZ18" s="60">
        <v>1.3</v>
      </c>
      <c r="DA18" s="60">
        <v>1.29</v>
      </c>
      <c r="DB18" s="60">
        <v>1.36</v>
      </c>
      <c r="DC18" s="60">
        <v>1.41</v>
      </c>
      <c r="DD18" s="60">
        <v>1.36</v>
      </c>
      <c r="DE18" s="60">
        <v>1.23</v>
      </c>
      <c r="DF18" s="60">
        <v>1.32</v>
      </c>
      <c r="DG18" s="60">
        <v>1.31</v>
      </c>
      <c r="DH18" s="60">
        <v>1.36</v>
      </c>
      <c r="DI18" s="60">
        <v>1.39</v>
      </c>
      <c r="DJ18" s="60">
        <v>1.48</v>
      </c>
      <c r="DK18" s="60">
        <v>1.51</v>
      </c>
      <c r="DL18" s="60">
        <v>1.5</v>
      </c>
      <c r="DM18" s="60">
        <v>1.34</v>
      </c>
      <c r="DN18" s="60">
        <v>1.46</v>
      </c>
      <c r="DP18" s="5" t="s">
        <v>533</v>
      </c>
      <c r="DQ18" s="5">
        <v>500</v>
      </c>
      <c r="DR18" s="73">
        <v>7.3446142857142863E-2</v>
      </c>
      <c r="DS18" s="5">
        <v>3</v>
      </c>
      <c r="DU18" s="5">
        <v>52.86</v>
      </c>
      <c r="DV18" s="5">
        <v>68.97</v>
      </c>
      <c r="DW18" s="5">
        <v>59.85</v>
      </c>
      <c r="DX18" s="5">
        <v>60.42</v>
      </c>
      <c r="DY18" s="5">
        <v>61.56</v>
      </c>
      <c r="DZ18" s="5">
        <v>54.72</v>
      </c>
      <c r="EA18" s="5">
        <v>52.44</v>
      </c>
      <c r="EB18" s="5">
        <v>62.7</v>
      </c>
      <c r="EC18" s="5">
        <v>56.43</v>
      </c>
      <c r="ED18" s="5">
        <v>64.98</v>
      </c>
      <c r="EE18" s="5">
        <v>67.83</v>
      </c>
      <c r="EF18" s="5">
        <v>68.97</v>
      </c>
      <c r="EG18" s="5">
        <v>81.510000000000005</v>
      </c>
      <c r="EH18" s="5">
        <v>76.95</v>
      </c>
      <c r="EI18" s="5">
        <v>87.21</v>
      </c>
      <c r="EJ18" s="5">
        <v>83.22</v>
      </c>
      <c r="EK18" s="5">
        <v>72.959999999999994</v>
      </c>
      <c r="EL18" s="5">
        <v>90.63</v>
      </c>
      <c r="EM18" s="5">
        <v>79.8</v>
      </c>
      <c r="EN18" s="5">
        <v>78.09</v>
      </c>
      <c r="EO18" s="5">
        <v>80.37</v>
      </c>
      <c r="EP18" s="5">
        <v>62.7</v>
      </c>
      <c r="EQ18" s="5">
        <v>60.99</v>
      </c>
      <c r="ER18" s="5">
        <v>63.27</v>
      </c>
      <c r="ES18" s="5">
        <v>64.98</v>
      </c>
      <c r="ET18" s="5">
        <v>68.97</v>
      </c>
      <c r="EU18" s="5">
        <v>69.540000000000006</v>
      </c>
      <c r="EV18" s="5">
        <v>66.69</v>
      </c>
      <c r="EW18" s="5">
        <v>74.67</v>
      </c>
      <c r="EX18" s="5">
        <v>74.099999999999994</v>
      </c>
      <c r="EY18" s="5">
        <v>74.099999999999994</v>
      </c>
      <c r="EZ18" s="5">
        <v>91.77</v>
      </c>
      <c r="FA18" s="5">
        <v>87.21</v>
      </c>
      <c r="FB18" s="5">
        <v>83.79</v>
      </c>
      <c r="FC18" s="5">
        <v>86.64</v>
      </c>
      <c r="FD18" s="5">
        <v>94.05</v>
      </c>
      <c r="FE18" s="5">
        <v>99.75</v>
      </c>
      <c r="FF18" s="5">
        <v>79.23</v>
      </c>
      <c r="FG18" s="5">
        <v>83.79</v>
      </c>
      <c r="FH18" s="5">
        <v>86.07</v>
      </c>
      <c r="FI18" s="5">
        <v>88.35</v>
      </c>
      <c r="FJ18" s="5">
        <v>71.819999999999993</v>
      </c>
      <c r="FK18" s="5">
        <v>84.36</v>
      </c>
      <c r="FL18" s="5">
        <v>90.63</v>
      </c>
      <c r="FM18" s="5">
        <v>82.65</v>
      </c>
      <c r="FN18" s="5">
        <v>93.48</v>
      </c>
      <c r="FO18" s="5">
        <v>91.2</v>
      </c>
      <c r="FP18" s="5">
        <v>96.33</v>
      </c>
      <c r="FQ18" s="5">
        <v>85.5</v>
      </c>
      <c r="FR18" s="5">
        <v>85.5</v>
      </c>
      <c r="FS18" s="5">
        <v>83.22</v>
      </c>
      <c r="FT18" s="5">
        <v>80.37</v>
      </c>
      <c r="FU18" s="5">
        <v>79.8</v>
      </c>
      <c r="FV18" s="5">
        <v>77.52</v>
      </c>
      <c r="FW18" s="5">
        <v>82.65</v>
      </c>
      <c r="FX18" s="5">
        <v>67.83</v>
      </c>
      <c r="FY18" s="5">
        <v>64.98</v>
      </c>
      <c r="FZ18" s="5">
        <v>51.87</v>
      </c>
      <c r="GA18" s="5">
        <v>62.7</v>
      </c>
      <c r="GB18" s="5">
        <v>71.819999999999993</v>
      </c>
      <c r="GC18" s="5">
        <v>66.12</v>
      </c>
      <c r="GD18" s="5">
        <v>67.260000000000005</v>
      </c>
      <c r="GE18" s="5">
        <v>65.55</v>
      </c>
      <c r="GF18" s="5">
        <v>73.53</v>
      </c>
      <c r="GG18" s="5">
        <v>70.11</v>
      </c>
      <c r="GH18" s="5">
        <v>63.27</v>
      </c>
      <c r="GI18" s="5">
        <v>64.41</v>
      </c>
      <c r="GJ18" s="5">
        <v>63.27</v>
      </c>
      <c r="GK18" s="5">
        <v>59.85</v>
      </c>
      <c r="GL18" s="5">
        <v>59.28</v>
      </c>
      <c r="GM18" s="5">
        <v>59.28</v>
      </c>
      <c r="GN18" s="5">
        <v>57</v>
      </c>
      <c r="GO18" s="5">
        <v>60.99</v>
      </c>
      <c r="GP18" s="5">
        <v>62.13</v>
      </c>
      <c r="GQ18" s="5">
        <v>74.67</v>
      </c>
      <c r="GR18" s="5">
        <v>63.27</v>
      </c>
      <c r="GS18" s="5">
        <v>63.27</v>
      </c>
      <c r="GT18" s="5">
        <v>79.23</v>
      </c>
      <c r="GU18" s="5">
        <v>76.38</v>
      </c>
      <c r="GV18" s="5">
        <v>76.38</v>
      </c>
      <c r="GW18" s="5">
        <v>90.06</v>
      </c>
      <c r="GX18" s="5">
        <v>91.77</v>
      </c>
      <c r="GY18" s="5">
        <v>86.64</v>
      </c>
      <c r="GZ18" s="5">
        <v>92.34</v>
      </c>
      <c r="HA18" s="5">
        <v>84.93</v>
      </c>
      <c r="HB18" s="5">
        <v>80.37</v>
      </c>
      <c r="HC18" s="5">
        <v>79.8</v>
      </c>
      <c r="HD18" s="5">
        <v>79.23</v>
      </c>
      <c r="HE18" s="5">
        <v>83.22</v>
      </c>
      <c r="HF18" s="5">
        <v>86.07</v>
      </c>
      <c r="HG18" s="5">
        <v>83.22</v>
      </c>
      <c r="HH18" s="5">
        <v>75.239999999999995</v>
      </c>
      <c r="HI18" s="5">
        <v>80.94</v>
      </c>
      <c r="HJ18" s="5">
        <v>80.37</v>
      </c>
      <c r="HK18" s="5">
        <v>83.22</v>
      </c>
      <c r="HL18" s="5">
        <v>84.93</v>
      </c>
      <c r="HM18" s="5">
        <v>90.06</v>
      </c>
      <c r="HN18" s="5">
        <v>91.77</v>
      </c>
      <c r="HO18" s="5">
        <v>91.2</v>
      </c>
      <c r="HP18" s="5">
        <v>82.08</v>
      </c>
      <c r="HQ18" s="5">
        <v>88.35</v>
      </c>
    </row>
    <row r="19" spans="1:225">
      <c r="A19" s="69">
        <v>17</v>
      </c>
      <c r="B19" s="13">
        <v>10</v>
      </c>
      <c r="C19" s="5">
        <v>9</v>
      </c>
      <c r="D19" s="5">
        <f t="shared" si="0"/>
        <v>90</v>
      </c>
      <c r="E19" s="75">
        <v>0</v>
      </c>
      <c r="F19" s="60">
        <f t="shared" si="1"/>
        <v>0</v>
      </c>
      <c r="G19" s="60">
        <f t="shared" si="2"/>
        <v>45</v>
      </c>
      <c r="H19" s="13">
        <v>10</v>
      </c>
      <c r="I19" s="5">
        <v>7</v>
      </c>
      <c r="J19" s="5">
        <f t="shared" si="3"/>
        <v>70</v>
      </c>
      <c r="K19" s="60">
        <v>0.65</v>
      </c>
      <c r="L19" s="60">
        <f t="shared" si="4"/>
        <v>9.2857142857142865</v>
      </c>
      <c r="M19" s="60">
        <f t="shared" si="5"/>
        <v>39.642857142857146</v>
      </c>
      <c r="N19" s="75">
        <v>7204.6500000000042</v>
      </c>
      <c r="O19" s="5">
        <v>-61.288293099999997</v>
      </c>
      <c r="P19" s="5">
        <v>42.711706900000003</v>
      </c>
      <c r="Q19" s="5">
        <v>-60.787123900000005</v>
      </c>
      <c r="R19" s="5">
        <v>43.212876099999995</v>
      </c>
      <c r="T19" s="60">
        <v>0.91</v>
      </c>
      <c r="U19" s="60">
        <v>0.91</v>
      </c>
      <c r="V19" s="60">
        <v>0.91</v>
      </c>
      <c r="W19" s="60">
        <v>0.72</v>
      </c>
      <c r="X19" s="60">
        <v>0.81</v>
      </c>
      <c r="Y19" s="60">
        <v>0.77</v>
      </c>
      <c r="Z19" s="60">
        <v>0.86</v>
      </c>
      <c r="AA19" s="60">
        <v>0.91</v>
      </c>
      <c r="AB19" s="60">
        <v>0.81</v>
      </c>
      <c r="AC19" s="60">
        <v>0.91</v>
      </c>
      <c r="AD19" s="60">
        <v>1.2</v>
      </c>
      <c r="AE19" s="60">
        <v>1</v>
      </c>
      <c r="AF19" s="60">
        <v>1.1200000000000001</v>
      </c>
      <c r="AG19" s="60">
        <v>1.1399999999999999</v>
      </c>
      <c r="AH19" s="60">
        <v>1.31</v>
      </c>
      <c r="AI19" s="60">
        <v>1.26</v>
      </c>
      <c r="AJ19" s="60">
        <v>1.29</v>
      </c>
      <c r="AK19" s="60">
        <v>1.24</v>
      </c>
      <c r="AL19" s="60">
        <v>1.29</v>
      </c>
      <c r="AM19" s="60">
        <v>0.97</v>
      </c>
      <c r="AN19" s="60">
        <v>0.85</v>
      </c>
      <c r="AO19" s="60">
        <v>0.89</v>
      </c>
      <c r="AP19" s="60">
        <v>0.96</v>
      </c>
      <c r="AQ19" s="60">
        <v>1</v>
      </c>
      <c r="AR19" s="60">
        <v>1.1200000000000001</v>
      </c>
      <c r="AS19" s="60">
        <v>1.06</v>
      </c>
      <c r="AT19" s="60">
        <v>1.1100000000000001</v>
      </c>
      <c r="AU19" s="60">
        <v>1.21</v>
      </c>
      <c r="AV19" s="60">
        <v>1.28</v>
      </c>
      <c r="AW19" s="60">
        <v>1.46</v>
      </c>
      <c r="AX19" s="60">
        <v>1.34</v>
      </c>
      <c r="AY19" s="60">
        <v>1.29</v>
      </c>
      <c r="AZ19" s="60">
        <v>1.39</v>
      </c>
      <c r="BA19" s="60">
        <v>1.39</v>
      </c>
      <c r="BB19" s="60">
        <v>1.53</v>
      </c>
      <c r="BC19" s="60">
        <v>1.5</v>
      </c>
      <c r="BD19" s="60">
        <v>1.27</v>
      </c>
      <c r="BE19" s="60">
        <v>1.22</v>
      </c>
      <c r="BF19" s="60">
        <v>1.32</v>
      </c>
      <c r="BG19" s="60">
        <v>1.1599999999999999</v>
      </c>
      <c r="BH19" s="60">
        <v>1.4</v>
      </c>
      <c r="BI19" s="60">
        <v>1.46</v>
      </c>
      <c r="BJ19" s="60">
        <v>1.44</v>
      </c>
      <c r="BK19" s="60">
        <v>1.42</v>
      </c>
      <c r="BL19" s="60">
        <v>1.55</v>
      </c>
      <c r="BM19" s="60">
        <v>1.44</v>
      </c>
      <c r="BN19" s="60">
        <v>1.37</v>
      </c>
      <c r="BO19" s="60">
        <v>1.43</v>
      </c>
      <c r="BP19" s="60">
        <v>1.26</v>
      </c>
      <c r="BQ19" s="60">
        <v>1.3</v>
      </c>
      <c r="BR19" s="60">
        <v>1.02</v>
      </c>
      <c r="BS19" s="60">
        <v>1.07</v>
      </c>
      <c r="BT19" s="60">
        <v>1.22</v>
      </c>
      <c r="BU19" s="60">
        <v>1.06</v>
      </c>
      <c r="BV19" s="60">
        <v>0.94</v>
      </c>
      <c r="BW19" s="60">
        <v>0.91</v>
      </c>
      <c r="BX19" s="60">
        <v>1.03</v>
      </c>
      <c r="BY19" s="60">
        <v>0.93</v>
      </c>
      <c r="BZ19" s="60">
        <v>0.9</v>
      </c>
      <c r="CA19" s="60">
        <v>0.85</v>
      </c>
      <c r="CB19" s="60">
        <v>1.01</v>
      </c>
      <c r="CC19" s="60">
        <v>0.72</v>
      </c>
      <c r="CD19" s="60">
        <v>0.98</v>
      </c>
      <c r="CE19" s="60">
        <v>0.96</v>
      </c>
      <c r="CF19" s="60">
        <v>0.8</v>
      </c>
      <c r="CG19" s="60">
        <v>0.76</v>
      </c>
      <c r="CH19" s="60">
        <v>0.79</v>
      </c>
      <c r="CI19" s="60">
        <v>0.91</v>
      </c>
      <c r="CJ19" s="60">
        <v>0.86</v>
      </c>
      <c r="CK19" s="60">
        <v>0.95</v>
      </c>
      <c r="CL19" s="60">
        <v>0.83</v>
      </c>
      <c r="CM19" s="60">
        <v>0.82</v>
      </c>
      <c r="CN19" s="60">
        <v>1.1000000000000001</v>
      </c>
      <c r="CO19" s="60">
        <v>1.06</v>
      </c>
      <c r="CP19" s="60">
        <v>0.91</v>
      </c>
      <c r="CQ19" s="60">
        <v>1.22</v>
      </c>
      <c r="CR19" s="60">
        <v>1.49</v>
      </c>
      <c r="CS19" s="60">
        <v>1.24</v>
      </c>
      <c r="CT19" s="60">
        <v>1.48</v>
      </c>
      <c r="CU19" s="60">
        <v>1.28</v>
      </c>
      <c r="CV19" s="60">
        <v>1.57</v>
      </c>
      <c r="CW19" s="60">
        <v>1.51</v>
      </c>
      <c r="CX19" s="60">
        <v>1.32</v>
      </c>
      <c r="CY19" s="60">
        <v>1.05</v>
      </c>
      <c r="CZ19" s="60">
        <v>1.25</v>
      </c>
      <c r="DA19" s="60">
        <v>1.25</v>
      </c>
      <c r="DB19" s="60">
        <v>1.42</v>
      </c>
      <c r="DC19" s="60">
        <v>1.45</v>
      </c>
      <c r="DD19" s="60">
        <v>1.4</v>
      </c>
      <c r="DE19" s="60">
        <v>1.43</v>
      </c>
      <c r="DF19" s="60">
        <v>1.36</v>
      </c>
      <c r="DG19" s="60">
        <v>1.27</v>
      </c>
      <c r="DH19" s="60">
        <v>1.33</v>
      </c>
      <c r="DI19" s="60">
        <v>1.42</v>
      </c>
      <c r="DJ19" s="60">
        <v>1.46</v>
      </c>
      <c r="DK19" s="60">
        <v>1.4</v>
      </c>
      <c r="DL19" s="60">
        <v>1.42</v>
      </c>
      <c r="DM19" s="60">
        <v>1.18</v>
      </c>
      <c r="DN19" s="60">
        <v>1.51</v>
      </c>
      <c r="DP19" s="5" t="s">
        <v>534</v>
      </c>
      <c r="DQ19" s="5">
        <v>500</v>
      </c>
      <c r="DR19" s="73">
        <v>0</v>
      </c>
      <c r="DS19" s="5">
        <v>10</v>
      </c>
      <c r="DU19" s="5">
        <v>44.31</v>
      </c>
      <c r="DV19" s="5">
        <v>54.72</v>
      </c>
      <c r="DW19" s="5">
        <v>57.57</v>
      </c>
      <c r="DX19" s="5">
        <v>57.57</v>
      </c>
      <c r="DY19" s="5">
        <v>57.57</v>
      </c>
      <c r="DZ19" s="5">
        <v>46.74</v>
      </c>
      <c r="EA19" s="5">
        <v>51.87</v>
      </c>
      <c r="EB19" s="5">
        <v>49.59</v>
      </c>
      <c r="EC19" s="5">
        <v>54.72</v>
      </c>
      <c r="ED19" s="5">
        <v>57.57</v>
      </c>
      <c r="EE19" s="5">
        <v>51.3</v>
      </c>
      <c r="EF19" s="5">
        <v>57.57</v>
      </c>
      <c r="EG19" s="5">
        <v>74.099999999999994</v>
      </c>
      <c r="EH19" s="5">
        <v>62.7</v>
      </c>
      <c r="EI19" s="5">
        <v>69.540000000000006</v>
      </c>
      <c r="EJ19" s="5">
        <v>70.680000000000007</v>
      </c>
      <c r="EK19" s="5">
        <v>80.37</v>
      </c>
      <c r="EL19" s="5">
        <v>77.52</v>
      </c>
      <c r="EM19" s="5">
        <v>79.23</v>
      </c>
      <c r="EN19" s="5">
        <v>76.38</v>
      </c>
      <c r="EO19" s="5">
        <v>79.23</v>
      </c>
      <c r="EP19" s="5">
        <v>60.99</v>
      </c>
      <c r="EQ19" s="5">
        <v>54.15</v>
      </c>
      <c r="ER19" s="5">
        <v>56.43</v>
      </c>
      <c r="ES19" s="5">
        <v>60.42</v>
      </c>
      <c r="ET19" s="5">
        <v>62.7</v>
      </c>
      <c r="EU19" s="5">
        <v>69.540000000000006</v>
      </c>
      <c r="EV19" s="5">
        <v>66.12</v>
      </c>
      <c r="EW19" s="5">
        <v>68.97</v>
      </c>
      <c r="EX19" s="5">
        <v>74.67</v>
      </c>
      <c r="EY19" s="5">
        <v>78.66</v>
      </c>
      <c r="EZ19" s="5">
        <v>88.92</v>
      </c>
      <c r="FA19" s="5">
        <v>82.08</v>
      </c>
      <c r="FB19" s="5">
        <v>79.23</v>
      </c>
      <c r="FC19" s="5">
        <v>84.93</v>
      </c>
      <c r="FD19" s="5">
        <v>84.93</v>
      </c>
      <c r="FE19" s="5">
        <v>92.91</v>
      </c>
      <c r="FF19" s="5">
        <v>91.2</v>
      </c>
      <c r="FG19" s="5">
        <v>77.52</v>
      </c>
      <c r="FH19" s="5">
        <v>74.67</v>
      </c>
      <c r="FI19" s="5">
        <v>80.94</v>
      </c>
      <c r="FJ19" s="5">
        <v>71.819999999999993</v>
      </c>
      <c r="FK19" s="5">
        <v>85.5</v>
      </c>
      <c r="FL19" s="5">
        <v>88.92</v>
      </c>
      <c r="FM19" s="5">
        <v>87.78</v>
      </c>
      <c r="FN19" s="5">
        <v>86.64</v>
      </c>
      <c r="FO19" s="5">
        <v>94.05</v>
      </c>
      <c r="FP19" s="5">
        <v>87.78</v>
      </c>
      <c r="FQ19" s="5">
        <v>83.79</v>
      </c>
      <c r="FR19" s="5">
        <v>87.21</v>
      </c>
      <c r="FS19" s="5">
        <v>76.95</v>
      </c>
      <c r="FT19" s="5">
        <v>79.8</v>
      </c>
      <c r="FU19" s="5">
        <v>63.27</v>
      </c>
      <c r="FV19" s="5">
        <v>66.69</v>
      </c>
      <c r="FW19" s="5">
        <v>75.239999999999995</v>
      </c>
      <c r="FX19" s="5">
        <v>66.12</v>
      </c>
      <c r="FY19" s="5">
        <v>59.28</v>
      </c>
      <c r="FZ19" s="5">
        <v>57.57</v>
      </c>
      <c r="GA19" s="5">
        <v>64.41</v>
      </c>
      <c r="GB19" s="5">
        <v>58.71</v>
      </c>
      <c r="GC19" s="5">
        <v>57</v>
      </c>
      <c r="GD19" s="5">
        <v>53.58</v>
      </c>
      <c r="GE19" s="5">
        <v>63.27</v>
      </c>
      <c r="GF19" s="5">
        <v>45.6</v>
      </c>
      <c r="GG19" s="5">
        <v>61.56</v>
      </c>
      <c r="GH19" s="5">
        <v>60.42</v>
      </c>
      <c r="GI19" s="5">
        <v>51.3</v>
      </c>
      <c r="GJ19" s="5">
        <v>49.02</v>
      </c>
      <c r="GK19" s="5">
        <v>50.73</v>
      </c>
      <c r="GL19" s="5">
        <v>57.57</v>
      </c>
      <c r="GM19" s="5">
        <v>54.72</v>
      </c>
      <c r="GN19" s="5">
        <v>59.85</v>
      </c>
      <c r="GO19" s="5">
        <v>53.01</v>
      </c>
      <c r="GP19" s="5">
        <v>52.44</v>
      </c>
      <c r="GQ19" s="5">
        <v>68.400000000000006</v>
      </c>
      <c r="GR19" s="5">
        <v>66.12</v>
      </c>
      <c r="GS19" s="5">
        <v>57.57</v>
      </c>
      <c r="GT19" s="5">
        <v>75.239999999999995</v>
      </c>
      <c r="GU19" s="5">
        <v>90.63</v>
      </c>
      <c r="GV19" s="5">
        <v>76.38</v>
      </c>
      <c r="GW19" s="5">
        <v>90.06</v>
      </c>
      <c r="GX19" s="5">
        <v>78.66</v>
      </c>
      <c r="GY19" s="5">
        <v>95.19</v>
      </c>
      <c r="GZ19" s="5">
        <v>91.77</v>
      </c>
      <c r="HA19" s="5">
        <v>80.94</v>
      </c>
      <c r="HB19" s="5">
        <v>65.55</v>
      </c>
      <c r="HC19" s="5">
        <v>76.95</v>
      </c>
      <c r="HD19" s="5">
        <v>76.38</v>
      </c>
      <c r="HE19" s="5">
        <v>86.64</v>
      </c>
      <c r="HF19" s="5">
        <v>88.35</v>
      </c>
      <c r="HG19" s="5">
        <v>85.5</v>
      </c>
      <c r="HH19" s="5">
        <v>87.21</v>
      </c>
      <c r="HI19" s="5">
        <v>83.22</v>
      </c>
      <c r="HJ19" s="5">
        <v>78.09</v>
      </c>
      <c r="HK19" s="5">
        <v>81.510000000000005</v>
      </c>
      <c r="HL19" s="5">
        <v>86.64</v>
      </c>
      <c r="HM19" s="5">
        <v>88.35</v>
      </c>
      <c r="HN19" s="5">
        <v>85.5</v>
      </c>
      <c r="HO19" s="5">
        <v>86.64</v>
      </c>
      <c r="HP19" s="5">
        <v>72.959999999999994</v>
      </c>
      <c r="HQ19" s="5">
        <v>91.77</v>
      </c>
    </row>
    <row r="20" spans="1:225">
      <c r="A20" s="69">
        <v>18</v>
      </c>
      <c r="B20" s="13">
        <v>10</v>
      </c>
      <c r="C20" s="5">
        <v>7</v>
      </c>
      <c r="D20" s="5">
        <f t="shared" si="0"/>
        <v>70</v>
      </c>
      <c r="E20" s="5">
        <v>1</v>
      </c>
      <c r="F20" s="60">
        <f t="shared" si="1"/>
        <v>14.285714285714285</v>
      </c>
      <c r="G20" s="60">
        <f t="shared" si="2"/>
        <v>42.142857142857139</v>
      </c>
      <c r="H20" s="13">
        <v>10</v>
      </c>
      <c r="I20" s="5">
        <v>8</v>
      </c>
      <c r="J20" s="5">
        <f t="shared" si="3"/>
        <v>80</v>
      </c>
      <c r="K20" s="60">
        <v>1.06</v>
      </c>
      <c r="L20" s="60">
        <f t="shared" si="4"/>
        <v>13.25</v>
      </c>
      <c r="M20" s="60">
        <f t="shared" si="5"/>
        <v>46.625</v>
      </c>
      <c r="N20" s="75">
        <v>8577.2099999999955</v>
      </c>
      <c r="O20" s="5">
        <v>-60.221583799999998</v>
      </c>
      <c r="P20" s="5">
        <v>43.778416200000002</v>
      </c>
      <c r="Q20" s="5">
        <v>-62.77636050000001</v>
      </c>
      <c r="R20" s="5">
        <v>41.223639500000004</v>
      </c>
      <c r="T20" s="60">
        <v>1.1200000000000001</v>
      </c>
      <c r="U20" s="60">
        <v>1.19</v>
      </c>
      <c r="V20" s="60">
        <v>1.1399999999999999</v>
      </c>
      <c r="W20" s="60">
        <v>1.02</v>
      </c>
      <c r="X20" s="60">
        <v>0.96</v>
      </c>
      <c r="Y20" s="60">
        <v>1.07</v>
      </c>
      <c r="Z20" s="60">
        <v>1.05</v>
      </c>
      <c r="AA20" s="60">
        <v>1.08</v>
      </c>
      <c r="AB20" s="60">
        <v>1.1100000000000001</v>
      </c>
      <c r="AC20" s="60">
        <v>1.03</v>
      </c>
      <c r="AD20" s="60">
        <v>1.18</v>
      </c>
      <c r="AE20" s="60">
        <v>1.1399999999999999</v>
      </c>
      <c r="AF20" s="60">
        <v>1.42</v>
      </c>
      <c r="AG20" s="60">
        <v>1.19</v>
      </c>
      <c r="AH20" s="60">
        <v>1.3</v>
      </c>
      <c r="AI20" s="60">
        <v>1.41</v>
      </c>
      <c r="AJ20" s="60">
        <v>1.6</v>
      </c>
      <c r="AK20" s="60">
        <v>1.49</v>
      </c>
      <c r="AL20" s="60">
        <v>1.37</v>
      </c>
      <c r="AM20" s="60">
        <v>1.17</v>
      </c>
      <c r="AN20" s="60">
        <v>1.29</v>
      </c>
      <c r="AO20" s="60">
        <v>1.37</v>
      </c>
      <c r="AP20" s="60">
        <v>1.26</v>
      </c>
      <c r="AQ20" s="60">
        <v>1.38</v>
      </c>
      <c r="AR20" s="60">
        <v>1.55</v>
      </c>
      <c r="AS20" s="60">
        <v>1.33</v>
      </c>
      <c r="AT20" s="60">
        <v>1.45</v>
      </c>
      <c r="AU20" s="60">
        <v>1.77</v>
      </c>
      <c r="AV20" s="60">
        <v>1.73</v>
      </c>
      <c r="AW20" s="60">
        <v>1.9</v>
      </c>
      <c r="AX20" s="60">
        <v>1.69</v>
      </c>
      <c r="AY20" s="60">
        <v>1.84</v>
      </c>
      <c r="AZ20" s="60">
        <v>1.7</v>
      </c>
      <c r="BA20" s="60">
        <v>1.76</v>
      </c>
      <c r="BB20" s="60">
        <v>1.76</v>
      </c>
      <c r="BC20" s="60">
        <v>1.87</v>
      </c>
      <c r="BD20" s="60">
        <v>1.72</v>
      </c>
      <c r="BE20" s="60">
        <v>1.52</v>
      </c>
      <c r="BF20" s="60">
        <v>1.7</v>
      </c>
      <c r="BG20" s="60">
        <v>1.69</v>
      </c>
      <c r="BH20" s="60">
        <v>1.71</v>
      </c>
      <c r="BI20" s="60">
        <v>1.87</v>
      </c>
      <c r="BJ20" s="60">
        <v>1.82</v>
      </c>
      <c r="BK20" s="60">
        <v>1.87</v>
      </c>
      <c r="BL20" s="60">
        <v>1.82</v>
      </c>
      <c r="BM20" s="60">
        <v>1.8</v>
      </c>
      <c r="BN20" s="60">
        <v>1.67</v>
      </c>
      <c r="BO20" s="60">
        <v>1.75</v>
      </c>
      <c r="BP20" s="60">
        <v>1.84</v>
      </c>
      <c r="BQ20" s="60">
        <v>1.6</v>
      </c>
      <c r="BR20" s="60">
        <v>1.63</v>
      </c>
      <c r="BS20" s="60">
        <v>1.29</v>
      </c>
      <c r="BT20" s="60">
        <v>1.49</v>
      </c>
      <c r="BU20" s="60">
        <v>1.31</v>
      </c>
      <c r="BV20" s="60">
        <v>1.05</v>
      </c>
      <c r="BW20" s="60">
        <v>1.1299999999999999</v>
      </c>
      <c r="BX20" s="60">
        <v>1</v>
      </c>
      <c r="BY20" s="60">
        <v>1.1000000000000001</v>
      </c>
      <c r="BZ20" s="60">
        <v>1.29</v>
      </c>
      <c r="CA20" s="60">
        <v>1.22</v>
      </c>
      <c r="CB20" s="60">
        <v>1.1100000000000001</v>
      </c>
      <c r="CC20" s="60">
        <v>1.22</v>
      </c>
      <c r="CD20" s="60">
        <v>1.1200000000000001</v>
      </c>
      <c r="CE20" s="60">
        <v>1.0900000000000001</v>
      </c>
      <c r="CF20" s="60">
        <v>0.98</v>
      </c>
      <c r="CG20" s="60">
        <v>1.1000000000000001</v>
      </c>
      <c r="CH20" s="60">
        <v>0.99</v>
      </c>
      <c r="CI20" s="60">
        <v>1.04</v>
      </c>
      <c r="CJ20" s="60">
        <v>1.1100000000000001</v>
      </c>
      <c r="CK20" s="60">
        <v>1.01</v>
      </c>
      <c r="CL20" s="60">
        <v>1.05</v>
      </c>
      <c r="CM20" s="60">
        <v>0.84</v>
      </c>
      <c r="CN20" s="60">
        <v>1.42</v>
      </c>
      <c r="CO20" s="60">
        <v>1.0900000000000001</v>
      </c>
      <c r="CP20" s="60">
        <v>1.2</v>
      </c>
      <c r="CQ20" s="60">
        <v>1.45</v>
      </c>
      <c r="CR20" s="60">
        <v>1.5</v>
      </c>
      <c r="CS20" s="60">
        <v>1.54</v>
      </c>
      <c r="CT20" s="60">
        <v>1.49</v>
      </c>
      <c r="CU20" s="60">
        <v>1.27</v>
      </c>
      <c r="CV20" s="60">
        <v>1.34</v>
      </c>
      <c r="CW20" s="60">
        <v>1.53</v>
      </c>
      <c r="CX20" s="60">
        <v>1.21</v>
      </c>
      <c r="CY20" s="60">
        <v>1.24</v>
      </c>
      <c r="CZ20" s="60">
        <v>1.56</v>
      </c>
      <c r="DA20" s="60">
        <v>1.5</v>
      </c>
      <c r="DB20" s="60">
        <v>1.47</v>
      </c>
      <c r="DC20" s="60">
        <v>1.53</v>
      </c>
      <c r="DD20" s="60">
        <v>1.65</v>
      </c>
      <c r="DE20" s="60">
        <v>1.36</v>
      </c>
      <c r="DF20" s="60">
        <v>1.43</v>
      </c>
      <c r="DG20" s="60">
        <v>1.34</v>
      </c>
      <c r="DH20" s="60">
        <v>1.6</v>
      </c>
      <c r="DI20" s="60">
        <v>1.57</v>
      </c>
      <c r="DJ20" s="60">
        <v>1.58</v>
      </c>
      <c r="DK20" s="60">
        <v>1.63</v>
      </c>
      <c r="DL20" s="60">
        <v>1.31</v>
      </c>
      <c r="DM20" s="60">
        <v>1.49</v>
      </c>
      <c r="DN20" s="60">
        <v>1.64</v>
      </c>
      <c r="DP20" s="5" t="s">
        <v>535</v>
      </c>
      <c r="DQ20" s="5">
        <v>500</v>
      </c>
      <c r="DR20" s="73">
        <v>7.6665666666666674E-2</v>
      </c>
      <c r="DS20" s="5">
        <v>9</v>
      </c>
      <c r="DU20" s="5">
        <v>67.680000000000007</v>
      </c>
      <c r="DV20" s="5">
        <v>78.09</v>
      </c>
      <c r="DW20" s="5">
        <v>69.540000000000006</v>
      </c>
      <c r="DX20" s="5">
        <v>73.53</v>
      </c>
      <c r="DY20" s="5">
        <v>70.680000000000007</v>
      </c>
      <c r="DZ20" s="5">
        <v>63.84</v>
      </c>
      <c r="EA20" s="5">
        <v>60.42</v>
      </c>
      <c r="EB20" s="5">
        <v>66.69</v>
      </c>
      <c r="EC20" s="5">
        <v>65.55</v>
      </c>
      <c r="ED20" s="5">
        <v>67.260000000000005</v>
      </c>
      <c r="EE20" s="5">
        <v>68.97</v>
      </c>
      <c r="EF20" s="5">
        <v>63.84</v>
      </c>
      <c r="EG20" s="5">
        <v>72.39</v>
      </c>
      <c r="EH20" s="5">
        <v>70.680000000000007</v>
      </c>
      <c r="EI20" s="5">
        <v>86.64</v>
      </c>
      <c r="EJ20" s="5">
        <v>73.53</v>
      </c>
      <c r="EK20" s="5">
        <v>79.8</v>
      </c>
      <c r="EL20" s="5">
        <v>86.07</v>
      </c>
      <c r="EM20" s="5">
        <v>96.9</v>
      </c>
      <c r="EN20" s="5">
        <v>90.63</v>
      </c>
      <c r="EO20" s="5">
        <v>83.79</v>
      </c>
      <c r="EP20" s="5">
        <v>72.39</v>
      </c>
      <c r="EQ20" s="5">
        <v>79.23</v>
      </c>
      <c r="ER20" s="5">
        <v>83.79</v>
      </c>
      <c r="ES20" s="5">
        <v>77.52</v>
      </c>
      <c r="ET20" s="5">
        <v>84.36</v>
      </c>
      <c r="EU20" s="5">
        <v>94.05</v>
      </c>
      <c r="EV20" s="5">
        <v>81.510000000000005</v>
      </c>
      <c r="EW20" s="5">
        <v>88.35</v>
      </c>
      <c r="EX20" s="5">
        <v>106.59</v>
      </c>
      <c r="EY20" s="5">
        <v>104.31</v>
      </c>
      <c r="EZ20" s="5">
        <v>114</v>
      </c>
      <c r="FA20" s="5">
        <v>102.03</v>
      </c>
      <c r="FB20" s="5">
        <v>110.58</v>
      </c>
      <c r="FC20" s="5">
        <v>102.6</v>
      </c>
      <c r="FD20" s="5">
        <v>106.02</v>
      </c>
      <c r="FE20" s="5">
        <v>106.02</v>
      </c>
      <c r="FF20" s="5">
        <v>112.29</v>
      </c>
      <c r="FG20" s="5">
        <v>103.74</v>
      </c>
      <c r="FH20" s="5">
        <v>91.77</v>
      </c>
      <c r="FI20" s="5">
        <v>102.6</v>
      </c>
      <c r="FJ20" s="5">
        <v>102.03</v>
      </c>
      <c r="FK20" s="5">
        <v>103.17</v>
      </c>
      <c r="FL20" s="5">
        <v>112.29</v>
      </c>
      <c r="FM20" s="5">
        <v>109.44</v>
      </c>
      <c r="FN20" s="5">
        <v>112.29</v>
      </c>
      <c r="FO20" s="5">
        <v>109.44</v>
      </c>
      <c r="FP20" s="5">
        <v>108.3</v>
      </c>
      <c r="FQ20" s="5">
        <v>100.32</v>
      </c>
      <c r="FR20" s="5">
        <v>105.45</v>
      </c>
      <c r="FS20" s="5">
        <v>110.58</v>
      </c>
      <c r="FT20" s="5">
        <v>96.9</v>
      </c>
      <c r="FU20" s="5">
        <v>98.61</v>
      </c>
      <c r="FV20" s="5">
        <v>79.23</v>
      </c>
      <c r="FW20" s="5">
        <v>90.63</v>
      </c>
      <c r="FX20" s="5">
        <v>80.37</v>
      </c>
      <c r="FY20" s="5">
        <v>64.98</v>
      </c>
      <c r="FZ20" s="5">
        <v>70.11</v>
      </c>
      <c r="GA20" s="5">
        <v>61.56</v>
      </c>
      <c r="GB20" s="5">
        <v>68.400000000000006</v>
      </c>
      <c r="GC20" s="5">
        <v>79.23</v>
      </c>
      <c r="GD20" s="5">
        <v>75.239999999999995</v>
      </c>
      <c r="GE20" s="5">
        <v>68.400000000000006</v>
      </c>
      <c r="GF20" s="5">
        <v>74.67</v>
      </c>
      <c r="GG20" s="5">
        <v>69.540000000000006</v>
      </c>
      <c r="GH20" s="5">
        <v>67.83</v>
      </c>
      <c r="GI20" s="5">
        <v>61.56</v>
      </c>
      <c r="GJ20" s="5">
        <v>68.400000000000006</v>
      </c>
      <c r="GK20" s="5">
        <v>62.13</v>
      </c>
      <c r="GL20" s="5">
        <v>64.98</v>
      </c>
      <c r="GM20" s="5">
        <v>68.97</v>
      </c>
      <c r="GN20" s="5">
        <v>63.27</v>
      </c>
      <c r="GO20" s="5">
        <v>65.55</v>
      </c>
      <c r="GP20" s="5">
        <v>52.44</v>
      </c>
      <c r="GQ20" s="5">
        <v>86.64</v>
      </c>
      <c r="GR20" s="5">
        <v>67.83</v>
      </c>
      <c r="GS20" s="5">
        <v>74.099999999999994</v>
      </c>
      <c r="GT20" s="5">
        <v>88.35</v>
      </c>
      <c r="GU20" s="5">
        <v>91.2</v>
      </c>
      <c r="GV20" s="5">
        <v>93.48</v>
      </c>
      <c r="GW20" s="5">
        <v>90.63</v>
      </c>
      <c r="GX20" s="5">
        <v>77.52</v>
      </c>
      <c r="GY20" s="5">
        <v>81.510000000000005</v>
      </c>
      <c r="GZ20" s="5">
        <v>92.91</v>
      </c>
      <c r="HA20" s="5">
        <v>74.099999999999994</v>
      </c>
      <c r="HB20" s="5">
        <v>76.38</v>
      </c>
      <c r="HC20" s="5">
        <v>94.62</v>
      </c>
      <c r="HD20" s="5">
        <v>91.2</v>
      </c>
      <c r="HE20" s="5">
        <v>89.49</v>
      </c>
      <c r="HF20" s="5">
        <v>92.91</v>
      </c>
      <c r="HG20" s="5">
        <v>99.75</v>
      </c>
      <c r="HH20" s="5">
        <v>83.22</v>
      </c>
      <c r="HI20" s="5">
        <v>87.21</v>
      </c>
      <c r="HJ20" s="5">
        <v>82.08</v>
      </c>
      <c r="HK20" s="5">
        <v>96.9</v>
      </c>
      <c r="HL20" s="5">
        <v>95.19</v>
      </c>
      <c r="HM20" s="5">
        <v>95.76</v>
      </c>
      <c r="HN20" s="5">
        <v>98.61</v>
      </c>
      <c r="HO20" s="5">
        <v>79.23</v>
      </c>
      <c r="HP20" s="5">
        <v>90.63</v>
      </c>
      <c r="HQ20" s="5">
        <v>99.18</v>
      </c>
    </row>
    <row r="21" spans="1:225">
      <c r="A21" s="69">
        <v>19</v>
      </c>
      <c r="B21" s="13">
        <v>10</v>
      </c>
      <c r="C21" s="5">
        <v>10</v>
      </c>
      <c r="D21" s="5">
        <f t="shared" si="0"/>
        <v>100</v>
      </c>
      <c r="E21" s="5">
        <v>1</v>
      </c>
      <c r="F21" s="60">
        <f t="shared" si="1"/>
        <v>10</v>
      </c>
      <c r="G21" s="60">
        <f t="shared" si="2"/>
        <v>55</v>
      </c>
      <c r="H21" s="13">
        <v>10</v>
      </c>
      <c r="I21" s="5">
        <v>10</v>
      </c>
      <c r="J21" s="5">
        <f t="shared" si="3"/>
        <v>100</v>
      </c>
      <c r="K21" s="60">
        <v>0.82</v>
      </c>
      <c r="L21" s="60">
        <f t="shared" si="4"/>
        <v>8.1999999999999993</v>
      </c>
      <c r="M21" s="60">
        <f t="shared" si="5"/>
        <v>54.1</v>
      </c>
      <c r="N21" s="75">
        <v>7258.800000000002</v>
      </c>
      <c r="O21" s="5">
        <v>-62.112886799999998</v>
      </c>
      <c r="P21" s="5">
        <v>41.887113200000002</v>
      </c>
      <c r="Q21" s="5">
        <v>-63.948919999999987</v>
      </c>
      <c r="R21" s="5">
        <v>40.051079999999999</v>
      </c>
      <c r="T21" s="60">
        <v>0.96</v>
      </c>
      <c r="U21" s="60">
        <v>0.93</v>
      </c>
      <c r="V21" s="60">
        <v>0.94</v>
      </c>
      <c r="W21" s="60">
        <v>0.83</v>
      </c>
      <c r="X21" s="60">
        <v>0.81</v>
      </c>
      <c r="Y21" s="60">
        <v>0.87</v>
      </c>
      <c r="Z21" s="60">
        <v>0.91</v>
      </c>
      <c r="AA21" s="60">
        <v>0.89</v>
      </c>
      <c r="AB21" s="60">
        <v>0.93</v>
      </c>
      <c r="AC21" s="60">
        <v>0.9</v>
      </c>
      <c r="AD21" s="60">
        <v>1.1299999999999999</v>
      </c>
      <c r="AE21" s="60">
        <v>1</v>
      </c>
      <c r="AF21" s="60">
        <v>1.21</v>
      </c>
      <c r="AG21" s="60">
        <v>0.91</v>
      </c>
      <c r="AH21" s="60">
        <v>0.97</v>
      </c>
      <c r="AI21" s="60">
        <v>1.2</v>
      </c>
      <c r="AJ21" s="60">
        <v>0.82</v>
      </c>
      <c r="AK21" s="60">
        <v>1.2</v>
      </c>
      <c r="AL21" s="60">
        <v>1.35</v>
      </c>
      <c r="AM21" s="60">
        <v>0.98</v>
      </c>
      <c r="AN21" s="60">
        <v>0.92</v>
      </c>
      <c r="AO21" s="60">
        <v>0.97</v>
      </c>
      <c r="AP21" s="60">
        <v>1.02</v>
      </c>
      <c r="AQ21" s="60">
        <v>1.05</v>
      </c>
      <c r="AR21" s="60">
        <v>1.22</v>
      </c>
      <c r="AS21" s="60">
        <v>1.28</v>
      </c>
      <c r="AT21" s="60">
        <v>1.19</v>
      </c>
      <c r="AU21" s="60">
        <v>1.33</v>
      </c>
      <c r="AV21" s="60">
        <v>1.42</v>
      </c>
      <c r="AW21" s="60">
        <v>1.36</v>
      </c>
      <c r="AX21" s="60">
        <v>1.3</v>
      </c>
      <c r="AY21" s="60">
        <v>1.39</v>
      </c>
      <c r="AZ21" s="60">
        <v>1.44</v>
      </c>
      <c r="BA21" s="60">
        <v>1.43</v>
      </c>
      <c r="BB21" s="60">
        <v>1.43</v>
      </c>
      <c r="BC21" s="60">
        <v>1.29</v>
      </c>
      <c r="BD21" s="60">
        <v>1.35</v>
      </c>
      <c r="BE21" s="60">
        <v>1.24</v>
      </c>
      <c r="BF21" s="60">
        <v>1.1100000000000001</v>
      </c>
      <c r="BG21" s="60">
        <v>1.1399999999999999</v>
      </c>
      <c r="BH21" s="60">
        <v>1.39</v>
      </c>
      <c r="BI21" s="60">
        <v>1.26</v>
      </c>
      <c r="BJ21" s="60">
        <v>1.42</v>
      </c>
      <c r="BK21" s="60">
        <v>1.52</v>
      </c>
      <c r="BL21" s="60">
        <v>1.53</v>
      </c>
      <c r="BM21" s="60">
        <v>1.56</v>
      </c>
      <c r="BN21" s="60">
        <v>1.39</v>
      </c>
      <c r="BO21" s="60">
        <v>1.29</v>
      </c>
      <c r="BP21" s="60">
        <v>1.32</v>
      </c>
      <c r="BQ21" s="60">
        <v>1.24</v>
      </c>
      <c r="BR21" s="60">
        <v>1.21</v>
      </c>
      <c r="BS21" s="60">
        <v>0.99</v>
      </c>
      <c r="BT21" s="60">
        <v>1.21</v>
      </c>
      <c r="BU21" s="60">
        <v>1.03</v>
      </c>
      <c r="BV21" s="60">
        <v>0.76</v>
      </c>
      <c r="BW21" s="60">
        <v>0.84</v>
      </c>
      <c r="BX21" s="60">
        <v>0.88</v>
      </c>
      <c r="BY21" s="60">
        <v>0.92</v>
      </c>
      <c r="BZ21" s="60">
        <v>0.86</v>
      </c>
      <c r="CA21" s="60">
        <v>0.95</v>
      </c>
      <c r="CB21" s="60">
        <v>0.97</v>
      </c>
      <c r="CC21" s="60">
        <v>0.73</v>
      </c>
      <c r="CD21" s="60">
        <v>0.99</v>
      </c>
      <c r="CE21" s="60">
        <v>0.89</v>
      </c>
      <c r="CF21" s="60">
        <v>0.97</v>
      </c>
      <c r="CG21" s="60">
        <v>0.8</v>
      </c>
      <c r="CH21" s="60">
        <v>0.95</v>
      </c>
      <c r="CI21" s="60">
        <v>0.87</v>
      </c>
      <c r="CJ21" s="60">
        <v>0.88</v>
      </c>
      <c r="CK21" s="60">
        <v>0.88</v>
      </c>
      <c r="CL21" s="60">
        <v>0.93</v>
      </c>
      <c r="CM21" s="60">
        <v>0.88</v>
      </c>
      <c r="CN21" s="60">
        <v>1.3</v>
      </c>
      <c r="CO21" s="60">
        <v>0.99</v>
      </c>
      <c r="CP21" s="60">
        <v>0.99</v>
      </c>
      <c r="CQ21" s="60">
        <v>1.26</v>
      </c>
      <c r="CR21" s="60">
        <v>1.5</v>
      </c>
      <c r="CS21" s="60">
        <v>1.38</v>
      </c>
      <c r="CT21" s="60">
        <v>1.41</v>
      </c>
      <c r="CU21" s="60">
        <v>1.37</v>
      </c>
      <c r="CV21" s="60">
        <v>1.39</v>
      </c>
      <c r="CW21" s="60">
        <v>1.36</v>
      </c>
      <c r="CX21" s="60">
        <v>1.21</v>
      </c>
      <c r="CY21" s="60">
        <v>1.28</v>
      </c>
      <c r="CZ21" s="60">
        <v>1.61</v>
      </c>
      <c r="DA21" s="60">
        <v>1.58</v>
      </c>
      <c r="DB21" s="60">
        <v>1.07</v>
      </c>
      <c r="DC21" s="60">
        <v>1.46</v>
      </c>
      <c r="DD21" s="60">
        <v>1.5</v>
      </c>
      <c r="DE21" s="60">
        <v>1.27</v>
      </c>
      <c r="DF21" s="60">
        <v>1.46</v>
      </c>
      <c r="DG21" s="60">
        <v>1.29</v>
      </c>
      <c r="DH21" s="60">
        <v>1.49</v>
      </c>
      <c r="DI21" s="60">
        <v>1.62</v>
      </c>
      <c r="DJ21" s="60">
        <v>1.25</v>
      </c>
      <c r="DK21" s="60">
        <v>1.64</v>
      </c>
      <c r="DL21" s="60">
        <v>1.41</v>
      </c>
      <c r="DM21" s="60">
        <v>1.17</v>
      </c>
      <c r="DN21" s="60">
        <v>1.4</v>
      </c>
      <c r="DP21" s="5" t="s">
        <v>536</v>
      </c>
      <c r="DQ21" s="5">
        <v>500</v>
      </c>
      <c r="DR21" s="73">
        <v>7.8345999999999999E-2</v>
      </c>
      <c r="DS21" s="5">
        <v>9</v>
      </c>
      <c r="DU21" s="5">
        <v>54</v>
      </c>
      <c r="DV21" s="5">
        <v>64.41</v>
      </c>
      <c r="DW21" s="5">
        <v>60.42</v>
      </c>
      <c r="DX21" s="5">
        <v>58.71</v>
      </c>
      <c r="DY21" s="5">
        <v>59.28</v>
      </c>
      <c r="DZ21" s="5">
        <v>53.01</v>
      </c>
      <c r="EA21" s="5">
        <v>51.87</v>
      </c>
      <c r="EB21" s="5">
        <v>55.29</v>
      </c>
      <c r="EC21" s="5">
        <v>57.57</v>
      </c>
      <c r="ED21" s="5">
        <v>56.43</v>
      </c>
      <c r="EE21" s="5">
        <v>58.71</v>
      </c>
      <c r="EF21" s="5">
        <v>57</v>
      </c>
      <c r="EG21" s="5">
        <v>70.11</v>
      </c>
      <c r="EH21" s="5">
        <v>62.7</v>
      </c>
      <c r="EI21" s="5">
        <v>74.67</v>
      </c>
      <c r="EJ21" s="5">
        <v>57</v>
      </c>
      <c r="EK21" s="5">
        <v>59.85</v>
      </c>
      <c r="EL21" s="5">
        <v>74.099999999999994</v>
      </c>
      <c r="EM21" s="5">
        <v>51.3</v>
      </c>
      <c r="EN21" s="5">
        <v>74.099999999999994</v>
      </c>
      <c r="EO21" s="5">
        <v>82.65</v>
      </c>
      <c r="EP21" s="5">
        <v>61.56</v>
      </c>
      <c r="EQ21" s="5">
        <v>58.14</v>
      </c>
      <c r="ER21" s="5">
        <v>60.99</v>
      </c>
      <c r="ES21" s="5">
        <v>63.84</v>
      </c>
      <c r="ET21" s="5">
        <v>65.55</v>
      </c>
      <c r="EU21" s="5">
        <v>75.239999999999995</v>
      </c>
      <c r="EV21" s="5">
        <v>78.66</v>
      </c>
      <c r="EW21" s="5">
        <v>73.53</v>
      </c>
      <c r="EX21" s="5">
        <v>81.510000000000005</v>
      </c>
      <c r="EY21" s="5">
        <v>86.64</v>
      </c>
      <c r="EZ21" s="5">
        <v>83.22</v>
      </c>
      <c r="FA21" s="5">
        <v>79.8</v>
      </c>
      <c r="FB21" s="5">
        <v>84.93</v>
      </c>
      <c r="FC21" s="5">
        <v>87.78</v>
      </c>
      <c r="FD21" s="5">
        <v>87.21</v>
      </c>
      <c r="FE21" s="5">
        <v>87.21</v>
      </c>
      <c r="FF21" s="5">
        <v>78.66</v>
      </c>
      <c r="FG21" s="5">
        <v>82.65</v>
      </c>
      <c r="FH21" s="5">
        <v>75.81</v>
      </c>
      <c r="FI21" s="5">
        <v>68.400000000000006</v>
      </c>
      <c r="FJ21" s="5">
        <v>70.11</v>
      </c>
      <c r="FK21" s="5">
        <v>84.93</v>
      </c>
      <c r="FL21" s="5">
        <v>76.95</v>
      </c>
      <c r="FM21" s="5">
        <v>86.64</v>
      </c>
      <c r="FN21" s="5">
        <v>92.34</v>
      </c>
      <c r="FO21" s="5">
        <v>92.91</v>
      </c>
      <c r="FP21" s="5">
        <v>94.62</v>
      </c>
      <c r="FQ21" s="5">
        <v>84.36</v>
      </c>
      <c r="FR21" s="5">
        <v>79.23</v>
      </c>
      <c r="FS21" s="5">
        <v>80.94</v>
      </c>
      <c r="FT21" s="5">
        <v>76.38</v>
      </c>
      <c r="FU21" s="5">
        <v>74.67</v>
      </c>
      <c r="FV21" s="5">
        <v>62.13</v>
      </c>
      <c r="FW21" s="5">
        <v>74.67</v>
      </c>
      <c r="FX21" s="5">
        <v>64.41</v>
      </c>
      <c r="FY21" s="5">
        <v>48.45</v>
      </c>
      <c r="FZ21" s="5">
        <v>53.58</v>
      </c>
      <c r="GA21" s="5">
        <v>55.86</v>
      </c>
      <c r="GB21" s="5">
        <v>58.14</v>
      </c>
      <c r="GC21" s="5">
        <v>54.72</v>
      </c>
      <c r="GD21" s="5">
        <v>59.85</v>
      </c>
      <c r="GE21" s="5">
        <v>60.99</v>
      </c>
      <c r="GF21" s="5">
        <v>46.17</v>
      </c>
      <c r="GG21" s="5">
        <v>62.13</v>
      </c>
      <c r="GH21" s="5">
        <v>56.43</v>
      </c>
      <c r="GI21" s="5">
        <v>60.99</v>
      </c>
      <c r="GJ21" s="5">
        <v>50.73</v>
      </c>
      <c r="GK21" s="5">
        <v>59.85</v>
      </c>
      <c r="GL21" s="5">
        <v>55.29</v>
      </c>
      <c r="GM21" s="5">
        <v>55.86</v>
      </c>
      <c r="GN21" s="5">
        <v>55.86</v>
      </c>
      <c r="GO21" s="5">
        <v>58.71</v>
      </c>
      <c r="GP21" s="5">
        <v>55.86</v>
      </c>
      <c r="GQ21" s="5">
        <v>79.8</v>
      </c>
      <c r="GR21" s="5">
        <v>61.56</v>
      </c>
      <c r="GS21" s="5">
        <v>61.56</v>
      </c>
      <c r="GT21" s="5">
        <v>77.52</v>
      </c>
      <c r="GU21" s="5">
        <v>91.2</v>
      </c>
      <c r="GV21" s="5">
        <v>84.36</v>
      </c>
      <c r="GW21" s="5">
        <v>86.07</v>
      </c>
      <c r="GX21" s="5">
        <v>83.79</v>
      </c>
      <c r="GY21" s="5">
        <v>84.93</v>
      </c>
      <c r="GZ21" s="5">
        <v>83.22</v>
      </c>
      <c r="HA21" s="5">
        <v>74.67</v>
      </c>
      <c r="HB21" s="5">
        <v>78.66</v>
      </c>
      <c r="HC21" s="5">
        <v>97.47</v>
      </c>
      <c r="HD21" s="5">
        <v>95.76</v>
      </c>
      <c r="HE21" s="5">
        <v>65.55</v>
      </c>
      <c r="HF21" s="5">
        <v>88.92</v>
      </c>
      <c r="HG21" s="5">
        <v>91.2</v>
      </c>
      <c r="HH21" s="5">
        <v>78.09</v>
      </c>
      <c r="HI21" s="5">
        <v>88.92</v>
      </c>
      <c r="HJ21" s="5">
        <v>78.66</v>
      </c>
      <c r="HK21" s="5">
        <v>90.63</v>
      </c>
      <c r="HL21" s="5">
        <v>98.04</v>
      </c>
      <c r="HM21" s="5">
        <v>76.38</v>
      </c>
      <c r="HN21" s="5">
        <v>99.18</v>
      </c>
      <c r="HO21" s="5">
        <v>85.5</v>
      </c>
      <c r="HP21" s="5">
        <v>72.39</v>
      </c>
      <c r="HQ21" s="5">
        <v>85.5</v>
      </c>
    </row>
    <row r="22" spans="1:225">
      <c r="A22" s="69">
        <v>20</v>
      </c>
      <c r="B22" s="13">
        <v>10</v>
      </c>
      <c r="C22" s="5">
        <v>7</v>
      </c>
      <c r="D22" s="5">
        <f t="shared" si="0"/>
        <v>70</v>
      </c>
      <c r="E22" s="5">
        <v>1</v>
      </c>
      <c r="F22" s="60">
        <f t="shared" si="1"/>
        <v>14.285714285714285</v>
      </c>
      <c r="G22" s="60">
        <f t="shared" si="2"/>
        <v>42.142857142857139</v>
      </c>
      <c r="H22" s="13">
        <v>10</v>
      </c>
      <c r="I22" s="5">
        <v>7</v>
      </c>
      <c r="J22" s="5">
        <f t="shared" si="3"/>
        <v>70</v>
      </c>
      <c r="K22" s="60">
        <v>0.76</v>
      </c>
      <c r="L22" s="60">
        <f t="shared" si="4"/>
        <v>10.857142857142858</v>
      </c>
      <c r="M22" s="60">
        <f t="shared" si="5"/>
        <v>40.428571428571431</v>
      </c>
      <c r="N22" s="75">
        <v>7494.78</v>
      </c>
      <c r="O22" s="5">
        <v>-63.968927750000013</v>
      </c>
      <c r="P22" s="5">
        <v>40.031072250000008</v>
      </c>
      <c r="Q22" s="5">
        <v>-63.422576099999993</v>
      </c>
      <c r="R22" s="5">
        <v>40.577423899999999</v>
      </c>
      <c r="T22" s="60">
        <v>0.95</v>
      </c>
      <c r="U22" s="60">
        <v>0.95</v>
      </c>
      <c r="V22" s="60">
        <v>1</v>
      </c>
      <c r="W22" s="60">
        <v>0.79</v>
      </c>
      <c r="X22" s="60">
        <v>0.91</v>
      </c>
      <c r="Y22" s="60">
        <v>0.82</v>
      </c>
      <c r="Z22" s="60">
        <v>0.77</v>
      </c>
      <c r="AA22" s="60">
        <v>0.87</v>
      </c>
      <c r="AB22" s="60">
        <v>0.85</v>
      </c>
      <c r="AC22" s="60">
        <v>0.91</v>
      </c>
      <c r="AD22" s="60">
        <v>1.1299999999999999</v>
      </c>
      <c r="AE22" s="60">
        <v>1.01</v>
      </c>
      <c r="AF22" s="60">
        <v>1.1499999999999999</v>
      </c>
      <c r="AG22" s="60">
        <v>1.03</v>
      </c>
      <c r="AH22" s="60">
        <v>1.18</v>
      </c>
      <c r="AI22" s="60">
        <v>1.21</v>
      </c>
      <c r="AJ22" s="60">
        <v>1.29</v>
      </c>
      <c r="AK22" s="60">
        <v>1.21</v>
      </c>
      <c r="AL22" s="60">
        <v>1.02</v>
      </c>
      <c r="AM22" s="60">
        <v>0.9</v>
      </c>
      <c r="AN22" s="60">
        <v>1.1599999999999999</v>
      </c>
      <c r="AO22" s="60">
        <v>1.06</v>
      </c>
      <c r="AP22" s="60">
        <v>1</v>
      </c>
      <c r="AQ22" s="60">
        <v>1.31</v>
      </c>
      <c r="AR22" s="60">
        <v>1.35</v>
      </c>
      <c r="AS22" s="60">
        <v>1.51</v>
      </c>
      <c r="AT22" s="60">
        <v>1.49</v>
      </c>
      <c r="AU22" s="60">
        <v>1.69</v>
      </c>
      <c r="AV22" s="60">
        <v>1.67</v>
      </c>
      <c r="AW22" s="60">
        <v>1.56</v>
      </c>
      <c r="AX22" s="60">
        <v>1.59</v>
      </c>
      <c r="AY22" s="60">
        <v>1.63</v>
      </c>
      <c r="AZ22" s="60">
        <v>1.72</v>
      </c>
      <c r="BA22" s="60">
        <v>1.71</v>
      </c>
      <c r="BB22" s="60">
        <v>1.54</v>
      </c>
      <c r="BC22" s="60">
        <v>1.56</v>
      </c>
      <c r="BD22" s="60">
        <v>1.26</v>
      </c>
      <c r="BE22" s="60">
        <v>1.19</v>
      </c>
      <c r="BF22" s="60">
        <v>1.38</v>
      </c>
      <c r="BG22" s="60">
        <v>1.07</v>
      </c>
      <c r="BH22" s="60">
        <v>1.64</v>
      </c>
      <c r="BI22" s="60">
        <v>1.68</v>
      </c>
      <c r="BJ22" s="60">
        <v>1.71</v>
      </c>
      <c r="BK22" s="60">
        <v>1.59</v>
      </c>
      <c r="BL22" s="60">
        <v>1.63</v>
      </c>
      <c r="BM22" s="60">
        <v>1.49</v>
      </c>
      <c r="BN22" s="60">
        <v>1.34</v>
      </c>
      <c r="BO22" s="60">
        <v>1.43</v>
      </c>
      <c r="BP22" s="60">
        <v>1.38</v>
      </c>
      <c r="BQ22" s="60">
        <v>1.21</v>
      </c>
      <c r="BR22" s="60">
        <v>1.28</v>
      </c>
      <c r="BS22" s="60">
        <v>0.98</v>
      </c>
      <c r="BT22" s="60">
        <v>0.97</v>
      </c>
      <c r="BU22" s="60">
        <v>0.95</v>
      </c>
      <c r="BV22" s="60">
        <v>0.8</v>
      </c>
      <c r="BW22" s="60">
        <v>1</v>
      </c>
      <c r="BX22" s="60">
        <v>0.96</v>
      </c>
      <c r="BY22" s="60">
        <v>0.93</v>
      </c>
      <c r="BZ22" s="60">
        <v>1.05</v>
      </c>
      <c r="CA22" s="60">
        <v>0.98</v>
      </c>
      <c r="CB22" s="60">
        <v>0.96</v>
      </c>
      <c r="CC22" s="60">
        <v>1.1000000000000001</v>
      </c>
      <c r="CD22" s="60">
        <v>0.94</v>
      </c>
      <c r="CE22" s="60">
        <v>0.94</v>
      </c>
      <c r="CF22" s="60">
        <v>0.91</v>
      </c>
      <c r="CG22" s="60">
        <v>0.8</v>
      </c>
      <c r="CH22" s="60">
        <v>0.87</v>
      </c>
      <c r="CI22" s="60">
        <v>0.83</v>
      </c>
      <c r="CJ22" s="60">
        <v>0.9</v>
      </c>
      <c r="CK22" s="60">
        <v>0.8</v>
      </c>
      <c r="CL22" s="60">
        <v>0.84</v>
      </c>
      <c r="CM22" s="60">
        <v>0.92</v>
      </c>
      <c r="CN22" s="60">
        <v>1.34</v>
      </c>
      <c r="CO22" s="60">
        <v>0.95</v>
      </c>
      <c r="CP22" s="60">
        <v>1.08</v>
      </c>
      <c r="CQ22" s="60">
        <v>1.38</v>
      </c>
      <c r="CR22" s="60">
        <v>1.3</v>
      </c>
      <c r="CS22" s="60">
        <v>1.49</v>
      </c>
      <c r="CT22" s="60">
        <v>1.3</v>
      </c>
      <c r="CU22" s="60">
        <v>1.29</v>
      </c>
      <c r="CV22" s="60">
        <v>1.22</v>
      </c>
      <c r="CW22" s="60">
        <v>1.17</v>
      </c>
      <c r="CX22" s="60">
        <v>1.1299999999999999</v>
      </c>
      <c r="CY22" s="60">
        <v>1.2</v>
      </c>
      <c r="CZ22" s="60">
        <v>1.42</v>
      </c>
      <c r="DA22" s="60">
        <v>1.49</v>
      </c>
      <c r="DB22" s="60">
        <v>1.42</v>
      </c>
      <c r="DC22" s="60">
        <v>1.48</v>
      </c>
      <c r="DD22" s="60">
        <v>1.34</v>
      </c>
      <c r="DE22" s="60">
        <v>1.19</v>
      </c>
      <c r="DF22" s="60">
        <v>1.03</v>
      </c>
      <c r="DG22" s="60">
        <v>1.29</v>
      </c>
      <c r="DH22" s="60">
        <v>1.3</v>
      </c>
      <c r="DI22" s="60">
        <v>1.29</v>
      </c>
      <c r="DJ22" s="60">
        <v>1.58</v>
      </c>
      <c r="DK22" s="60">
        <v>1.52</v>
      </c>
      <c r="DL22" s="60">
        <v>1.52</v>
      </c>
      <c r="DM22" s="60">
        <v>1.23</v>
      </c>
      <c r="DN22" s="60">
        <v>1.38</v>
      </c>
      <c r="DP22" s="5" t="s">
        <v>537</v>
      </c>
      <c r="DQ22" s="5">
        <v>500</v>
      </c>
      <c r="DR22" s="73">
        <v>7.9426999999999998E-2</v>
      </c>
      <c r="DS22" s="5">
        <v>9</v>
      </c>
      <c r="DU22" s="5">
        <v>50.58</v>
      </c>
      <c r="DV22" s="5">
        <v>75.81</v>
      </c>
      <c r="DW22" s="5">
        <v>59.85</v>
      </c>
      <c r="DX22" s="5">
        <v>59.85</v>
      </c>
      <c r="DY22" s="5">
        <v>62.7</v>
      </c>
      <c r="DZ22" s="5">
        <v>50.73</v>
      </c>
      <c r="EA22" s="5">
        <v>57.57</v>
      </c>
      <c r="EB22" s="5">
        <v>52.44</v>
      </c>
      <c r="EC22" s="5">
        <v>49.59</v>
      </c>
      <c r="ED22" s="5">
        <v>55.29</v>
      </c>
      <c r="EE22" s="5">
        <v>53.58</v>
      </c>
      <c r="EF22" s="5">
        <v>57.57</v>
      </c>
      <c r="EG22" s="5">
        <v>70.11</v>
      </c>
      <c r="EH22" s="5">
        <v>63.27</v>
      </c>
      <c r="EI22" s="5">
        <v>71.25</v>
      </c>
      <c r="EJ22" s="5">
        <v>64.41</v>
      </c>
      <c r="EK22" s="5">
        <v>72.959999999999994</v>
      </c>
      <c r="EL22" s="5">
        <v>74.67</v>
      </c>
      <c r="EM22" s="5">
        <v>79.23</v>
      </c>
      <c r="EN22" s="5">
        <v>74.67</v>
      </c>
      <c r="EO22" s="5">
        <v>63.84</v>
      </c>
      <c r="EP22" s="5">
        <v>57</v>
      </c>
      <c r="EQ22" s="5">
        <v>71.819999999999993</v>
      </c>
      <c r="ER22" s="5">
        <v>66.12</v>
      </c>
      <c r="ES22" s="5">
        <v>62.7</v>
      </c>
      <c r="ET22" s="5">
        <v>80.37</v>
      </c>
      <c r="EU22" s="5">
        <v>82.65</v>
      </c>
      <c r="EV22" s="5">
        <v>91.77</v>
      </c>
      <c r="EW22" s="5">
        <v>90.63</v>
      </c>
      <c r="EX22" s="5">
        <v>102.03</v>
      </c>
      <c r="EY22" s="5">
        <v>100.89</v>
      </c>
      <c r="EZ22" s="5">
        <v>94.62</v>
      </c>
      <c r="FA22" s="5">
        <v>96.33</v>
      </c>
      <c r="FB22" s="5">
        <v>98.61</v>
      </c>
      <c r="FC22" s="5">
        <v>103.74</v>
      </c>
      <c r="FD22" s="5">
        <v>103.17</v>
      </c>
      <c r="FE22" s="5">
        <v>93.48</v>
      </c>
      <c r="FF22" s="5">
        <v>94.62</v>
      </c>
      <c r="FG22" s="5">
        <v>76.95</v>
      </c>
      <c r="FH22" s="5">
        <v>72.959999999999994</v>
      </c>
      <c r="FI22" s="5">
        <v>84.36</v>
      </c>
      <c r="FJ22" s="5">
        <v>65.55</v>
      </c>
      <c r="FK22" s="5">
        <v>99.18</v>
      </c>
      <c r="FL22" s="5">
        <v>101.46</v>
      </c>
      <c r="FM22" s="5">
        <v>103.17</v>
      </c>
      <c r="FN22" s="5">
        <v>96.33</v>
      </c>
      <c r="FO22" s="5">
        <v>98.61</v>
      </c>
      <c r="FP22" s="5">
        <v>90.63</v>
      </c>
      <c r="FQ22" s="5">
        <v>82.08</v>
      </c>
      <c r="FR22" s="5">
        <v>87.21</v>
      </c>
      <c r="FS22" s="5">
        <v>84.36</v>
      </c>
      <c r="FT22" s="5">
        <v>74.67</v>
      </c>
      <c r="FU22" s="5">
        <v>78.66</v>
      </c>
      <c r="FV22" s="5">
        <v>61.56</v>
      </c>
      <c r="FW22" s="5">
        <v>60.42</v>
      </c>
      <c r="FX22" s="5">
        <v>59.85</v>
      </c>
      <c r="FY22" s="5">
        <v>50.73</v>
      </c>
      <c r="FZ22" s="5">
        <v>62.7</v>
      </c>
      <c r="GA22" s="5">
        <v>60.42</v>
      </c>
      <c r="GB22" s="5">
        <v>58.71</v>
      </c>
      <c r="GC22" s="5">
        <v>65.55</v>
      </c>
      <c r="GD22" s="5">
        <v>61.56</v>
      </c>
      <c r="GE22" s="5">
        <v>60.42</v>
      </c>
      <c r="GF22" s="5">
        <v>68.400000000000006</v>
      </c>
      <c r="GG22" s="5">
        <v>59.28</v>
      </c>
      <c r="GH22" s="5">
        <v>59.28</v>
      </c>
      <c r="GI22" s="5">
        <v>57.57</v>
      </c>
      <c r="GJ22" s="5">
        <v>51.3</v>
      </c>
      <c r="GK22" s="5">
        <v>55.29</v>
      </c>
      <c r="GL22" s="5">
        <v>53.01</v>
      </c>
      <c r="GM22" s="5">
        <v>57</v>
      </c>
      <c r="GN22" s="5">
        <v>51.3</v>
      </c>
      <c r="GO22" s="5">
        <v>53.58</v>
      </c>
      <c r="GP22" s="5">
        <v>58.14</v>
      </c>
      <c r="GQ22" s="5">
        <v>82.08</v>
      </c>
      <c r="GR22" s="5">
        <v>59.28</v>
      </c>
      <c r="GS22" s="5">
        <v>67.260000000000005</v>
      </c>
      <c r="GT22" s="5">
        <v>84.36</v>
      </c>
      <c r="GU22" s="5">
        <v>79.23</v>
      </c>
      <c r="GV22" s="5">
        <v>90.63</v>
      </c>
      <c r="GW22" s="5">
        <v>79.8</v>
      </c>
      <c r="GX22" s="5">
        <v>79.23</v>
      </c>
      <c r="GY22" s="5">
        <v>74.67</v>
      </c>
      <c r="GZ22" s="5">
        <v>71.819999999999993</v>
      </c>
      <c r="HA22" s="5">
        <v>70.11</v>
      </c>
      <c r="HB22" s="5">
        <v>74.099999999999994</v>
      </c>
      <c r="HC22" s="5">
        <v>86.07</v>
      </c>
      <c r="HD22" s="5">
        <v>90.63</v>
      </c>
      <c r="HE22" s="5">
        <v>86.07</v>
      </c>
      <c r="HF22" s="5">
        <v>90.06</v>
      </c>
      <c r="HG22" s="5">
        <v>82.08</v>
      </c>
      <c r="HH22" s="5">
        <v>73.53</v>
      </c>
      <c r="HI22" s="5">
        <v>63.84</v>
      </c>
      <c r="HJ22" s="5">
        <v>78.66</v>
      </c>
      <c r="HK22" s="5">
        <v>79.23</v>
      </c>
      <c r="HL22" s="5">
        <v>78.66</v>
      </c>
      <c r="HM22" s="5">
        <v>95.76</v>
      </c>
      <c r="HN22" s="5">
        <v>92.34</v>
      </c>
      <c r="HO22" s="5">
        <v>92.34</v>
      </c>
      <c r="HP22" s="5">
        <v>75.81</v>
      </c>
      <c r="HQ22" s="5">
        <v>84.36</v>
      </c>
    </row>
    <row r="23" spans="1:225">
      <c r="A23" s="69">
        <v>21</v>
      </c>
      <c r="B23" s="13">
        <v>10</v>
      </c>
      <c r="C23" s="5">
        <v>10</v>
      </c>
      <c r="D23" s="5">
        <f t="shared" si="0"/>
        <v>100</v>
      </c>
      <c r="E23" s="5">
        <v>3</v>
      </c>
      <c r="F23" s="60">
        <f t="shared" si="1"/>
        <v>30</v>
      </c>
      <c r="G23" s="60">
        <f t="shared" si="2"/>
        <v>65</v>
      </c>
      <c r="H23" s="13">
        <v>10</v>
      </c>
      <c r="I23" s="5">
        <v>6</v>
      </c>
      <c r="J23" s="5">
        <f t="shared" si="3"/>
        <v>60</v>
      </c>
      <c r="K23" s="60">
        <v>0.94</v>
      </c>
      <c r="L23" s="60">
        <f t="shared" si="4"/>
        <v>15.666666666666664</v>
      </c>
      <c r="M23" s="60">
        <f t="shared" si="5"/>
        <v>37.833333333333329</v>
      </c>
      <c r="N23" s="75">
        <v>8107.529999999997</v>
      </c>
      <c r="O23" s="5">
        <v>-63.270370300000003</v>
      </c>
      <c r="P23" s="5">
        <v>40.729629699999997</v>
      </c>
      <c r="Q23" s="5">
        <v>-62.492019600000006</v>
      </c>
      <c r="R23" s="5">
        <v>41.507980400000001</v>
      </c>
      <c r="T23" s="60">
        <v>1.08</v>
      </c>
      <c r="U23" s="60">
        <v>1.04</v>
      </c>
      <c r="V23" s="60">
        <v>1.21</v>
      </c>
      <c r="W23" s="60">
        <v>1.1399999999999999</v>
      </c>
      <c r="X23" s="60">
        <v>1.02</v>
      </c>
      <c r="Y23" s="60">
        <v>0.94</v>
      </c>
      <c r="Z23" s="60">
        <v>0.98</v>
      </c>
      <c r="AA23" s="60">
        <v>1.1299999999999999</v>
      </c>
      <c r="AB23" s="60">
        <v>0.97</v>
      </c>
      <c r="AC23" s="60">
        <v>0.99</v>
      </c>
      <c r="AD23" s="60">
        <v>1.1299999999999999</v>
      </c>
      <c r="AE23" s="60">
        <v>1.1000000000000001</v>
      </c>
      <c r="AF23" s="60">
        <v>1.25</v>
      </c>
      <c r="AG23" s="60">
        <v>1.1200000000000001</v>
      </c>
      <c r="AH23" s="60">
        <v>1.35</v>
      </c>
      <c r="AI23" s="60">
        <v>1.26</v>
      </c>
      <c r="AJ23" s="60">
        <v>1.24</v>
      </c>
      <c r="AK23" s="60">
        <v>1.34</v>
      </c>
      <c r="AL23" s="60">
        <v>1.17</v>
      </c>
      <c r="AM23" s="60">
        <v>1.1599999999999999</v>
      </c>
      <c r="AN23" s="60">
        <v>1.22</v>
      </c>
      <c r="AO23" s="60">
        <v>1.19</v>
      </c>
      <c r="AP23" s="60">
        <v>1.32</v>
      </c>
      <c r="AQ23" s="60">
        <v>1.53</v>
      </c>
      <c r="AR23" s="60">
        <v>1.59</v>
      </c>
      <c r="AS23" s="60">
        <v>1.54</v>
      </c>
      <c r="AT23" s="60">
        <v>1.66</v>
      </c>
      <c r="AU23" s="60">
        <v>1.7</v>
      </c>
      <c r="AV23" s="60">
        <v>1.62</v>
      </c>
      <c r="AW23" s="60">
        <v>1.56</v>
      </c>
      <c r="AX23" s="60">
        <v>1.67</v>
      </c>
      <c r="AY23" s="60">
        <v>1.59</v>
      </c>
      <c r="AZ23" s="60">
        <v>1.4</v>
      </c>
      <c r="BA23" s="60">
        <v>1.61</v>
      </c>
      <c r="BB23" s="60">
        <v>1.64</v>
      </c>
      <c r="BC23" s="60">
        <v>1.71</v>
      </c>
      <c r="BD23" s="60">
        <v>1.49</v>
      </c>
      <c r="BE23" s="60">
        <v>1.49</v>
      </c>
      <c r="BF23" s="60">
        <v>1.2</v>
      </c>
      <c r="BG23" s="60">
        <v>1.18</v>
      </c>
      <c r="BH23" s="60">
        <v>1.7</v>
      </c>
      <c r="BI23" s="60">
        <v>1.75</v>
      </c>
      <c r="BJ23" s="60">
        <v>1.64</v>
      </c>
      <c r="BK23" s="60">
        <v>1.46</v>
      </c>
      <c r="BL23" s="60">
        <v>1.61</v>
      </c>
      <c r="BM23" s="60">
        <v>1.39</v>
      </c>
      <c r="BN23" s="60">
        <v>1.54</v>
      </c>
      <c r="BO23" s="60">
        <v>1.5</v>
      </c>
      <c r="BP23" s="60">
        <v>1.21</v>
      </c>
      <c r="BQ23" s="60">
        <v>1.32</v>
      </c>
      <c r="BR23" s="60">
        <v>1.31</v>
      </c>
      <c r="BS23" s="60">
        <v>1.04</v>
      </c>
      <c r="BT23" s="60">
        <v>1.17</v>
      </c>
      <c r="BU23" s="60">
        <v>1.03</v>
      </c>
      <c r="BV23" s="60">
        <v>1.01</v>
      </c>
      <c r="BW23" s="60">
        <v>1.08</v>
      </c>
      <c r="BX23" s="60">
        <v>1.02</v>
      </c>
      <c r="BY23" s="60">
        <v>1.05</v>
      </c>
      <c r="BZ23" s="60">
        <v>0.88</v>
      </c>
      <c r="CA23" s="60">
        <v>1.1499999999999999</v>
      </c>
      <c r="CB23" s="60">
        <v>1.05</v>
      </c>
      <c r="CC23" s="60">
        <v>0.94</v>
      </c>
      <c r="CD23" s="60">
        <v>0.98</v>
      </c>
      <c r="CE23" s="60">
        <v>1.05</v>
      </c>
      <c r="CF23" s="60">
        <v>0.86</v>
      </c>
      <c r="CG23" s="60">
        <v>1.04</v>
      </c>
      <c r="CH23" s="60">
        <v>0.97</v>
      </c>
      <c r="CI23" s="60">
        <v>1.08</v>
      </c>
      <c r="CJ23" s="60">
        <v>1.07</v>
      </c>
      <c r="CK23" s="60">
        <v>1.1000000000000001</v>
      </c>
      <c r="CL23" s="60">
        <v>1.1100000000000001</v>
      </c>
      <c r="CM23" s="60">
        <v>1.06</v>
      </c>
      <c r="CN23" s="60">
        <v>1.68</v>
      </c>
      <c r="CO23" s="60">
        <v>1.25</v>
      </c>
      <c r="CP23" s="60">
        <v>1.44</v>
      </c>
      <c r="CQ23" s="60">
        <v>1.67</v>
      </c>
      <c r="CR23" s="60">
        <v>1.41</v>
      </c>
      <c r="CS23" s="60">
        <v>1.54</v>
      </c>
      <c r="CT23" s="60">
        <v>1.52</v>
      </c>
      <c r="CU23" s="60">
        <v>1.47</v>
      </c>
      <c r="CV23" s="60">
        <v>1.37</v>
      </c>
      <c r="CW23" s="60">
        <v>1.26</v>
      </c>
      <c r="CX23" s="60">
        <v>1.1599999999999999</v>
      </c>
      <c r="CY23" s="60">
        <v>1.53</v>
      </c>
      <c r="CZ23" s="60">
        <v>1.62</v>
      </c>
      <c r="DA23" s="60">
        <v>1.54</v>
      </c>
      <c r="DB23" s="60">
        <v>1.67</v>
      </c>
      <c r="DC23" s="60">
        <v>1.68</v>
      </c>
      <c r="DD23" s="60">
        <v>1.33</v>
      </c>
      <c r="DE23" s="60">
        <v>1.27</v>
      </c>
      <c r="DF23" s="60">
        <v>1.25</v>
      </c>
      <c r="DG23" s="60">
        <v>1.22</v>
      </c>
      <c r="DH23" s="60">
        <v>1.71</v>
      </c>
      <c r="DI23" s="60">
        <v>1.56</v>
      </c>
      <c r="DJ23" s="60">
        <v>1.61</v>
      </c>
      <c r="DK23" s="60">
        <v>1.36</v>
      </c>
      <c r="DL23" s="60">
        <v>1.57</v>
      </c>
      <c r="DM23" s="60">
        <v>1.21</v>
      </c>
      <c r="DN23" s="60">
        <v>1.52</v>
      </c>
      <c r="DP23" s="5" t="s">
        <v>538</v>
      </c>
      <c r="DQ23" s="5">
        <v>500</v>
      </c>
      <c r="DR23" s="73">
        <v>8.3525000000000002E-2</v>
      </c>
      <c r="DS23" s="5">
        <v>7</v>
      </c>
      <c r="DU23" s="5">
        <v>60.84</v>
      </c>
      <c r="DV23" s="5">
        <v>79.8</v>
      </c>
      <c r="DW23" s="5">
        <v>67.260000000000005</v>
      </c>
      <c r="DX23" s="5">
        <v>64.98</v>
      </c>
      <c r="DY23" s="5">
        <v>74.67</v>
      </c>
      <c r="DZ23" s="5">
        <v>70.680000000000007</v>
      </c>
      <c r="EA23" s="5">
        <v>63.84</v>
      </c>
      <c r="EB23" s="5">
        <v>58.71</v>
      </c>
      <c r="EC23" s="5">
        <v>61.56</v>
      </c>
      <c r="ED23" s="5">
        <v>70.11</v>
      </c>
      <c r="EE23" s="5">
        <v>60.99</v>
      </c>
      <c r="EF23" s="5">
        <v>62.13</v>
      </c>
      <c r="EG23" s="5">
        <v>70.11</v>
      </c>
      <c r="EH23" s="5">
        <v>68.400000000000006</v>
      </c>
      <c r="EI23" s="5">
        <v>76.95</v>
      </c>
      <c r="EJ23" s="5">
        <v>69.540000000000006</v>
      </c>
      <c r="EK23" s="5">
        <v>82.65</v>
      </c>
      <c r="EL23" s="5">
        <v>76.95</v>
      </c>
      <c r="EM23" s="5">
        <v>76.38</v>
      </c>
      <c r="EN23" s="5">
        <v>82.08</v>
      </c>
      <c r="EO23" s="5">
        <v>72.39</v>
      </c>
      <c r="EP23" s="5">
        <v>71.819999999999993</v>
      </c>
      <c r="EQ23" s="5">
        <v>75.239999999999995</v>
      </c>
      <c r="ER23" s="5">
        <v>73.53</v>
      </c>
      <c r="ES23" s="5">
        <v>80.94</v>
      </c>
      <c r="ET23" s="5">
        <v>92.91</v>
      </c>
      <c r="EU23" s="5">
        <v>96.33</v>
      </c>
      <c r="EV23" s="5">
        <v>93.48</v>
      </c>
      <c r="EW23" s="5">
        <v>100.32</v>
      </c>
      <c r="EX23" s="5">
        <v>102.6</v>
      </c>
      <c r="EY23" s="5">
        <v>98.04</v>
      </c>
      <c r="EZ23" s="5">
        <v>94.62</v>
      </c>
      <c r="FA23" s="5">
        <v>100.89</v>
      </c>
      <c r="FB23" s="5">
        <v>96.33</v>
      </c>
      <c r="FC23" s="5">
        <v>84.93</v>
      </c>
      <c r="FD23" s="5">
        <v>97.47</v>
      </c>
      <c r="FE23" s="5">
        <v>99.18</v>
      </c>
      <c r="FF23" s="5">
        <v>103.17</v>
      </c>
      <c r="FG23" s="5">
        <v>90.63</v>
      </c>
      <c r="FH23" s="5">
        <v>90.63</v>
      </c>
      <c r="FI23" s="5">
        <v>73.53</v>
      </c>
      <c r="FJ23" s="5">
        <v>72.39</v>
      </c>
      <c r="FK23" s="5">
        <v>102.6</v>
      </c>
      <c r="FL23" s="5">
        <v>105.45</v>
      </c>
      <c r="FM23" s="5">
        <v>99.18</v>
      </c>
      <c r="FN23" s="5">
        <v>88.92</v>
      </c>
      <c r="FO23" s="5">
        <v>97.47</v>
      </c>
      <c r="FP23" s="5">
        <v>84.36</v>
      </c>
      <c r="FQ23" s="5">
        <v>93.48</v>
      </c>
      <c r="FR23" s="5">
        <v>91.2</v>
      </c>
      <c r="FS23" s="5">
        <v>74.099999999999994</v>
      </c>
      <c r="FT23" s="5">
        <v>80.94</v>
      </c>
      <c r="FU23" s="5">
        <v>80.37</v>
      </c>
      <c r="FV23" s="5">
        <v>64.41</v>
      </c>
      <c r="FW23" s="5">
        <v>72.39</v>
      </c>
      <c r="FX23" s="5">
        <v>64.41</v>
      </c>
      <c r="FY23" s="5">
        <v>63.27</v>
      </c>
      <c r="FZ23" s="5">
        <v>67.260000000000005</v>
      </c>
      <c r="GA23" s="5">
        <v>63.84</v>
      </c>
      <c r="GB23" s="5">
        <v>65.55</v>
      </c>
      <c r="GC23" s="5">
        <v>55.29</v>
      </c>
      <c r="GD23" s="5">
        <v>71.25</v>
      </c>
      <c r="GE23" s="5">
        <v>64.98</v>
      </c>
      <c r="GF23" s="5">
        <v>58.14</v>
      </c>
      <c r="GG23" s="5">
        <v>60.99</v>
      </c>
      <c r="GH23" s="5">
        <v>65.55</v>
      </c>
      <c r="GI23" s="5">
        <v>54.15</v>
      </c>
      <c r="GJ23" s="5">
        <v>64.98</v>
      </c>
      <c r="GK23" s="5">
        <v>60.99</v>
      </c>
      <c r="GL23" s="5">
        <v>66.69</v>
      </c>
      <c r="GM23" s="5">
        <v>66.69</v>
      </c>
      <c r="GN23" s="5">
        <v>68.400000000000006</v>
      </c>
      <c r="GO23" s="5">
        <v>68.97</v>
      </c>
      <c r="GP23" s="5">
        <v>65.55</v>
      </c>
      <c r="GQ23" s="5">
        <v>101.46</v>
      </c>
      <c r="GR23" s="5">
        <v>76.38</v>
      </c>
      <c r="GS23" s="5">
        <v>87.78</v>
      </c>
      <c r="GT23" s="5">
        <v>100.89</v>
      </c>
      <c r="GU23" s="5">
        <v>86.07</v>
      </c>
      <c r="GV23" s="5">
        <v>92.91</v>
      </c>
      <c r="GW23" s="5">
        <v>92.34</v>
      </c>
      <c r="GX23" s="5">
        <v>89.49</v>
      </c>
      <c r="GY23" s="5">
        <v>83.22</v>
      </c>
      <c r="GZ23" s="5">
        <v>76.95</v>
      </c>
      <c r="HA23" s="5">
        <v>71.819999999999993</v>
      </c>
      <c r="HB23" s="5">
        <v>92.91</v>
      </c>
      <c r="HC23" s="5">
        <v>98.04</v>
      </c>
      <c r="HD23" s="5">
        <v>93.48</v>
      </c>
      <c r="HE23" s="5">
        <v>100.89</v>
      </c>
      <c r="HF23" s="5">
        <v>101.46</v>
      </c>
      <c r="HG23" s="5">
        <v>80.94</v>
      </c>
      <c r="HH23" s="5">
        <v>78.09</v>
      </c>
      <c r="HI23" s="5">
        <v>76.95</v>
      </c>
      <c r="HJ23" s="5">
        <v>74.099999999999994</v>
      </c>
      <c r="HK23" s="5">
        <v>103.17</v>
      </c>
      <c r="HL23" s="5">
        <v>94.05</v>
      </c>
      <c r="HM23" s="5">
        <v>97.47</v>
      </c>
      <c r="HN23" s="5">
        <v>82.65</v>
      </c>
      <c r="HO23" s="5">
        <v>95.19</v>
      </c>
      <c r="HP23" s="5">
        <v>74.67</v>
      </c>
      <c r="HQ23" s="5">
        <v>92.34</v>
      </c>
    </row>
    <row r="24" spans="1:225">
      <c r="A24" s="69">
        <v>22</v>
      </c>
      <c r="B24" s="13">
        <v>10</v>
      </c>
      <c r="C24" s="5">
        <v>10</v>
      </c>
      <c r="D24" s="5">
        <f t="shared" si="0"/>
        <v>100</v>
      </c>
      <c r="E24" s="75">
        <v>0</v>
      </c>
      <c r="F24" s="60">
        <f t="shared" si="1"/>
        <v>0</v>
      </c>
      <c r="G24" s="60">
        <f t="shared" si="2"/>
        <v>50</v>
      </c>
      <c r="H24" s="13">
        <v>10</v>
      </c>
      <c r="I24" s="5">
        <v>9</v>
      </c>
      <c r="J24" s="5">
        <f t="shared" si="3"/>
        <v>90</v>
      </c>
      <c r="K24" s="60">
        <v>0.74</v>
      </c>
      <c r="L24" s="60">
        <f t="shared" si="4"/>
        <v>8.2222222222222232</v>
      </c>
      <c r="M24" s="60">
        <f t="shared" si="5"/>
        <v>49.111111111111114</v>
      </c>
      <c r="N24" s="75">
        <v>7456.59</v>
      </c>
      <c r="O24" s="5">
        <v>-66.327624250000014</v>
      </c>
      <c r="P24" s="5">
        <v>37.67237575</v>
      </c>
      <c r="Q24" s="5">
        <v>-66.849983000000009</v>
      </c>
      <c r="R24" s="5">
        <v>37.150017000000005</v>
      </c>
      <c r="T24" s="60">
        <v>0.94</v>
      </c>
      <c r="U24" s="60">
        <v>1.02</v>
      </c>
      <c r="V24" s="60">
        <v>1.03</v>
      </c>
      <c r="W24" s="60">
        <v>0.97</v>
      </c>
      <c r="X24" s="60">
        <v>0.8</v>
      </c>
      <c r="Y24" s="60">
        <v>0.83</v>
      </c>
      <c r="Z24" s="60">
        <v>0.86</v>
      </c>
      <c r="AA24" s="60">
        <v>0.75</v>
      </c>
      <c r="AB24" s="60">
        <v>0.93</v>
      </c>
      <c r="AC24" s="60">
        <v>0.91</v>
      </c>
      <c r="AD24" s="60">
        <v>1.1399999999999999</v>
      </c>
      <c r="AE24" s="60">
        <v>0.9</v>
      </c>
      <c r="AF24" s="60">
        <v>1.36</v>
      </c>
      <c r="AG24" s="60">
        <v>1.02</v>
      </c>
      <c r="AH24" s="60">
        <v>1.32</v>
      </c>
      <c r="AI24" s="60">
        <v>1.36</v>
      </c>
      <c r="AJ24" s="60">
        <v>1.25</v>
      </c>
      <c r="AK24" s="60">
        <v>1.19</v>
      </c>
      <c r="AL24" s="60">
        <v>1.04</v>
      </c>
      <c r="AM24" s="60">
        <v>0.87</v>
      </c>
      <c r="AN24" s="60">
        <v>1.1299999999999999</v>
      </c>
      <c r="AO24" s="60">
        <v>1.26</v>
      </c>
      <c r="AP24" s="60">
        <v>1.25</v>
      </c>
      <c r="AQ24" s="60">
        <v>1.34</v>
      </c>
      <c r="AR24" s="60">
        <v>1.34</v>
      </c>
      <c r="AS24" s="60">
        <v>1.51</v>
      </c>
      <c r="AT24" s="60">
        <v>1.45</v>
      </c>
      <c r="AU24" s="60">
        <v>1.33</v>
      </c>
      <c r="AV24" s="60">
        <v>1.48</v>
      </c>
      <c r="AW24" s="60">
        <v>1.5</v>
      </c>
      <c r="AX24" s="60">
        <v>1.55</v>
      </c>
      <c r="AY24" s="60">
        <v>1.41</v>
      </c>
      <c r="AZ24" s="60">
        <v>1.45</v>
      </c>
      <c r="BA24" s="60">
        <v>1.49</v>
      </c>
      <c r="BB24" s="60">
        <v>1.56</v>
      </c>
      <c r="BC24" s="60">
        <v>1.34</v>
      </c>
      <c r="BD24" s="60">
        <v>1.31</v>
      </c>
      <c r="BE24" s="60">
        <v>1.08</v>
      </c>
      <c r="BF24" s="60">
        <v>1.1399999999999999</v>
      </c>
      <c r="BG24" s="60">
        <v>0.89</v>
      </c>
      <c r="BH24" s="60">
        <v>1.33</v>
      </c>
      <c r="BI24" s="60">
        <v>1.48</v>
      </c>
      <c r="BJ24" s="60">
        <v>1.43</v>
      </c>
      <c r="BK24" s="60">
        <v>1.46</v>
      </c>
      <c r="BL24" s="60">
        <v>1.42</v>
      </c>
      <c r="BM24" s="60">
        <v>1.36</v>
      </c>
      <c r="BN24" s="60">
        <v>1.32</v>
      </c>
      <c r="BO24" s="60">
        <v>1.17</v>
      </c>
      <c r="BP24" s="60">
        <v>1.23</v>
      </c>
      <c r="BQ24" s="60">
        <v>0.94</v>
      </c>
      <c r="BR24" s="60">
        <v>1.2</v>
      </c>
      <c r="BS24" s="60">
        <v>0.88</v>
      </c>
      <c r="BT24" s="60">
        <v>0.89</v>
      </c>
      <c r="BU24" s="60">
        <v>0.8</v>
      </c>
      <c r="BV24" s="60">
        <v>0.88</v>
      </c>
      <c r="BW24" s="60">
        <v>0.83</v>
      </c>
      <c r="BX24" s="60">
        <v>0.84</v>
      </c>
      <c r="BY24" s="60">
        <v>0.82</v>
      </c>
      <c r="BZ24" s="60">
        <v>0.9</v>
      </c>
      <c r="CA24" s="60">
        <v>0.88</v>
      </c>
      <c r="CB24" s="60">
        <v>0.71</v>
      </c>
      <c r="CC24" s="60">
        <v>0.88</v>
      </c>
      <c r="CD24" s="60">
        <v>0.95</v>
      </c>
      <c r="CE24" s="60">
        <v>0.9</v>
      </c>
      <c r="CF24" s="60">
        <v>0.86</v>
      </c>
      <c r="CG24" s="60">
        <v>0.96</v>
      </c>
      <c r="CH24" s="60">
        <v>0.94</v>
      </c>
      <c r="CI24" s="60">
        <v>0.9</v>
      </c>
      <c r="CJ24" s="60">
        <v>0.98</v>
      </c>
      <c r="CK24" s="60">
        <v>0.91</v>
      </c>
      <c r="CL24" s="60">
        <v>1.1399999999999999</v>
      </c>
      <c r="CM24" s="60">
        <v>1.08</v>
      </c>
      <c r="CN24" s="60">
        <v>1.59</v>
      </c>
      <c r="CO24" s="60">
        <v>1.45</v>
      </c>
      <c r="CP24" s="60">
        <v>1.41</v>
      </c>
      <c r="CQ24" s="60">
        <v>1.66</v>
      </c>
      <c r="CR24" s="60">
        <v>1.34</v>
      </c>
      <c r="CS24" s="60">
        <v>1.56</v>
      </c>
      <c r="CT24" s="60">
        <v>1.32</v>
      </c>
      <c r="CU24" s="60">
        <v>1.19</v>
      </c>
      <c r="CV24" s="60">
        <v>1.45</v>
      </c>
      <c r="CW24" s="60">
        <v>1.37</v>
      </c>
      <c r="CX24" s="60">
        <v>1.32</v>
      </c>
      <c r="CY24" s="60">
        <v>1.46</v>
      </c>
      <c r="CZ24" s="60">
        <v>1.66</v>
      </c>
      <c r="DA24" s="60">
        <v>1.43</v>
      </c>
      <c r="DB24" s="60">
        <v>1.52</v>
      </c>
      <c r="DC24" s="60">
        <v>1.48</v>
      </c>
      <c r="DD24" s="60">
        <v>1.4</v>
      </c>
      <c r="DE24" s="60">
        <v>1.4</v>
      </c>
      <c r="DF24" s="60">
        <v>1.06</v>
      </c>
      <c r="DG24" s="60">
        <v>1.58</v>
      </c>
      <c r="DH24" s="60">
        <v>1.56</v>
      </c>
      <c r="DI24" s="60">
        <v>1.42</v>
      </c>
      <c r="DJ24" s="60">
        <v>1.62</v>
      </c>
      <c r="DK24" s="60">
        <v>1.52</v>
      </c>
      <c r="DL24" s="60">
        <v>1.4</v>
      </c>
      <c r="DM24" s="60">
        <v>1.02</v>
      </c>
      <c r="DN24" s="60">
        <v>1.22</v>
      </c>
      <c r="DP24" s="5" t="s">
        <v>539</v>
      </c>
      <c r="DQ24" s="5">
        <v>500</v>
      </c>
      <c r="DR24" s="73">
        <v>0</v>
      </c>
      <c r="DS24" s="75">
        <v>10</v>
      </c>
      <c r="DU24" s="5">
        <v>49.44</v>
      </c>
      <c r="DV24" s="5">
        <v>70.680000000000007</v>
      </c>
      <c r="DW24" s="5">
        <v>59.28</v>
      </c>
      <c r="DX24" s="5">
        <v>63.84</v>
      </c>
      <c r="DY24" s="5">
        <v>64.41</v>
      </c>
      <c r="DZ24" s="5">
        <v>60.99</v>
      </c>
      <c r="EA24" s="5">
        <v>51.3</v>
      </c>
      <c r="EB24" s="5">
        <v>53.01</v>
      </c>
      <c r="EC24" s="5">
        <v>54.72</v>
      </c>
      <c r="ED24" s="5">
        <v>48.45</v>
      </c>
      <c r="EE24" s="5">
        <v>58.71</v>
      </c>
      <c r="EF24" s="5">
        <v>57.57</v>
      </c>
      <c r="EG24" s="5">
        <v>70.680000000000007</v>
      </c>
      <c r="EH24" s="5">
        <v>57</v>
      </c>
      <c r="EI24" s="5">
        <v>83.22</v>
      </c>
      <c r="EJ24" s="5">
        <v>63.84</v>
      </c>
      <c r="EK24" s="5">
        <v>80.94</v>
      </c>
      <c r="EL24" s="5">
        <v>83.22</v>
      </c>
      <c r="EM24" s="5">
        <v>76.95</v>
      </c>
      <c r="EN24" s="5">
        <v>73.53</v>
      </c>
      <c r="EO24" s="5">
        <v>64.98</v>
      </c>
      <c r="EP24" s="5">
        <v>55.29</v>
      </c>
      <c r="EQ24" s="5">
        <v>70.11</v>
      </c>
      <c r="ER24" s="5">
        <v>77.52</v>
      </c>
      <c r="ES24" s="5">
        <v>76.95</v>
      </c>
      <c r="ET24" s="5">
        <v>82.08</v>
      </c>
      <c r="EU24" s="5">
        <v>82.08</v>
      </c>
      <c r="EV24" s="5">
        <v>91.77</v>
      </c>
      <c r="EW24" s="5">
        <v>88.35</v>
      </c>
      <c r="EX24" s="5">
        <v>81.510000000000005</v>
      </c>
      <c r="EY24" s="5">
        <v>90.06</v>
      </c>
      <c r="EZ24" s="5">
        <v>91.2</v>
      </c>
      <c r="FA24" s="5">
        <v>94.05</v>
      </c>
      <c r="FB24" s="5">
        <v>86.07</v>
      </c>
      <c r="FC24" s="5">
        <v>88.35</v>
      </c>
      <c r="FD24" s="5">
        <v>90.63</v>
      </c>
      <c r="FE24" s="5">
        <v>94.62</v>
      </c>
      <c r="FF24" s="5">
        <v>82.08</v>
      </c>
      <c r="FG24" s="5">
        <v>80.37</v>
      </c>
      <c r="FH24" s="5">
        <v>66.69</v>
      </c>
      <c r="FI24" s="5">
        <v>70.680000000000007</v>
      </c>
      <c r="FJ24" s="5">
        <v>55.86</v>
      </c>
      <c r="FK24" s="5">
        <v>80.94</v>
      </c>
      <c r="FL24" s="5">
        <v>90.06</v>
      </c>
      <c r="FM24" s="5">
        <v>87.21</v>
      </c>
      <c r="FN24" s="5">
        <v>88.92</v>
      </c>
      <c r="FO24" s="5">
        <v>86.64</v>
      </c>
      <c r="FP24" s="5">
        <v>83.22</v>
      </c>
      <c r="FQ24" s="5">
        <v>80.94</v>
      </c>
      <c r="FR24" s="5">
        <v>71.819999999999993</v>
      </c>
      <c r="FS24" s="5">
        <v>75.239999999999995</v>
      </c>
      <c r="FT24" s="5">
        <v>58.71</v>
      </c>
      <c r="FU24" s="5">
        <v>74.099999999999994</v>
      </c>
      <c r="FV24" s="5">
        <v>55.86</v>
      </c>
      <c r="FW24" s="5">
        <v>56.43</v>
      </c>
      <c r="FX24" s="5">
        <v>51.3</v>
      </c>
      <c r="FY24" s="5">
        <v>55.29</v>
      </c>
      <c r="FZ24" s="5">
        <v>53.01</v>
      </c>
      <c r="GA24" s="5">
        <v>53.58</v>
      </c>
      <c r="GB24" s="5">
        <v>51.87</v>
      </c>
      <c r="GC24" s="5">
        <v>57</v>
      </c>
      <c r="GD24" s="5">
        <v>55.86</v>
      </c>
      <c r="GE24" s="5">
        <v>45.6</v>
      </c>
      <c r="GF24" s="5">
        <v>55.29</v>
      </c>
      <c r="GG24" s="5">
        <v>59.85</v>
      </c>
      <c r="GH24" s="5">
        <v>57</v>
      </c>
      <c r="GI24" s="5">
        <v>54.72</v>
      </c>
      <c r="GJ24" s="5">
        <v>60.42</v>
      </c>
      <c r="GK24" s="5">
        <v>59.28</v>
      </c>
      <c r="GL24" s="5">
        <v>57</v>
      </c>
      <c r="GM24" s="5">
        <v>61.56</v>
      </c>
      <c r="GN24" s="5">
        <v>57.57</v>
      </c>
      <c r="GO24" s="5">
        <v>70.11</v>
      </c>
      <c r="GP24" s="5">
        <v>67.260000000000005</v>
      </c>
      <c r="GQ24" s="5">
        <v>96.33</v>
      </c>
      <c r="GR24" s="5">
        <v>88.35</v>
      </c>
      <c r="GS24" s="5">
        <v>86.07</v>
      </c>
      <c r="GT24" s="5">
        <v>100.32</v>
      </c>
      <c r="GU24" s="5">
        <v>81.510000000000005</v>
      </c>
      <c r="GV24" s="5">
        <v>94.62</v>
      </c>
      <c r="GW24" s="5">
        <v>80.94</v>
      </c>
      <c r="GX24" s="5">
        <v>72.959999999999994</v>
      </c>
      <c r="GY24" s="5">
        <v>88.35</v>
      </c>
      <c r="GZ24" s="5">
        <v>83.79</v>
      </c>
      <c r="HA24" s="5">
        <v>80.94</v>
      </c>
      <c r="HB24" s="5">
        <v>88.92</v>
      </c>
      <c r="HC24" s="5">
        <v>100.32</v>
      </c>
      <c r="HD24" s="5">
        <v>86.64</v>
      </c>
      <c r="HE24" s="5">
        <v>92.34</v>
      </c>
      <c r="HF24" s="5">
        <v>89.49</v>
      </c>
      <c r="HG24" s="5">
        <v>85.5</v>
      </c>
      <c r="HH24" s="5">
        <v>85.5</v>
      </c>
      <c r="HI24" s="5">
        <v>65.55</v>
      </c>
      <c r="HJ24" s="5">
        <v>95.76</v>
      </c>
      <c r="HK24" s="5">
        <v>94.62</v>
      </c>
      <c r="HL24" s="5">
        <v>86.07</v>
      </c>
      <c r="HM24" s="5">
        <v>98.04</v>
      </c>
      <c r="HN24" s="5">
        <v>92.34</v>
      </c>
      <c r="HO24" s="5">
        <v>85.5</v>
      </c>
      <c r="HP24" s="5">
        <v>63.84</v>
      </c>
      <c r="HQ24" s="5">
        <v>75.239999999999995</v>
      </c>
    </row>
    <row r="25" spans="1:225">
      <c r="A25" s="69">
        <v>23</v>
      </c>
      <c r="B25" s="13">
        <v>10</v>
      </c>
      <c r="C25" s="5">
        <v>9</v>
      </c>
      <c r="D25" s="5">
        <f t="shared" si="0"/>
        <v>90</v>
      </c>
      <c r="E25" s="75">
        <v>0</v>
      </c>
      <c r="F25" s="60">
        <f t="shared" si="1"/>
        <v>0</v>
      </c>
      <c r="G25" s="60">
        <f t="shared" si="2"/>
        <v>45</v>
      </c>
      <c r="H25" s="13">
        <v>10</v>
      </c>
      <c r="I25" s="5">
        <v>9</v>
      </c>
      <c r="J25" s="5">
        <f t="shared" si="3"/>
        <v>90</v>
      </c>
      <c r="K25" s="60">
        <v>0.93</v>
      </c>
      <c r="L25" s="60">
        <f t="shared" si="4"/>
        <v>10.333333333333334</v>
      </c>
      <c r="M25" s="60">
        <f t="shared" si="5"/>
        <v>50.166666666666664</v>
      </c>
      <c r="N25" s="75">
        <v>7823.1000000000031</v>
      </c>
      <c r="O25" s="5">
        <v>-64.555147099999999</v>
      </c>
      <c r="P25" s="5">
        <v>39.444852900000001</v>
      </c>
      <c r="Q25" s="5">
        <v>-63.354163799999995</v>
      </c>
      <c r="R25" s="5">
        <v>40.645836199999998</v>
      </c>
      <c r="T25" s="60">
        <v>1.07</v>
      </c>
      <c r="U25" s="60">
        <v>1.07</v>
      </c>
      <c r="V25" s="60">
        <v>1.22</v>
      </c>
      <c r="W25" s="60">
        <v>1.1000000000000001</v>
      </c>
      <c r="X25" s="60">
        <v>0.85</v>
      </c>
      <c r="Y25" s="60">
        <v>0.88</v>
      </c>
      <c r="Z25" s="60">
        <v>0.83</v>
      </c>
      <c r="AA25" s="60">
        <v>0.9</v>
      </c>
      <c r="AB25" s="60">
        <v>0.97</v>
      </c>
      <c r="AC25" s="60">
        <v>0.89</v>
      </c>
      <c r="AD25" s="60">
        <v>1</v>
      </c>
      <c r="AE25" s="60">
        <v>0.99</v>
      </c>
      <c r="AF25" s="60">
        <v>1.1200000000000001</v>
      </c>
      <c r="AG25" s="60">
        <v>0.83</v>
      </c>
      <c r="AH25" s="60">
        <v>1.25</v>
      </c>
      <c r="AI25" s="60">
        <v>1.1499999999999999</v>
      </c>
      <c r="AJ25" s="60">
        <v>1.1399999999999999</v>
      </c>
      <c r="AK25" s="60">
        <v>1.2</v>
      </c>
      <c r="AL25" s="60">
        <v>0.84</v>
      </c>
      <c r="AM25" s="60">
        <v>1.05</v>
      </c>
      <c r="AN25" s="60">
        <v>1.28</v>
      </c>
      <c r="AO25" s="60">
        <v>1.33</v>
      </c>
      <c r="AP25" s="60">
        <v>1.42</v>
      </c>
      <c r="AQ25" s="60">
        <v>1.58</v>
      </c>
      <c r="AR25" s="60">
        <v>1.61</v>
      </c>
      <c r="AS25" s="60">
        <v>1.73</v>
      </c>
      <c r="AT25" s="60">
        <v>1.88</v>
      </c>
      <c r="AU25" s="60">
        <v>1.63</v>
      </c>
      <c r="AV25" s="60">
        <v>1.75</v>
      </c>
      <c r="AW25" s="60">
        <v>1.73</v>
      </c>
      <c r="AX25" s="60">
        <v>1.56</v>
      </c>
      <c r="AY25" s="60">
        <v>1.85</v>
      </c>
      <c r="AZ25" s="60">
        <v>1.76</v>
      </c>
      <c r="BA25" s="60">
        <v>1.79</v>
      </c>
      <c r="BB25" s="60">
        <v>1.75</v>
      </c>
      <c r="BC25" s="60">
        <v>1.52</v>
      </c>
      <c r="BD25" s="60">
        <v>1.53</v>
      </c>
      <c r="BE25" s="60">
        <v>1.38</v>
      </c>
      <c r="BF25" s="60">
        <v>1.38</v>
      </c>
      <c r="BG25" s="60">
        <v>1.0900000000000001</v>
      </c>
      <c r="BH25" s="60">
        <v>1.69</v>
      </c>
      <c r="BI25" s="60">
        <v>1.54</v>
      </c>
      <c r="BJ25" s="60">
        <v>1.83</v>
      </c>
      <c r="BK25" s="60">
        <v>1.66</v>
      </c>
      <c r="BL25" s="60">
        <v>1.76</v>
      </c>
      <c r="BM25" s="60">
        <v>1.58</v>
      </c>
      <c r="BN25" s="60">
        <v>1.49</v>
      </c>
      <c r="BO25" s="60">
        <v>1.48</v>
      </c>
      <c r="BP25" s="60">
        <v>1.39</v>
      </c>
      <c r="BQ25" s="60">
        <v>1.23</v>
      </c>
      <c r="BR25" s="60">
        <v>1.52</v>
      </c>
      <c r="BS25" s="60">
        <v>1.04</v>
      </c>
      <c r="BT25" s="60">
        <v>1.17</v>
      </c>
      <c r="BU25" s="60">
        <v>0.9</v>
      </c>
      <c r="BV25" s="60">
        <v>0.96</v>
      </c>
      <c r="BW25" s="60">
        <v>0.97</v>
      </c>
      <c r="BX25" s="60">
        <v>1.1000000000000001</v>
      </c>
      <c r="BY25" s="60">
        <v>0.89</v>
      </c>
      <c r="BZ25" s="60">
        <v>1.03</v>
      </c>
      <c r="CA25" s="60">
        <v>0.89</v>
      </c>
      <c r="CB25" s="60">
        <v>0.88</v>
      </c>
      <c r="CC25" s="60">
        <v>0.99</v>
      </c>
      <c r="CD25" s="60">
        <v>0.97</v>
      </c>
      <c r="CE25" s="60">
        <v>1.03</v>
      </c>
      <c r="CF25" s="60">
        <v>0.93</v>
      </c>
      <c r="CG25" s="60">
        <v>1.03</v>
      </c>
      <c r="CH25" s="60">
        <v>0.9</v>
      </c>
      <c r="CI25" s="60">
        <v>0.99</v>
      </c>
      <c r="CJ25" s="60">
        <v>1.1200000000000001</v>
      </c>
      <c r="CK25" s="60">
        <v>1.01</v>
      </c>
      <c r="CL25" s="60">
        <v>1.1399999999999999</v>
      </c>
      <c r="CM25" s="60">
        <v>1.1100000000000001</v>
      </c>
      <c r="CN25" s="60">
        <v>1.41</v>
      </c>
      <c r="CO25" s="60">
        <v>1.21</v>
      </c>
      <c r="CP25" s="60">
        <v>1.28</v>
      </c>
      <c r="CQ25" s="60">
        <v>1.38</v>
      </c>
      <c r="CR25" s="60">
        <v>1.23</v>
      </c>
      <c r="CS25" s="60">
        <v>1.45</v>
      </c>
      <c r="CT25" s="60">
        <v>1.23</v>
      </c>
      <c r="CU25" s="60">
        <v>1.0900000000000001</v>
      </c>
      <c r="CV25" s="60">
        <v>1.0900000000000001</v>
      </c>
      <c r="CW25" s="60">
        <v>0.9</v>
      </c>
      <c r="CX25" s="60">
        <v>1.02</v>
      </c>
      <c r="CY25" s="60">
        <v>1.41</v>
      </c>
      <c r="CZ25" s="60">
        <v>1.55</v>
      </c>
      <c r="DA25" s="60">
        <v>1.47</v>
      </c>
      <c r="DB25" s="60">
        <v>1.57</v>
      </c>
      <c r="DC25" s="60">
        <v>1.37</v>
      </c>
      <c r="DD25" s="60">
        <v>1.37</v>
      </c>
      <c r="DE25" s="60">
        <v>1.18</v>
      </c>
      <c r="DF25" s="60">
        <v>1.19</v>
      </c>
      <c r="DG25" s="60">
        <v>1.38</v>
      </c>
      <c r="DH25" s="60">
        <v>1.26</v>
      </c>
      <c r="DI25" s="60">
        <v>1.27</v>
      </c>
      <c r="DJ25" s="60">
        <v>1.44</v>
      </c>
      <c r="DK25" s="60">
        <v>1.36</v>
      </c>
      <c r="DL25" s="60">
        <v>1.34</v>
      </c>
      <c r="DM25" s="60">
        <v>1.1399999999999999</v>
      </c>
      <c r="DN25" s="60">
        <v>1.1499999999999999</v>
      </c>
      <c r="DP25" s="5" t="s">
        <v>540</v>
      </c>
      <c r="DQ25" s="5">
        <v>500</v>
      </c>
      <c r="DR25" s="73">
        <v>0</v>
      </c>
      <c r="DS25" s="75">
        <v>10</v>
      </c>
      <c r="DU25" s="5">
        <v>60.27</v>
      </c>
      <c r="DV25" s="5">
        <v>89.49</v>
      </c>
      <c r="DW25" s="5">
        <v>66.69</v>
      </c>
      <c r="DX25" s="5">
        <v>66.69</v>
      </c>
      <c r="DY25" s="5">
        <v>75.239999999999995</v>
      </c>
      <c r="DZ25" s="5">
        <v>68.400000000000006</v>
      </c>
      <c r="EA25" s="5">
        <v>54.15</v>
      </c>
      <c r="EB25" s="5">
        <v>55.86</v>
      </c>
      <c r="EC25" s="5">
        <v>53.01</v>
      </c>
      <c r="ED25" s="5">
        <v>57</v>
      </c>
      <c r="EE25" s="5">
        <v>60.99</v>
      </c>
      <c r="EF25" s="5">
        <v>56.43</v>
      </c>
      <c r="EG25" s="5">
        <v>62.7</v>
      </c>
      <c r="EH25" s="5">
        <v>62.13</v>
      </c>
      <c r="EI25" s="5">
        <v>69.540000000000006</v>
      </c>
      <c r="EJ25" s="5">
        <v>52.44</v>
      </c>
      <c r="EK25" s="5">
        <v>76.95</v>
      </c>
      <c r="EL25" s="5">
        <v>71.25</v>
      </c>
      <c r="EM25" s="5">
        <v>70.680000000000007</v>
      </c>
      <c r="EN25" s="5">
        <v>74.099999999999994</v>
      </c>
      <c r="EO25" s="5">
        <v>52.44</v>
      </c>
      <c r="EP25" s="5">
        <v>65.55</v>
      </c>
      <c r="EQ25" s="5">
        <v>78.66</v>
      </c>
      <c r="ER25" s="5">
        <v>81.510000000000005</v>
      </c>
      <c r="ES25" s="5">
        <v>86.64</v>
      </c>
      <c r="ET25" s="5">
        <v>95.76</v>
      </c>
      <c r="EU25" s="5">
        <v>97.47</v>
      </c>
      <c r="EV25" s="5">
        <v>104.31</v>
      </c>
      <c r="EW25" s="5">
        <v>112.86</v>
      </c>
      <c r="EX25" s="5">
        <v>98.61</v>
      </c>
      <c r="EY25" s="5">
        <v>105.45</v>
      </c>
      <c r="EZ25" s="5">
        <v>104.31</v>
      </c>
      <c r="FA25" s="5">
        <v>94.62</v>
      </c>
      <c r="FB25" s="5">
        <v>111.15</v>
      </c>
      <c r="FC25" s="5">
        <v>106.02</v>
      </c>
      <c r="FD25" s="5">
        <v>107.73</v>
      </c>
      <c r="FE25" s="5">
        <v>105.45</v>
      </c>
      <c r="FF25" s="5">
        <v>92.34</v>
      </c>
      <c r="FG25" s="5">
        <v>92.91</v>
      </c>
      <c r="FH25" s="5">
        <v>84.36</v>
      </c>
      <c r="FI25" s="5">
        <v>84.36</v>
      </c>
      <c r="FJ25" s="5">
        <v>67.260000000000005</v>
      </c>
      <c r="FK25" s="5">
        <v>102.03</v>
      </c>
      <c r="FL25" s="5">
        <v>93.48</v>
      </c>
      <c r="FM25" s="5">
        <v>110.01</v>
      </c>
      <c r="FN25" s="5">
        <v>100.32</v>
      </c>
      <c r="FO25" s="5">
        <v>106.02</v>
      </c>
      <c r="FP25" s="5">
        <v>95.76</v>
      </c>
      <c r="FQ25" s="5">
        <v>90.63</v>
      </c>
      <c r="FR25" s="5">
        <v>90.06</v>
      </c>
      <c r="FS25" s="5">
        <v>84.93</v>
      </c>
      <c r="FT25" s="5">
        <v>75.81</v>
      </c>
      <c r="FU25" s="5">
        <v>92.34</v>
      </c>
      <c r="FV25" s="5">
        <v>64.98</v>
      </c>
      <c r="FW25" s="5">
        <v>72.39</v>
      </c>
      <c r="FX25" s="5">
        <v>57</v>
      </c>
      <c r="FY25" s="5">
        <v>59.85</v>
      </c>
      <c r="FZ25" s="5">
        <v>60.42</v>
      </c>
      <c r="GA25" s="5">
        <v>68.400000000000006</v>
      </c>
      <c r="GB25" s="5">
        <v>56.43</v>
      </c>
      <c r="GC25" s="5">
        <v>64.41</v>
      </c>
      <c r="GD25" s="5">
        <v>55.86</v>
      </c>
      <c r="GE25" s="5">
        <v>55.29</v>
      </c>
      <c r="GF25" s="5">
        <v>62.13</v>
      </c>
      <c r="GG25" s="5">
        <v>60.99</v>
      </c>
      <c r="GH25" s="5">
        <v>64.41</v>
      </c>
      <c r="GI25" s="5">
        <v>58.71</v>
      </c>
      <c r="GJ25" s="5">
        <v>64.41</v>
      </c>
      <c r="GK25" s="5">
        <v>57</v>
      </c>
      <c r="GL25" s="5">
        <v>62.13</v>
      </c>
      <c r="GM25" s="5">
        <v>69.540000000000006</v>
      </c>
      <c r="GN25" s="5">
        <v>63.27</v>
      </c>
      <c r="GO25" s="5">
        <v>70.680000000000007</v>
      </c>
      <c r="GP25" s="5">
        <v>68.97</v>
      </c>
      <c r="GQ25" s="5">
        <v>86.07</v>
      </c>
      <c r="GR25" s="5">
        <v>74.67</v>
      </c>
      <c r="GS25" s="5">
        <v>78.66</v>
      </c>
      <c r="GT25" s="5">
        <v>84.36</v>
      </c>
      <c r="GU25" s="5">
        <v>75.81</v>
      </c>
      <c r="GV25" s="5">
        <v>88.35</v>
      </c>
      <c r="GW25" s="5">
        <v>75.239999999999995</v>
      </c>
      <c r="GX25" s="5">
        <v>67.260000000000005</v>
      </c>
      <c r="GY25" s="5">
        <v>67.260000000000005</v>
      </c>
      <c r="GZ25" s="5">
        <v>56.43</v>
      </c>
      <c r="HA25" s="5">
        <v>63.84</v>
      </c>
      <c r="HB25" s="5">
        <v>86.07</v>
      </c>
      <c r="HC25" s="5">
        <v>94.05</v>
      </c>
      <c r="HD25" s="5">
        <v>89.49</v>
      </c>
      <c r="HE25" s="5">
        <v>95.19</v>
      </c>
      <c r="HF25" s="5">
        <v>83.79</v>
      </c>
      <c r="HG25" s="5">
        <v>83.79</v>
      </c>
      <c r="HH25" s="5">
        <v>72.39</v>
      </c>
      <c r="HI25" s="5">
        <v>72.959999999999994</v>
      </c>
      <c r="HJ25" s="5">
        <v>84.36</v>
      </c>
      <c r="HK25" s="5">
        <v>77.52</v>
      </c>
      <c r="HL25" s="5">
        <v>78.09</v>
      </c>
      <c r="HM25" s="5">
        <v>87.78</v>
      </c>
      <c r="HN25" s="5">
        <v>83.22</v>
      </c>
      <c r="HO25" s="5">
        <v>82.08</v>
      </c>
      <c r="HP25" s="5">
        <v>70.680000000000007</v>
      </c>
      <c r="HQ25" s="5">
        <v>71.25</v>
      </c>
    </row>
    <row r="26" spans="1:225">
      <c r="A26" s="69">
        <v>24</v>
      </c>
      <c r="B26" s="13">
        <v>10</v>
      </c>
      <c r="C26" s="5">
        <v>10</v>
      </c>
      <c r="D26" s="5">
        <f t="shared" si="0"/>
        <v>100</v>
      </c>
      <c r="E26" s="5">
        <v>4</v>
      </c>
      <c r="F26" s="60">
        <f t="shared" si="1"/>
        <v>40</v>
      </c>
      <c r="G26" s="60">
        <f t="shared" si="2"/>
        <v>70</v>
      </c>
      <c r="H26" s="13">
        <v>10</v>
      </c>
      <c r="I26" s="5">
        <v>6</v>
      </c>
      <c r="J26" s="5">
        <f t="shared" si="3"/>
        <v>60</v>
      </c>
      <c r="K26" s="60">
        <v>0.67</v>
      </c>
      <c r="L26" s="60">
        <f t="shared" si="4"/>
        <v>11.166666666666668</v>
      </c>
      <c r="M26" s="60">
        <f t="shared" si="5"/>
        <v>35.583333333333336</v>
      </c>
      <c r="N26" s="75">
        <v>7000.0200000000013</v>
      </c>
      <c r="O26" s="5">
        <v>-64.432931150000016</v>
      </c>
      <c r="P26" s="5">
        <v>39.567068849999998</v>
      </c>
      <c r="Q26" s="5">
        <v>-66.3862089</v>
      </c>
      <c r="R26" s="5">
        <v>37.6137911</v>
      </c>
      <c r="T26" s="60">
        <v>1</v>
      </c>
      <c r="U26" s="60">
        <v>0.9</v>
      </c>
      <c r="V26" s="60">
        <v>1.05</v>
      </c>
      <c r="W26" s="60">
        <v>0.96</v>
      </c>
      <c r="X26" s="60">
        <v>0.81</v>
      </c>
      <c r="Y26" s="60">
        <v>0.72</v>
      </c>
      <c r="Z26" s="60">
        <v>0.81</v>
      </c>
      <c r="AA26" s="60">
        <v>0.81</v>
      </c>
      <c r="AB26" s="60">
        <v>0.75</v>
      </c>
      <c r="AC26" s="60">
        <v>0.69</v>
      </c>
      <c r="AD26" s="60">
        <v>0.96</v>
      </c>
      <c r="AE26" s="60">
        <v>0.84</v>
      </c>
      <c r="AF26" s="60">
        <v>1.18</v>
      </c>
      <c r="AG26" s="60">
        <v>0.8</v>
      </c>
      <c r="AH26" s="60">
        <v>1.01</v>
      </c>
      <c r="AI26" s="60">
        <v>1.1000000000000001</v>
      </c>
      <c r="AJ26" s="60">
        <v>1.1399999999999999</v>
      </c>
      <c r="AK26" s="60">
        <v>1.01</v>
      </c>
      <c r="AL26" s="60">
        <v>1.03</v>
      </c>
      <c r="AM26" s="60">
        <v>1</v>
      </c>
      <c r="AN26" s="60">
        <v>1.19</v>
      </c>
      <c r="AO26" s="60">
        <v>1.36</v>
      </c>
      <c r="AP26" s="60">
        <v>1.61</v>
      </c>
      <c r="AQ26" s="60">
        <v>1.5</v>
      </c>
      <c r="AR26" s="60">
        <v>1.54</v>
      </c>
      <c r="AS26" s="60">
        <v>1.36</v>
      </c>
      <c r="AT26" s="60">
        <v>1.41</v>
      </c>
      <c r="AU26" s="60">
        <v>1.5</v>
      </c>
      <c r="AV26" s="60">
        <v>1.51</v>
      </c>
      <c r="AW26" s="60">
        <v>1.47</v>
      </c>
      <c r="AX26" s="60">
        <v>1.46</v>
      </c>
      <c r="AY26" s="60">
        <v>1.53</v>
      </c>
      <c r="AZ26" s="60">
        <v>1.44</v>
      </c>
      <c r="BA26" s="60">
        <v>1.56</v>
      </c>
      <c r="BB26" s="60">
        <v>1.53</v>
      </c>
      <c r="BC26" s="60">
        <v>1.38</v>
      </c>
      <c r="BD26" s="60">
        <v>1.4</v>
      </c>
      <c r="BE26" s="60">
        <v>1.05</v>
      </c>
      <c r="BF26" s="60">
        <v>1.24</v>
      </c>
      <c r="BG26" s="60">
        <v>1.1000000000000001</v>
      </c>
      <c r="BH26" s="60">
        <v>1.52</v>
      </c>
      <c r="BI26" s="60">
        <v>1.59</v>
      </c>
      <c r="BJ26" s="60">
        <v>1.48</v>
      </c>
      <c r="BK26" s="60">
        <v>1.52</v>
      </c>
      <c r="BL26" s="60">
        <v>1.58</v>
      </c>
      <c r="BM26" s="60">
        <v>1.32</v>
      </c>
      <c r="BN26" s="60">
        <v>1.22</v>
      </c>
      <c r="BO26" s="60">
        <v>1.29</v>
      </c>
      <c r="BP26" s="60">
        <v>1.22</v>
      </c>
      <c r="BQ26" s="60">
        <v>0.79</v>
      </c>
      <c r="BR26" s="60">
        <v>1.21</v>
      </c>
      <c r="BS26" s="60">
        <v>0.95</v>
      </c>
      <c r="BT26" s="60">
        <v>0.98</v>
      </c>
      <c r="BU26" s="60">
        <v>0.66</v>
      </c>
      <c r="BV26" s="60">
        <v>0.91</v>
      </c>
      <c r="BW26" s="60">
        <v>0.61</v>
      </c>
      <c r="BX26" s="60">
        <v>0.73</v>
      </c>
      <c r="BY26" s="60">
        <v>0.71</v>
      </c>
      <c r="BZ26" s="60">
        <v>0.92</v>
      </c>
      <c r="CA26" s="60">
        <v>0.9</v>
      </c>
      <c r="CB26" s="60">
        <v>0.86</v>
      </c>
      <c r="CC26" s="60">
        <v>0.85</v>
      </c>
      <c r="CD26" s="60">
        <v>0.81</v>
      </c>
      <c r="CE26" s="60">
        <v>0.86</v>
      </c>
      <c r="CF26" s="60">
        <v>0.79</v>
      </c>
      <c r="CG26" s="60">
        <v>0.83</v>
      </c>
      <c r="CH26" s="60">
        <v>0.89</v>
      </c>
      <c r="CI26" s="60">
        <v>0.82</v>
      </c>
      <c r="CJ26" s="60">
        <v>0.9</v>
      </c>
      <c r="CK26" s="60">
        <v>0.94</v>
      </c>
      <c r="CL26" s="60">
        <v>1.05</v>
      </c>
      <c r="CM26" s="60">
        <v>1.06</v>
      </c>
      <c r="CN26" s="60">
        <v>1.25</v>
      </c>
      <c r="CO26" s="60">
        <v>1.1499999999999999</v>
      </c>
      <c r="CP26" s="60">
        <v>1.28</v>
      </c>
      <c r="CQ26" s="60">
        <v>1.1100000000000001</v>
      </c>
      <c r="CR26" s="60">
        <v>1.23</v>
      </c>
      <c r="CS26" s="60">
        <v>1.36</v>
      </c>
      <c r="CT26" s="60">
        <v>1.04</v>
      </c>
      <c r="CU26" s="60">
        <v>1.1499999999999999</v>
      </c>
      <c r="CV26" s="60">
        <v>1.1200000000000001</v>
      </c>
      <c r="CW26" s="60">
        <v>1.05</v>
      </c>
      <c r="CX26" s="60">
        <v>0.87</v>
      </c>
      <c r="CY26" s="60">
        <v>1.29</v>
      </c>
      <c r="CZ26" s="60">
        <v>1.23</v>
      </c>
      <c r="DA26" s="60">
        <v>1.29</v>
      </c>
      <c r="DB26" s="60">
        <v>1.28</v>
      </c>
      <c r="DC26" s="60">
        <v>1.34</v>
      </c>
      <c r="DD26" s="60">
        <v>1.2</v>
      </c>
      <c r="DE26" s="60">
        <v>1.1200000000000001</v>
      </c>
      <c r="DF26" s="60">
        <v>1.1100000000000001</v>
      </c>
      <c r="DG26" s="60">
        <v>1.2</v>
      </c>
      <c r="DH26" s="60">
        <v>1.2</v>
      </c>
      <c r="DI26" s="60">
        <v>1.1000000000000001</v>
      </c>
      <c r="DJ26" s="60">
        <v>1.18</v>
      </c>
      <c r="DK26" s="60">
        <v>1.1200000000000001</v>
      </c>
      <c r="DL26" s="60">
        <v>1.07</v>
      </c>
      <c r="DM26" s="60">
        <v>0.98</v>
      </c>
      <c r="DN26" s="60">
        <v>1.02</v>
      </c>
      <c r="DP26" s="5" t="s">
        <v>541</v>
      </c>
      <c r="DQ26" s="5">
        <v>500</v>
      </c>
      <c r="DR26" s="73">
        <v>8.1357750000000006E-2</v>
      </c>
      <c r="DS26" s="5">
        <v>6</v>
      </c>
      <c r="DU26" s="5">
        <v>45.45</v>
      </c>
      <c r="DV26" s="5">
        <v>83.79</v>
      </c>
      <c r="DW26" s="5">
        <v>62.7</v>
      </c>
      <c r="DX26" s="5">
        <v>57</v>
      </c>
      <c r="DY26" s="5">
        <v>65.55</v>
      </c>
      <c r="DZ26" s="5">
        <v>60.42</v>
      </c>
      <c r="EA26" s="5">
        <v>51.87</v>
      </c>
      <c r="EB26" s="5">
        <v>46.74</v>
      </c>
      <c r="EC26" s="5">
        <v>51.87</v>
      </c>
      <c r="ED26" s="5">
        <v>51.87</v>
      </c>
      <c r="EE26" s="5">
        <v>48.45</v>
      </c>
      <c r="EF26" s="5">
        <v>45.03</v>
      </c>
      <c r="EG26" s="5">
        <v>60.42</v>
      </c>
      <c r="EH26" s="5">
        <v>53.58</v>
      </c>
      <c r="EI26" s="5">
        <v>72.959999999999994</v>
      </c>
      <c r="EJ26" s="5">
        <v>50.73</v>
      </c>
      <c r="EK26" s="5">
        <v>62.7</v>
      </c>
      <c r="EL26" s="5">
        <v>68.400000000000006</v>
      </c>
      <c r="EM26" s="5">
        <v>70.680000000000007</v>
      </c>
      <c r="EN26" s="5">
        <v>63.27</v>
      </c>
      <c r="EO26" s="5">
        <v>64.41</v>
      </c>
      <c r="EP26" s="5">
        <v>62.7</v>
      </c>
      <c r="EQ26" s="5">
        <v>73.53</v>
      </c>
      <c r="ER26" s="5">
        <v>83.22</v>
      </c>
      <c r="ES26" s="5">
        <v>97.47</v>
      </c>
      <c r="ET26" s="5">
        <v>91.2</v>
      </c>
      <c r="EU26" s="5">
        <v>93.48</v>
      </c>
      <c r="EV26" s="5">
        <v>82.65</v>
      </c>
      <c r="EW26" s="5">
        <v>85.5</v>
      </c>
      <c r="EX26" s="5">
        <v>91.2</v>
      </c>
      <c r="EY26" s="5">
        <v>91.77</v>
      </c>
      <c r="EZ26" s="5">
        <v>89.49</v>
      </c>
      <c r="FA26" s="5">
        <v>88.35</v>
      </c>
      <c r="FB26" s="5">
        <v>92.91</v>
      </c>
      <c r="FC26" s="5">
        <v>87.21</v>
      </c>
      <c r="FD26" s="5">
        <v>94.62</v>
      </c>
      <c r="FE26" s="5">
        <v>92.91</v>
      </c>
      <c r="FF26" s="5">
        <v>84.36</v>
      </c>
      <c r="FG26" s="5">
        <v>85.5</v>
      </c>
      <c r="FH26" s="5">
        <v>65.55</v>
      </c>
      <c r="FI26" s="5">
        <v>76.38</v>
      </c>
      <c r="FJ26" s="5">
        <v>68.400000000000006</v>
      </c>
      <c r="FK26" s="5">
        <v>92.34</v>
      </c>
      <c r="FL26" s="5">
        <v>96.33</v>
      </c>
      <c r="FM26" s="5">
        <v>90.06</v>
      </c>
      <c r="FN26" s="5">
        <v>92.34</v>
      </c>
      <c r="FO26" s="5">
        <v>95.76</v>
      </c>
      <c r="FP26" s="5">
        <v>80.94</v>
      </c>
      <c r="FQ26" s="5">
        <v>75.239999999999995</v>
      </c>
      <c r="FR26" s="5">
        <v>79.23</v>
      </c>
      <c r="FS26" s="5">
        <v>75.239999999999995</v>
      </c>
      <c r="FT26" s="5">
        <v>50.16</v>
      </c>
      <c r="FU26" s="5">
        <v>74.67</v>
      </c>
      <c r="FV26" s="5">
        <v>59.85</v>
      </c>
      <c r="FW26" s="5">
        <v>61.56</v>
      </c>
      <c r="FX26" s="5">
        <v>42.75</v>
      </c>
      <c r="FY26" s="5">
        <v>57.57</v>
      </c>
      <c r="FZ26" s="5">
        <v>39.33</v>
      </c>
      <c r="GA26" s="5">
        <v>47.31</v>
      </c>
      <c r="GB26" s="5">
        <v>45.6</v>
      </c>
      <c r="GC26" s="5">
        <v>58.14</v>
      </c>
      <c r="GD26" s="5">
        <v>57</v>
      </c>
      <c r="GE26" s="5">
        <v>54.72</v>
      </c>
      <c r="GF26" s="5">
        <v>54.15</v>
      </c>
      <c r="GG26" s="5">
        <v>51.87</v>
      </c>
      <c r="GH26" s="5">
        <v>54.72</v>
      </c>
      <c r="GI26" s="5">
        <v>50.73</v>
      </c>
      <c r="GJ26" s="5">
        <v>53.01</v>
      </c>
      <c r="GK26" s="5">
        <v>56.43</v>
      </c>
      <c r="GL26" s="5">
        <v>52.44</v>
      </c>
      <c r="GM26" s="5">
        <v>57</v>
      </c>
      <c r="GN26" s="5">
        <v>59.28</v>
      </c>
      <c r="GO26" s="5">
        <v>65.55</v>
      </c>
      <c r="GP26" s="5">
        <v>66.12</v>
      </c>
      <c r="GQ26" s="5">
        <v>76.95</v>
      </c>
      <c r="GR26" s="5">
        <v>71.25</v>
      </c>
      <c r="GS26" s="5">
        <v>78.66</v>
      </c>
      <c r="GT26" s="5">
        <v>67.83</v>
      </c>
      <c r="GU26" s="5">
        <v>75.239999999999995</v>
      </c>
      <c r="GV26" s="5">
        <v>83.22</v>
      </c>
      <c r="GW26" s="5">
        <v>64.98</v>
      </c>
      <c r="GX26" s="5">
        <v>71.25</v>
      </c>
      <c r="GY26" s="5">
        <v>69.540000000000006</v>
      </c>
      <c r="GZ26" s="5">
        <v>65.55</v>
      </c>
      <c r="HA26" s="5">
        <v>55.29</v>
      </c>
      <c r="HB26" s="5">
        <v>78.66</v>
      </c>
      <c r="HC26" s="5">
        <v>75.81</v>
      </c>
      <c r="HD26" s="5">
        <v>78.66</v>
      </c>
      <c r="HE26" s="5">
        <v>78.66</v>
      </c>
      <c r="HF26" s="5">
        <v>82.08</v>
      </c>
      <c r="HG26" s="5">
        <v>74.099999999999994</v>
      </c>
      <c r="HH26" s="5">
        <v>69.540000000000006</v>
      </c>
      <c r="HI26" s="5">
        <v>68.97</v>
      </c>
      <c r="HJ26" s="5">
        <v>74.099999999999994</v>
      </c>
      <c r="HK26" s="5">
        <v>74.099999999999994</v>
      </c>
      <c r="HL26" s="5">
        <v>68.400000000000006</v>
      </c>
      <c r="HM26" s="5">
        <v>72.39</v>
      </c>
      <c r="HN26" s="5">
        <v>69.540000000000006</v>
      </c>
      <c r="HO26" s="5">
        <v>66.12</v>
      </c>
      <c r="HP26" s="5">
        <v>61.56</v>
      </c>
      <c r="HQ26" s="5">
        <v>63.84</v>
      </c>
    </row>
    <row r="27" spans="1:225">
      <c r="A27" s="69">
        <v>25</v>
      </c>
      <c r="B27" s="13">
        <v>10</v>
      </c>
      <c r="C27" s="5">
        <v>7</v>
      </c>
      <c r="D27" s="5">
        <f t="shared" si="0"/>
        <v>70</v>
      </c>
      <c r="E27" s="5">
        <v>2</v>
      </c>
      <c r="F27" s="60">
        <f t="shared" si="1"/>
        <v>28.571428571428569</v>
      </c>
      <c r="G27" s="60">
        <f t="shared" si="2"/>
        <v>49.285714285714285</v>
      </c>
      <c r="H27" s="13">
        <v>10</v>
      </c>
      <c r="I27" s="5">
        <v>4</v>
      </c>
      <c r="J27" s="5">
        <f t="shared" si="3"/>
        <v>40</v>
      </c>
      <c r="K27" s="60">
        <v>0.87</v>
      </c>
      <c r="L27" s="60">
        <f t="shared" si="4"/>
        <v>21.75</v>
      </c>
      <c r="M27" s="60">
        <f t="shared" si="5"/>
        <v>30.875</v>
      </c>
      <c r="N27" s="75">
        <v>7646.9700000000021</v>
      </c>
      <c r="O27" s="5">
        <v>-67.89620484999999</v>
      </c>
      <c r="P27" s="5">
        <v>36.10379515000001</v>
      </c>
      <c r="Q27" s="5">
        <v>-68.916707100000011</v>
      </c>
      <c r="R27" s="5">
        <v>35.083292899999996</v>
      </c>
      <c r="T27" s="60">
        <v>1.1599999999999999</v>
      </c>
      <c r="U27" s="60">
        <v>1.07</v>
      </c>
      <c r="V27" s="60">
        <v>1.31</v>
      </c>
      <c r="W27" s="60">
        <v>1.1399999999999999</v>
      </c>
      <c r="X27" s="60">
        <v>0.94</v>
      </c>
      <c r="Y27" s="60">
        <v>0.95</v>
      </c>
      <c r="Z27" s="60">
        <v>1.03</v>
      </c>
      <c r="AA27" s="60">
        <v>0.92</v>
      </c>
      <c r="AB27" s="60">
        <v>0.97</v>
      </c>
      <c r="AC27" s="60">
        <v>0.93</v>
      </c>
      <c r="AD27" s="60">
        <v>1.05</v>
      </c>
      <c r="AE27" s="60">
        <v>1.01</v>
      </c>
      <c r="AF27" s="60">
        <v>1.1599999999999999</v>
      </c>
      <c r="AG27" s="60">
        <v>1.01</v>
      </c>
      <c r="AH27" s="60">
        <v>1.25</v>
      </c>
      <c r="AI27" s="60">
        <v>1.03</v>
      </c>
      <c r="AJ27" s="60">
        <v>1.17</v>
      </c>
      <c r="AK27" s="60">
        <v>1.25</v>
      </c>
      <c r="AL27" s="60">
        <v>0.96</v>
      </c>
      <c r="AM27" s="60">
        <v>1.21</v>
      </c>
      <c r="AN27" s="60">
        <v>1.43</v>
      </c>
      <c r="AO27" s="60">
        <v>1.49</v>
      </c>
      <c r="AP27" s="60">
        <v>1.4</v>
      </c>
      <c r="AQ27" s="60">
        <v>1.58</v>
      </c>
      <c r="AR27" s="60">
        <v>1.53</v>
      </c>
      <c r="AS27" s="60">
        <v>1.45</v>
      </c>
      <c r="AT27" s="60">
        <v>1.56</v>
      </c>
      <c r="AU27" s="60">
        <v>1.53</v>
      </c>
      <c r="AV27" s="60">
        <v>1.67</v>
      </c>
      <c r="AW27" s="60">
        <v>1.78</v>
      </c>
      <c r="AX27" s="60">
        <v>1.51</v>
      </c>
      <c r="AY27" s="60">
        <v>1.74</v>
      </c>
      <c r="AZ27" s="60">
        <v>1.61</v>
      </c>
      <c r="BA27" s="60">
        <v>1.37</v>
      </c>
      <c r="BB27" s="60">
        <v>1.63</v>
      </c>
      <c r="BC27" s="60">
        <v>1.49</v>
      </c>
      <c r="BD27" s="60">
        <v>1.47</v>
      </c>
      <c r="BE27" s="60">
        <v>1.43</v>
      </c>
      <c r="BF27" s="60">
        <v>1.39</v>
      </c>
      <c r="BG27" s="60">
        <v>1.07</v>
      </c>
      <c r="BH27" s="60">
        <v>1.63</v>
      </c>
      <c r="BI27" s="60">
        <v>1.59</v>
      </c>
      <c r="BJ27" s="60">
        <v>1.65</v>
      </c>
      <c r="BK27" s="60">
        <v>1.46</v>
      </c>
      <c r="BL27" s="60">
        <v>1.64</v>
      </c>
      <c r="BM27" s="60">
        <v>1.49</v>
      </c>
      <c r="BN27" s="60">
        <v>1.43</v>
      </c>
      <c r="BO27" s="60">
        <v>1.4</v>
      </c>
      <c r="BP27" s="60">
        <v>1.44</v>
      </c>
      <c r="BQ27" s="60">
        <v>1.01</v>
      </c>
      <c r="BR27" s="60">
        <v>1.34</v>
      </c>
      <c r="BS27" s="60">
        <v>0.94</v>
      </c>
      <c r="BT27" s="60">
        <v>1.0900000000000001</v>
      </c>
      <c r="BU27" s="60">
        <v>0.94</v>
      </c>
      <c r="BV27" s="60">
        <v>1.03</v>
      </c>
      <c r="BW27" s="60">
        <v>1</v>
      </c>
      <c r="BX27" s="60">
        <v>0.95</v>
      </c>
      <c r="BY27" s="60">
        <v>1.04</v>
      </c>
      <c r="BZ27" s="60">
        <v>0.96</v>
      </c>
      <c r="CA27" s="60">
        <v>0.93</v>
      </c>
      <c r="CB27" s="60">
        <v>0.97</v>
      </c>
      <c r="CC27" s="60">
        <v>1.05</v>
      </c>
      <c r="CD27" s="60">
        <v>0.94</v>
      </c>
      <c r="CE27" s="60">
        <v>1.01</v>
      </c>
      <c r="CF27" s="60">
        <v>0.93</v>
      </c>
      <c r="CG27" s="60">
        <v>1.01</v>
      </c>
      <c r="CH27" s="60">
        <v>0.92</v>
      </c>
      <c r="CI27" s="60">
        <v>1.04</v>
      </c>
      <c r="CJ27" s="60">
        <v>1.1499999999999999</v>
      </c>
      <c r="CK27" s="60">
        <v>1.05</v>
      </c>
      <c r="CL27" s="60">
        <v>1.1599999999999999</v>
      </c>
      <c r="CM27" s="60">
        <v>1.1599999999999999</v>
      </c>
      <c r="CN27" s="60">
        <v>1.26</v>
      </c>
      <c r="CO27" s="60">
        <v>1.46</v>
      </c>
      <c r="CP27" s="60">
        <v>1.31</v>
      </c>
      <c r="CQ27" s="60">
        <v>1.33</v>
      </c>
      <c r="CR27" s="60">
        <v>1.0900000000000001</v>
      </c>
      <c r="CS27" s="60">
        <v>1.49</v>
      </c>
      <c r="CT27" s="60">
        <v>1.3</v>
      </c>
      <c r="CU27" s="60">
        <v>1.1299999999999999</v>
      </c>
      <c r="CV27" s="60">
        <v>1.26</v>
      </c>
      <c r="CW27" s="60">
        <v>1.1100000000000001</v>
      </c>
      <c r="CX27" s="60">
        <v>1</v>
      </c>
      <c r="CY27" s="60">
        <v>1.36</v>
      </c>
      <c r="CZ27" s="60">
        <v>1.22</v>
      </c>
      <c r="DA27" s="60">
        <v>0.92</v>
      </c>
      <c r="DB27" s="60">
        <v>1.27</v>
      </c>
      <c r="DC27" s="60">
        <v>1.32</v>
      </c>
      <c r="DD27" s="60">
        <v>1.24</v>
      </c>
      <c r="DE27" s="60">
        <v>1.1599999999999999</v>
      </c>
      <c r="DF27" s="60">
        <v>1.35</v>
      </c>
      <c r="DG27" s="60">
        <v>1.21</v>
      </c>
      <c r="DH27" s="60">
        <v>1.17</v>
      </c>
      <c r="DI27" s="60">
        <v>1.1499999999999999</v>
      </c>
      <c r="DJ27" s="60">
        <v>1.31</v>
      </c>
      <c r="DK27" s="60">
        <v>1.33</v>
      </c>
      <c r="DL27" s="60">
        <v>1.1599999999999999</v>
      </c>
      <c r="DM27" s="60">
        <v>1.06</v>
      </c>
      <c r="DN27" s="60">
        <v>0.95</v>
      </c>
      <c r="DP27" s="5" t="s">
        <v>542</v>
      </c>
      <c r="DQ27" s="5">
        <v>500</v>
      </c>
      <c r="DR27" s="73">
        <v>7.9865500000000006E-2</v>
      </c>
      <c r="DS27" s="5">
        <v>8</v>
      </c>
      <c r="DU27" s="5">
        <v>56.85</v>
      </c>
      <c r="DV27" s="5">
        <v>90.06</v>
      </c>
      <c r="DW27" s="5">
        <v>71.819999999999993</v>
      </c>
      <c r="DX27" s="5">
        <v>66.69</v>
      </c>
      <c r="DY27" s="5">
        <v>80.37</v>
      </c>
      <c r="DZ27" s="5">
        <v>70.680000000000007</v>
      </c>
      <c r="EA27" s="5">
        <v>59.28</v>
      </c>
      <c r="EB27" s="5">
        <v>59.85</v>
      </c>
      <c r="EC27" s="5">
        <v>64.41</v>
      </c>
      <c r="ED27" s="5">
        <v>58.14</v>
      </c>
      <c r="EE27" s="5">
        <v>60.99</v>
      </c>
      <c r="EF27" s="5">
        <v>58.71</v>
      </c>
      <c r="EG27" s="5">
        <v>65.55</v>
      </c>
      <c r="EH27" s="5">
        <v>63.27</v>
      </c>
      <c r="EI27" s="5">
        <v>71.25</v>
      </c>
      <c r="EJ27" s="5">
        <v>63.27</v>
      </c>
      <c r="EK27" s="5">
        <v>76.95</v>
      </c>
      <c r="EL27" s="5">
        <v>63.84</v>
      </c>
      <c r="EM27" s="5">
        <v>71.819999999999993</v>
      </c>
      <c r="EN27" s="5">
        <v>76.95</v>
      </c>
      <c r="EO27" s="5">
        <v>59.85</v>
      </c>
      <c r="EP27" s="5">
        <v>74.67</v>
      </c>
      <c r="EQ27" s="5">
        <v>87.21</v>
      </c>
      <c r="ER27" s="5">
        <v>90.63</v>
      </c>
      <c r="ES27" s="5">
        <v>84.93</v>
      </c>
      <c r="ET27" s="5">
        <v>95.76</v>
      </c>
      <c r="EU27" s="5">
        <v>92.91</v>
      </c>
      <c r="EV27" s="5">
        <v>87.78</v>
      </c>
      <c r="EW27" s="5">
        <v>94.05</v>
      </c>
      <c r="EX27" s="5">
        <v>92.91</v>
      </c>
      <c r="EY27" s="5">
        <v>100.89</v>
      </c>
      <c r="EZ27" s="5">
        <v>107.16</v>
      </c>
      <c r="FA27" s="5">
        <v>91.77</v>
      </c>
      <c r="FB27" s="5">
        <v>104.88</v>
      </c>
      <c r="FC27" s="5">
        <v>97.47</v>
      </c>
      <c r="FD27" s="5">
        <v>83.22</v>
      </c>
      <c r="FE27" s="5">
        <v>98.61</v>
      </c>
      <c r="FF27" s="5">
        <v>90.63</v>
      </c>
      <c r="FG27" s="5">
        <v>89.49</v>
      </c>
      <c r="FH27" s="5">
        <v>87.21</v>
      </c>
      <c r="FI27" s="5">
        <v>84.93</v>
      </c>
      <c r="FJ27" s="5">
        <v>66.12</v>
      </c>
      <c r="FK27" s="5">
        <v>98.61</v>
      </c>
      <c r="FL27" s="5">
        <v>96.33</v>
      </c>
      <c r="FM27" s="5">
        <v>99.75</v>
      </c>
      <c r="FN27" s="5">
        <v>88.35</v>
      </c>
      <c r="FO27" s="5">
        <v>99.18</v>
      </c>
      <c r="FP27" s="5">
        <v>90.63</v>
      </c>
      <c r="FQ27" s="5">
        <v>87.21</v>
      </c>
      <c r="FR27" s="5">
        <v>85.5</v>
      </c>
      <c r="FS27" s="5">
        <v>87.78</v>
      </c>
      <c r="FT27" s="5">
        <v>63.27</v>
      </c>
      <c r="FU27" s="5">
        <v>82.08</v>
      </c>
      <c r="FV27" s="5">
        <v>58.71</v>
      </c>
      <c r="FW27" s="5">
        <v>67.83</v>
      </c>
      <c r="FX27" s="5">
        <v>58.71</v>
      </c>
      <c r="FY27" s="5">
        <v>63.84</v>
      </c>
      <c r="FZ27" s="5">
        <v>62.7</v>
      </c>
      <c r="GA27" s="5">
        <v>59.85</v>
      </c>
      <c r="GB27" s="5">
        <v>64.98</v>
      </c>
      <c r="GC27" s="5">
        <v>60.42</v>
      </c>
      <c r="GD27" s="5">
        <v>58.71</v>
      </c>
      <c r="GE27" s="5">
        <v>60.42</v>
      </c>
      <c r="GF27" s="5">
        <v>65.55</v>
      </c>
      <c r="GG27" s="5">
        <v>59.28</v>
      </c>
      <c r="GH27" s="5">
        <v>63.27</v>
      </c>
      <c r="GI27" s="5">
        <v>58.71</v>
      </c>
      <c r="GJ27" s="5">
        <v>63.27</v>
      </c>
      <c r="GK27" s="5">
        <v>58.14</v>
      </c>
      <c r="GL27" s="5">
        <v>64.98</v>
      </c>
      <c r="GM27" s="5">
        <v>71.25</v>
      </c>
      <c r="GN27" s="5">
        <v>65.55</v>
      </c>
      <c r="GO27" s="5">
        <v>71.819999999999993</v>
      </c>
      <c r="GP27" s="5">
        <v>71.25</v>
      </c>
      <c r="GQ27" s="5">
        <v>77.52</v>
      </c>
      <c r="GR27" s="5">
        <v>88.92</v>
      </c>
      <c r="GS27" s="5">
        <v>80.37</v>
      </c>
      <c r="GT27" s="5">
        <v>81.510000000000005</v>
      </c>
      <c r="GU27" s="5">
        <v>67.260000000000005</v>
      </c>
      <c r="GV27" s="5">
        <v>90.63</v>
      </c>
      <c r="GW27" s="5">
        <v>79.8</v>
      </c>
      <c r="GX27" s="5">
        <v>69.540000000000006</v>
      </c>
      <c r="GY27" s="5">
        <v>77.52</v>
      </c>
      <c r="GZ27" s="5">
        <v>68.97</v>
      </c>
      <c r="HA27" s="5">
        <v>62.7</v>
      </c>
      <c r="HB27" s="5">
        <v>83.22</v>
      </c>
      <c r="HC27" s="5">
        <v>74.67</v>
      </c>
      <c r="HD27" s="5">
        <v>56.43</v>
      </c>
      <c r="HE27" s="5">
        <v>77.52</v>
      </c>
      <c r="HF27" s="5">
        <v>80.37</v>
      </c>
      <c r="HG27" s="5">
        <v>76.38</v>
      </c>
      <c r="HH27" s="5">
        <v>71.819999999999993</v>
      </c>
      <c r="HI27" s="5">
        <v>82.65</v>
      </c>
      <c r="HJ27" s="5">
        <v>74.67</v>
      </c>
      <c r="HK27" s="5">
        <v>72.39</v>
      </c>
      <c r="HL27" s="5">
        <v>71.25</v>
      </c>
      <c r="HM27" s="5">
        <v>80.37</v>
      </c>
      <c r="HN27" s="5">
        <v>81.510000000000005</v>
      </c>
      <c r="HO27" s="5">
        <v>71.819999999999993</v>
      </c>
      <c r="HP27" s="5">
        <v>66.12</v>
      </c>
      <c r="HQ27" s="5">
        <v>59.28</v>
      </c>
    </row>
    <row r="28" spans="1:225">
      <c r="A28" s="69">
        <v>26</v>
      </c>
      <c r="B28" s="13">
        <v>10</v>
      </c>
      <c r="C28" s="5">
        <v>10</v>
      </c>
      <c r="D28" s="5">
        <f t="shared" si="0"/>
        <v>100</v>
      </c>
      <c r="E28" s="5">
        <v>1</v>
      </c>
      <c r="F28" s="60">
        <f t="shared" si="1"/>
        <v>10</v>
      </c>
      <c r="G28" s="60">
        <f t="shared" si="2"/>
        <v>55</v>
      </c>
      <c r="H28" s="13">
        <v>10</v>
      </c>
      <c r="I28" s="5">
        <v>10</v>
      </c>
      <c r="J28" s="5">
        <f t="shared" si="3"/>
        <v>100</v>
      </c>
      <c r="K28" s="60">
        <v>0.57999999999999996</v>
      </c>
      <c r="L28" s="60">
        <f t="shared" si="4"/>
        <v>5.8</v>
      </c>
      <c r="M28" s="60">
        <f t="shared" si="5"/>
        <v>52.9</v>
      </c>
      <c r="N28" s="75">
        <v>6408.93</v>
      </c>
      <c r="O28" s="5">
        <v>-68.516942850000007</v>
      </c>
      <c r="P28" s="5">
        <v>35.483057149999993</v>
      </c>
      <c r="Q28" s="5">
        <v>-68.1602338</v>
      </c>
      <c r="R28" s="5">
        <v>35.8397662</v>
      </c>
      <c r="T28" s="60">
        <v>0.97</v>
      </c>
      <c r="U28" s="60">
        <v>0.76</v>
      </c>
      <c r="V28" s="60">
        <v>1.1299999999999999</v>
      </c>
      <c r="W28" s="60">
        <v>0.93</v>
      </c>
      <c r="X28" s="60">
        <v>0.63</v>
      </c>
      <c r="Y28" s="60">
        <v>0.61</v>
      </c>
      <c r="Z28" s="60">
        <v>0.66</v>
      </c>
      <c r="AA28" s="60">
        <v>0.74</v>
      </c>
      <c r="AB28" s="60">
        <v>0.69</v>
      </c>
      <c r="AC28" s="60">
        <v>0.67</v>
      </c>
      <c r="AD28" s="60">
        <v>0.79</v>
      </c>
      <c r="AE28" s="60">
        <v>0.71</v>
      </c>
      <c r="AF28" s="60">
        <v>0.89</v>
      </c>
      <c r="AG28" s="60">
        <v>0.65</v>
      </c>
      <c r="AH28" s="60">
        <v>1.05</v>
      </c>
      <c r="AI28" s="60">
        <v>0.88</v>
      </c>
      <c r="AJ28" s="60">
        <v>0.99</v>
      </c>
      <c r="AK28" s="60">
        <v>0.94</v>
      </c>
      <c r="AL28" s="60">
        <v>0.74</v>
      </c>
      <c r="AM28" s="60">
        <v>1</v>
      </c>
      <c r="AN28" s="60">
        <v>1.34</v>
      </c>
      <c r="AO28" s="60">
        <v>1.38</v>
      </c>
      <c r="AP28" s="60">
        <v>1.42</v>
      </c>
      <c r="AQ28" s="60">
        <v>1.46</v>
      </c>
      <c r="AR28" s="60">
        <v>1.46</v>
      </c>
      <c r="AS28" s="60">
        <v>1.54</v>
      </c>
      <c r="AT28" s="60">
        <v>1.43</v>
      </c>
      <c r="AU28" s="60">
        <v>1.5</v>
      </c>
      <c r="AV28" s="60">
        <v>1.41</v>
      </c>
      <c r="AW28" s="60">
        <v>1.31</v>
      </c>
      <c r="AX28" s="60">
        <v>1.29</v>
      </c>
      <c r="AY28" s="60">
        <v>1.34</v>
      </c>
      <c r="AZ28" s="60">
        <v>1.46</v>
      </c>
      <c r="BA28" s="60">
        <v>1.53</v>
      </c>
      <c r="BB28" s="60">
        <v>1.38</v>
      </c>
      <c r="BC28" s="60">
        <v>1.24</v>
      </c>
      <c r="BD28" s="60">
        <v>1.04</v>
      </c>
      <c r="BE28" s="60">
        <v>1.0900000000000001</v>
      </c>
      <c r="BF28" s="60">
        <v>1.1399999999999999</v>
      </c>
      <c r="BG28" s="60">
        <v>0.92</v>
      </c>
      <c r="BH28" s="60">
        <v>1.48</v>
      </c>
      <c r="BI28" s="60">
        <v>1.43</v>
      </c>
      <c r="BJ28" s="60">
        <v>1.21</v>
      </c>
      <c r="BK28" s="60">
        <v>1.38</v>
      </c>
      <c r="BL28" s="60">
        <v>1.35</v>
      </c>
      <c r="BM28" s="60">
        <v>1.26</v>
      </c>
      <c r="BN28" s="60">
        <v>1.1499999999999999</v>
      </c>
      <c r="BO28" s="60">
        <v>0.99</v>
      </c>
      <c r="BP28" s="60">
        <v>1.06</v>
      </c>
      <c r="BQ28" s="60">
        <v>0.8</v>
      </c>
      <c r="BR28" s="60">
        <v>1.05</v>
      </c>
      <c r="BS28" s="60">
        <v>0.74</v>
      </c>
      <c r="BT28" s="60">
        <v>0.78</v>
      </c>
      <c r="BU28" s="60">
        <v>0.69</v>
      </c>
      <c r="BV28" s="60">
        <v>0.7</v>
      </c>
      <c r="BW28" s="60">
        <v>0.71</v>
      </c>
      <c r="BX28" s="60">
        <v>0.65</v>
      </c>
      <c r="BY28" s="60">
        <v>0.81</v>
      </c>
      <c r="BZ28" s="60">
        <v>0.78</v>
      </c>
      <c r="CA28" s="60">
        <v>0.87</v>
      </c>
      <c r="CB28" s="60">
        <v>0.77</v>
      </c>
      <c r="CC28" s="60">
        <v>0.7</v>
      </c>
      <c r="CD28" s="60">
        <v>0.78</v>
      </c>
      <c r="CE28" s="60">
        <v>0.84</v>
      </c>
      <c r="CF28" s="60">
        <v>0.73</v>
      </c>
      <c r="CG28" s="60">
        <v>0.84</v>
      </c>
      <c r="CH28" s="60">
        <v>0.77</v>
      </c>
      <c r="CI28" s="60">
        <v>0.81</v>
      </c>
      <c r="CJ28" s="60">
        <v>1.06</v>
      </c>
      <c r="CK28" s="60">
        <v>0.91</v>
      </c>
      <c r="CL28" s="60">
        <v>1.08</v>
      </c>
      <c r="CM28" s="60">
        <v>1.02</v>
      </c>
      <c r="CN28" s="60">
        <v>1.04</v>
      </c>
      <c r="CO28" s="60">
        <v>1.02</v>
      </c>
      <c r="CP28" s="60">
        <v>1.02</v>
      </c>
      <c r="CQ28" s="60">
        <v>1.1599999999999999</v>
      </c>
      <c r="CR28" s="60">
        <v>1.1200000000000001</v>
      </c>
      <c r="CS28" s="60">
        <v>1.07</v>
      </c>
      <c r="CT28" s="60">
        <v>1</v>
      </c>
      <c r="CU28" s="60">
        <v>0.96</v>
      </c>
      <c r="CV28" s="60">
        <v>0.97</v>
      </c>
      <c r="CW28" s="60">
        <v>0.93</v>
      </c>
      <c r="CX28" s="60">
        <v>0.7</v>
      </c>
      <c r="CY28" s="60">
        <v>1.1399999999999999</v>
      </c>
      <c r="CZ28" s="60">
        <v>1.01</v>
      </c>
      <c r="DA28" s="60">
        <v>1.04</v>
      </c>
      <c r="DB28" s="60">
        <v>1.08</v>
      </c>
      <c r="DC28" s="60">
        <v>1.08</v>
      </c>
      <c r="DD28" s="60">
        <v>0.93</v>
      </c>
      <c r="DE28" s="60">
        <v>0.99</v>
      </c>
      <c r="DF28" s="60">
        <v>0.98</v>
      </c>
      <c r="DG28" s="60">
        <v>1.01</v>
      </c>
      <c r="DH28" s="60">
        <v>1.03</v>
      </c>
      <c r="DI28" s="60">
        <v>1.06</v>
      </c>
      <c r="DJ28" s="60">
        <v>1.1000000000000001</v>
      </c>
      <c r="DK28" s="60">
        <v>0.99</v>
      </c>
      <c r="DL28" s="60">
        <v>0.99</v>
      </c>
      <c r="DM28" s="60">
        <v>0.82</v>
      </c>
      <c r="DN28" s="60">
        <v>0.85</v>
      </c>
      <c r="DP28" s="5" t="s">
        <v>543</v>
      </c>
      <c r="DQ28" s="5">
        <v>500</v>
      </c>
      <c r="DR28" s="73">
        <v>8.4182999999999994E-2</v>
      </c>
      <c r="DS28" s="5">
        <v>9</v>
      </c>
      <c r="DU28" s="5">
        <v>40.32</v>
      </c>
      <c r="DV28" s="5">
        <v>86.64</v>
      </c>
      <c r="DW28" s="5">
        <v>60.99</v>
      </c>
      <c r="DX28" s="5">
        <v>49.02</v>
      </c>
      <c r="DY28" s="5">
        <v>70.11</v>
      </c>
      <c r="DZ28" s="5">
        <v>58.71</v>
      </c>
      <c r="EA28" s="5">
        <v>41.61</v>
      </c>
      <c r="EB28" s="5">
        <v>40.47</v>
      </c>
      <c r="EC28" s="5">
        <v>43.32</v>
      </c>
      <c r="ED28" s="5">
        <v>47.88</v>
      </c>
      <c r="EE28" s="5">
        <v>45.03</v>
      </c>
      <c r="EF28" s="5">
        <v>43.89</v>
      </c>
      <c r="EG28" s="5">
        <v>50.73</v>
      </c>
      <c r="EH28" s="5">
        <v>46.17</v>
      </c>
      <c r="EI28" s="5">
        <v>55.86</v>
      </c>
      <c r="EJ28" s="5">
        <v>42.75</v>
      </c>
      <c r="EK28" s="5">
        <v>65.55</v>
      </c>
      <c r="EL28" s="5">
        <v>55.86</v>
      </c>
      <c r="EM28" s="5">
        <v>62.13</v>
      </c>
      <c r="EN28" s="5">
        <v>59.28</v>
      </c>
      <c r="EO28" s="5">
        <v>47.88</v>
      </c>
      <c r="EP28" s="5">
        <v>62.7</v>
      </c>
      <c r="EQ28" s="5">
        <v>82.08</v>
      </c>
      <c r="ER28" s="5">
        <v>84.36</v>
      </c>
      <c r="ES28" s="5">
        <v>86.64</v>
      </c>
      <c r="ET28" s="5">
        <v>88.92</v>
      </c>
      <c r="EU28" s="5">
        <v>88.92</v>
      </c>
      <c r="EV28" s="5">
        <v>93.48</v>
      </c>
      <c r="EW28" s="5">
        <v>87.21</v>
      </c>
      <c r="EX28" s="5">
        <v>91.2</v>
      </c>
      <c r="EY28" s="5">
        <v>86.07</v>
      </c>
      <c r="EZ28" s="5">
        <v>80.37</v>
      </c>
      <c r="FA28" s="5">
        <v>79.23</v>
      </c>
      <c r="FB28" s="5">
        <v>82.08</v>
      </c>
      <c r="FC28" s="5">
        <v>88.92</v>
      </c>
      <c r="FD28" s="5">
        <v>92.91</v>
      </c>
      <c r="FE28" s="5">
        <v>84.36</v>
      </c>
      <c r="FF28" s="5">
        <v>76.38</v>
      </c>
      <c r="FG28" s="5">
        <v>64.98</v>
      </c>
      <c r="FH28" s="5">
        <v>67.83</v>
      </c>
      <c r="FI28" s="5">
        <v>70.680000000000007</v>
      </c>
      <c r="FJ28" s="5">
        <v>58.14</v>
      </c>
      <c r="FK28" s="5">
        <v>90.06</v>
      </c>
      <c r="FL28" s="5">
        <v>87.21</v>
      </c>
      <c r="FM28" s="5">
        <v>74.099999999999994</v>
      </c>
      <c r="FN28" s="5">
        <v>84.36</v>
      </c>
      <c r="FO28" s="5">
        <v>82.65</v>
      </c>
      <c r="FP28" s="5">
        <v>77.52</v>
      </c>
      <c r="FQ28" s="5">
        <v>71.25</v>
      </c>
      <c r="FR28" s="5">
        <v>62.13</v>
      </c>
      <c r="FS28" s="5">
        <v>66.12</v>
      </c>
      <c r="FT28" s="5">
        <v>51.3</v>
      </c>
      <c r="FU28" s="5">
        <v>65.55</v>
      </c>
      <c r="FV28" s="5">
        <v>47.88</v>
      </c>
      <c r="FW28" s="5">
        <v>50.16</v>
      </c>
      <c r="FX28" s="5">
        <v>45.03</v>
      </c>
      <c r="FY28" s="5">
        <v>45.6</v>
      </c>
      <c r="FZ28" s="5">
        <v>46.17</v>
      </c>
      <c r="GA28" s="5">
        <v>42.18</v>
      </c>
      <c r="GB28" s="5">
        <v>51.87</v>
      </c>
      <c r="GC28" s="5">
        <v>50.16</v>
      </c>
      <c r="GD28" s="5">
        <v>55.29</v>
      </c>
      <c r="GE28" s="5">
        <v>49.59</v>
      </c>
      <c r="GF28" s="5">
        <v>45.6</v>
      </c>
      <c r="GG28" s="5">
        <v>50.16</v>
      </c>
      <c r="GH28" s="5">
        <v>53.58</v>
      </c>
      <c r="GI28" s="5">
        <v>47.31</v>
      </c>
      <c r="GJ28" s="5">
        <v>53.58</v>
      </c>
      <c r="GK28" s="5">
        <v>49.59</v>
      </c>
      <c r="GL28" s="5">
        <v>51.3</v>
      </c>
      <c r="GM28" s="5">
        <v>66.12</v>
      </c>
      <c r="GN28" s="5">
        <v>57.57</v>
      </c>
      <c r="GO28" s="5">
        <v>67.260000000000005</v>
      </c>
      <c r="GP28" s="5">
        <v>63.84</v>
      </c>
      <c r="GQ28" s="5">
        <v>64.41</v>
      </c>
      <c r="GR28" s="5">
        <v>63.84</v>
      </c>
      <c r="GS28" s="5">
        <v>63.27</v>
      </c>
      <c r="GT28" s="5">
        <v>71.819999999999993</v>
      </c>
      <c r="GU28" s="5">
        <v>69.540000000000006</v>
      </c>
      <c r="GV28" s="5">
        <v>66.69</v>
      </c>
      <c r="GW28" s="5">
        <v>62.7</v>
      </c>
      <c r="GX28" s="5">
        <v>60.42</v>
      </c>
      <c r="GY28" s="5">
        <v>60.99</v>
      </c>
      <c r="GZ28" s="5">
        <v>58.71</v>
      </c>
      <c r="HA28" s="5">
        <v>45.03</v>
      </c>
      <c r="HB28" s="5">
        <v>70.680000000000007</v>
      </c>
      <c r="HC28" s="5">
        <v>62.13</v>
      </c>
      <c r="HD28" s="5">
        <v>64.98</v>
      </c>
      <c r="HE28" s="5">
        <v>67.260000000000005</v>
      </c>
      <c r="HF28" s="5">
        <v>67.260000000000005</v>
      </c>
      <c r="HG28" s="5">
        <v>58.71</v>
      </c>
      <c r="HH28" s="5">
        <v>62.13</v>
      </c>
      <c r="HI28" s="5">
        <v>61.56</v>
      </c>
      <c r="HJ28" s="5">
        <v>63.27</v>
      </c>
      <c r="HK28" s="5">
        <v>64.41</v>
      </c>
      <c r="HL28" s="5">
        <v>66.12</v>
      </c>
      <c r="HM28" s="5">
        <v>68.400000000000006</v>
      </c>
      <c r="HN28" s="5">
        <v>62.13</v>
      </c>
      <c r="HO28" s="5">
        <v>62.13</v>
      </c>
      <c r="HP28" s="5">
        <v>52.44</v>
      </c>
      <c r="HQ28" s="5">
        <v>54.15</v>
      </c>
    </row>
    <row r="29" spans="1:225">
      <c r="A29" s="69">
        <v>27</v>
      </c>
      <c r="B29" s="13">
        <v>10</v>
      </c>
      <c r="C29" s="5">
        <v>9</v>
      </c>
      <c r="D29" s="5">
        <f t="shared" si="0"/>
        <v>90</v>
      </c>
      <c r="E29" s="75">
        <v>0</v>
      </c>
      <c r="F29" s="60">
        <f t="shared" si="1"/>
        <v>0</v>
      </c>
      <c r="G29" s="60">
        <f t="shared" si="2"/>
        <v>45</v>
      </c>
      <c r="H29" s="13">
        <v>10</v>
      </c>
      <c r="I29" s="5">
        <v>7</v>
      </c>
      <c r="J29" s="5">
        <f t="shared" si="3"/>
        <v>70</v>
      </c>
      <c r="K29" s="60">
        <v>0.95</v>
      </c>
      <c r="L29" s="60">
        <f t="shared" si="4"/>
        <v>13.571428571428571</v>
      </c>
      <c r="M29" s="60">
        <f t="shared" si="5"/>
        <v>41.785714285714285</v>
      </c>
      <c r="N29" s="75">
        <v>8421.6000000000022</v>
      </c>
      <c r="O29" s="5">
        <v>-66.476090549999995</v>
      </c>
      <c r="P29" s="5">
        <v>37.523909449999998</v>
      </c>
      <c r="Q29" s="5">
        <v>-70.913698000000011</v>
      </c>
      <c r="R29" s="5">
        <v>33.086302000000003</v>
      </c>
      <c r="T29" s="60">
        <v>1.47</v>
      </c>
      <c r="U29" s="60">
        <v>1.23</v>
      </c>
      <c r="V29" s="60">
        <v>1.73</v>
      </c>
      <c r="W29" s="60">
        <v>1.39</v>
      </c>
      <c r="X29" s="60">
        <v>1.03</v>
      </c>
      <c r="Y29" s="60">
        <v>0.96</v>
      </c>
      <c r="Z29" s="60">
        <v>1.06</v>
      </c>
      <c r="AA29" s="60">
        <v>1.01</v>
      </c>
      <c r="AB29" s="60">
        <v>1.05</v>
      </c>
      <c r="AC29" s="60">
        <v>1.05</v>
      </c>
      <c r="AD29" s="60">
        <v>1.19</v>
      </c>
      <c r="AE29" s="60">
        <v>1.01</v>
      </c>
      <c r="AF29" s="60">
        <v>1.37</v>
      </c>
      <c r="AG29" s="60">
        <v>1.05</v>
      </c>
      <c r="AH29" s="60">
        <v>1.32</v>
      </c>
      <c r="AI29" s="60">
        <v>0.98</v>
      </c>
      <c r="AJ29" s="60">
        <v>1.27</v>
      </c>
      <c r="AK29" s="60">
        <v>1.22</v>
      </c>
      <c r="AL29" s="60">
        <v>0.94</v>
      </c>
      <c r="AM29" s="60">
        <v>1.54</v>
      </c>
      <c r="AN29" s="60">
        <v>1.73</v>
      </c>
      <c r="AO29" s="60">
        <v>1.89</v>
      </c>
      <c r="AP29" s="60">
        <v>1.89</v>
      </c>
      <c r="AQ29" s="60">
        <v>1.87</v>
      </c>
      <c r="AR29" s="60">
        <v>1.8</v>
      </c>
      <c r="AS29" s="60">
        <v>1.89</v>
      </c>
      <c r="AT29" s="60">
        <v>1.87</v>
      </c>
      <c r="AU29" s="60">
        <v>1.9</v>
      </c>
      <c r="AV29" s="60">
        <v>2.06</v>
      </c>
      <c r="AW29" s="60">
        <v>1.58</v>
      </c>
      <c r="AX29" s="60">
        <v>1.85</v>
      </c>
      <c r="AY29" s="60">
        <v>1.87</v>
      </c>
      <c r="AZ29" s="60">
        <v>1.67</v>
      </c>
      <c r="BA29" s="60">
        <v>1.77</v>
      </c>
      <c r="BB29" s="60">
        <v>1.82</v>
      </c>
      <c r="BC29" s="60">
        <v>1.29</v>
      </c>
      <c r="BD29" s="60">
        <v>1.44</v>
      </c>
      <c r="BE29" s="60">
        <v>1.35</v>
      </c>
      <c r="BF29" s="60">
        <v>1.43</v>
      </c>
      <c r="BG29" s="60">
        <v>1.24</v>
      </c>
      <c r="BH29" s="60">
        <v>1.98</v>
      </c>
      <c r="BI29" s="60">
        <v>1.96</v>
      </c>
      <c r="BJ29" s="60">
        <v>2.0499999999999998</v>
      </c>
      <c r="BK29" s="60">
        <v>1.8</v>
      </c>
      <c r="BL29" s="60">
        <v>1.88</v>
      </c>
      <c r="BM29" s="60">
        <v>1.71</v>
      </c>
      <c r="BN29" s="60">
        <v>1.45</v>
      </c>
      <c r="BO29" s="60">
        <v>1.25</v>
      </c>
      <c r="BP29" s="60">
        <v>1.46</v>
      </c>
      <c r="BQ29" s="60">
        <v>1.25</v>
      </c>
      <c r="BR29" s="60">
        <v>1.44</v>
      </c>
      <c r="BS29" s="60">
        <v>1.1299999999999999</v>
      </c>
      <c r="BT29" s="60">
        <v>1.01</v>
      </c>
      <c r="BU29" s="60">
        <v>1.18</v>
      </c>
      <c r="BV29" s="60">
        <v>1.08</v>
      </c>
      <c r="BW29" s="60">
        <v>1.1299999999999999</v>
      </c>
      <c r="BX29" s="60">
        <v>1.06</v>
      </c>
      <c r="BY29" s="60">
        <v>1.1100000000000001</v>
      </c>
      <c r="BZ29" s="60">
        <v>1.17</v>
      </c>
      <c r="CA29" s="60">
        <v>1.1299999999999999</v>
      </c>
      <c r="CB29" s="60">
        <v>1.1100000000000001</v>
      </c>
      <c r="CC29" s="60">
        <v>1.1100000000000001</v>
      </c>
      <c r="CD29" s="60">
        <v>1.06</v>
      </c>
      <c r="CE29" s="60">
        <v>1.04</v>
      </c>
      <c r="CF29" s="60">
        <v>1.1000000000000001</v>
      </c>
      <c r="CG29" s="60">
        <v>1.1599999999999999</v>
      </c>
      <c r="CH29" s="60">
        <v>1.23</v>
      </c>
      <c r="CI29" s="60">
        <v>1.26</v>
      </c>
      <c r="CJ29" s="60">
        <v>1.36</v>
      </c>
      <c r="CK29" s="60">
        <v>1.28</v>
      </c>
      <c r="CL29" s="60">
        <v>1.1399999999999999</v>
      </c>
      <c r="CM29" s="60">
        <v>1.26</v>
      </c>
      <c r="CN29" s="60">
        <v>1.38</v>
      </c>
      <c r="CO29" s="60">
        <v>1.43</v>
      </c>
      <c r="CP29" s="60">
        <v>1.28</v>
      </c>
      <c r="CQ29" s="60">
        <v>1.18</v>
      </c>
      <c r="CR29" s="60">
        <v>1.34</v>
      </c>
      <c r="CS29" s="60">
        <v>1.28</v>
      </c>
      <c r="CT29" s="60">
        <v>1.28</v>
      </c>
      <c r="CU29" s="60">
        <v>1.2</v>
      </c>
      <c r="CV29" s="60">
        <v>1.25</v>
      </c>
      <c r="CW29" s="60">
        <v>1.27</v>
      </c>
      <c r="CX29" s="60">
        <v>1.1299999999999999</v>
      </c>
      <c r="CY29" s="60">
        <v>1.21</v>
      </c>
      <c r="CZ29" s="60">
        <v>1.46</v>
      </c>
      <c r="DA29" s="60">
        <v>1.41</v>
      </c>
      <c r="DB29" s="60">
        <v>1.36</v>
      </c>
      <c r="DC29" s="60">
        <v>1.4</v>
      </c>
      <c r="DD29" s="60">
        <v>1.1000000000000001</v>
      </c>
      <c r="DE29" s="60">
        <v>1.37</v>
      </c>
      <c r="DF29" s="60">
        <v>1.24</v>
      </c>
      <c r="DG29" s="60">
        <v>1.22</v>
      </c>
      <c r="DH29" s="60">
        <v>1.27</v>
      </c>
      <c r="DI29" s="60">
        <v>1.27</v>
      </c>
      <c r="DJ29" s="60">
        <v>1.31</v>
      </c>
      <c r="DK29" s="60">
        <v>1.39</v>
      </c>
      <c r="DL29" s="60">
        <v>1.32</v>
      </c>
      <c r="DM29" s="60">
        <v>1.22</v>
      </c>
      <c r="DN29" s="60">
        <v>1.1599999999999999</v>
      </c>
      <c r="DP29" s="5" t="s">
        <v>544</v>
      </c>
      <c r="DQ29" s="5">
        <v>500</v>
      </c>
      <c r="DR29" s="73">
        <v>0</v>
      </c>
      <c r="DS29" s="75">
        <v>10</v>
      </c>
      <c r="DU29" s="5">
        <v>61.41</v>
      </c>
      <c r="DV29" s="5">
        <v>104.31</v>
      </c>
      <c r="DW29" s="5">
        <v>89.49</v>
      </c>
      <c r="DX29" s="5">
        <v>75.81</v>
      </c>
      <c r="DY29" s="5">
        <v>104.31</v>
      </c>
      <c r="DZ29" s="5">
        <v>84.93</v>
      </c>
      <c r="EA29" s="5">
        <v>64.41</v>
      </c>
      <c r="EB29" s="5">
        <v>60.42</v>
      </c>
      <c r="EC29" s="5">
        <v>66.12</v>
      </c>
      <c r="ED29" s="5">
        <v>63.27</v>
      </c>
      <c r="EE29" s="5">
        <v>65.55</v>
      </c>
      <c r="EF29" s="5">
        <v>65.55</v>
      </c>
      <c r="EG29" s="5">
        <v>73.53</v>
      </c>
      <c r="EH29" s="5">
        <v>63.27</v>
      </c>
      <c r="EI29" s="5">
        <v>83.79</v>
      </c>
      <c r="EJ29" s="5">
        <v>65.55</v>
      </c>
      <c r="EK29" s="5">
        <v>80.94</v>
      </c>
      <c r="EL29" s="5">
        <v>60.99</v>
      </c>
      <c r="EM29" s="5">
        <v>78.09</v>
      </c>
      <c r="EN29" s="5">
        <v>74.67</v>
      </c>
      <c r="EO29" s="5">
        <v>58.71</v>
      </c>
      <c r="EP29" s="5">
        <v>93.48</v>
      </c>
      <c r="EQ29" s="5">
        <v>104.31</v>
      </c>
      <c r="ER29" s="5">
        <v>113.43</v>
      </c>
      <c r="ES29" s="5">
        <v>113.43</v>
      </c>
      <c r="ET29" s="5">
        <v>112.29</v>
      </c>
      <c r="EU29" s="5">
        <v>108.3</v>
      </c>
      <c r="EV29" s="5">
        <v>113.43</v>
      </c>
      <c r="EW29" s="5">
        <v>112.29</v>
      </c>
      <c r="EX29" s="5">
        <v>114</v>
      </c>
      <c r="EY29" s="5">
        <v>123.12</v>
      </c>
      <c r="EZ29" s="5">
        <v>95.19</v>
      </c>
      <c r="FA29" s="5">
        <v>111.15</v>
      </c>
      <c r="FB29" s="5">
        <v>112.29</v>
      </c>
      <c r="FC29" s="5">
        <v>100.32</v>
      </c>
      <c r="FD29" s="5">
        <v>106.59</v>
      </c>
      <c r="FE29" s="5">
        <v>109.44</v>
      </c>
      <c r="FF29" s="5">
        <v>78.09</v>
      </c>
      <c r="FG29" s="5">
        <v>87.21</v>
      </c>
      <c r="FH29" s="5">
        <v>82.65</v>
      </c>
      <c r="FI29" s="5">
        <v>87.21</v>
      </c>
      <c r="FJ29" s="5">
        <v>76.38</v>
      </c>
      <c r="FK29" s="5">
        <v>118.56</v>
      </c>
      <c r="FL29" s="5">
        <v>117.42</v>
      </c>
      <c r="FM29" s="5">
        <v>122.55</v>
      </c>
      <c r="FN29" s="5">
        <v>108.3</v>
      </c>
      <c r="FO29" s="5">
        <v>112.86</v>
      </c>
      <c r="FP29" s="5">
        <v>103.17</v>
      </c>
      <c r="FQ29" s="5">
        <v>88.35</v>
      </c>
      <c r="FR29" s="5">
        <v>76.38</v>
      </c>
      <c r="FS29" s="5">
        <v>88.92</v>
      </c>
      <c r="FT29" s="5">
        <v>76.95</v>
      </c>
      <c r="FU29" s="5">
        <v>87.78</v>
      </c>
      <c r="FV29" s="5">
        <v>70.11</v>
      </c>
      <c r="FW29" s="5">
        <v>62.7</v>
      </c>
      <c r="FX29" s="5">
        <v>72.959999999999994</v>
      </c>
      <c r="FY29" s="5">
        <v>67.260000000000005</v>
      </c>
      <c r="FZ29" s="5">
        <v>70.11</v>
      </c>
      <c r="GA29" s="5">
        <v>66.12</v>
      </c>
      <c r="GB29" s="5">
        <v>68.97</v>
      </c>
      <c r="GC29" s="5">
        <v>72.39</v>
      </c>
      <c r="GD29" s="5">
        <v>70.11</v>
      </c>
      <c r="GE29" s="5">
        <v>68.97</v>
      </c>
      <c r="GF29" s="5">
        <v>68.97</v>
      </c>
      <c r="GG29" s="5">
        <v>66.12</v>
      </c>
      <c r="GH29" s="5">
        <v>64.98</v>
      </c>
      <c r="GI29" s="5">
        <v>68.400000000000006</v>
      </c>
      <c r="GJ29" s="5">
        <v>71.819999999999993</v>
      </c>
      <c r="GK29" s="5">
        <v>75.81</v>
      </c>
      <c r="GL29" s="5">
        <v>77.52</v>
      </c>
      <c r="GM29" s="5">
        <v>83.22</v>
      </c>
      <c r="GN29" s="5">
        <v>78.66</v>
      </c>
      <c r="GO29" s="5">
        <v>70.11</v>
      </c>
      <c r="GP29" s="5">
        <v>77.52</v>
      </c>
      <c r="GQ29" s="5">
        <v>84.36</v>
      </c>
      <c r="GR29" s="5">
        <v>86.64</v>
      </c>
      <c r="GS29" s="5">
        <v>78.09</v>
      </c>
      <c r="GT29" s="5">
        <v>72.39</v>
      </c>
      <c r="GU29" s="5">
        <v>82.08</v>
      </c>
      <c r="GV29" s="5">
        <v>78.09</v>
      </c>
      <c r="GW29" s="5">
        <v>78.66</v>
      </c>
      <c r="GX29" s="5">
        <v>74.099999999999994</v>
      </c>
      <c r="GY29" s="5">
        <v>76.38</v>
      </c>
      <c r="GZ29" s="5">
        <v>78.09</v>
      </c>
      <c r="HA29" s="5">
        <v>70.11</v>
      </c>
      <c r="HB29" s="5">
        <v>74.099999999999994</v>
      </c>
      <c r="HC29" s="5">
        <v>88.92</v>
      </c>
      <c r="HD29" s="5">
        <v>85.5</v>
      </c>
      <c r="HE29" s="5">
        <v>83.22</v>
      </c>
      <c r="HF29" s="5">
        <v>85.5</v>
      </c>
      <c r="HG29" s="5">
        <v>67.83</v>
      </c>
      <c r="HH29" s="5">
        <v>83.22</v>
      </c>
      <c r="HI29" s="5">
        <v>76.38</v>
      </c>
      <c r="HJ29" s="5">
        <v>75.239999999999995</v>
      </c>
      <c r="HK29" s="5">
        <v>78.09</v>
      </c>
      <c r="HL29" s="5">
        <v>78.09</v>
      </c>
      <c r="HM29" s="5">
        <v>80.37</v>
      </c>
      <c r="HN29" s="5">
        <v>84.93</v>
      </c>
      <c r="HO29" s="5">
        <v>80.94</v>
      </c>
      <c r="HP29" s="5">
        <v>75.239999999999995</v>
      </c>
      <c r="HQ29" s="5">
        <v>71.25</v>
      </c>
    </row>
    <row r="30" spans="1:225">
      <c r="A30" s="69">
        <v>28</v>
      </c>
      <c r="B30" s="13">
        <v>10</v>
      </c>
      <c r="C30" s="5">
        <v>6</v>
      </c>
      <c r="D30" s="5">
        <f t="shared" si="0"/>
        <v>60</v>
      </c>
      <c r="E30" s="5">
        <v>1</v>
      </c>
      <c r="F30" s="60">
        <f t="shared" si="1"/>
        <v>16.666666666666664</v>
      </c>
      <c r="G30" s="60">
        <f t="shared" si="2"/>
        <v>38.333333333333329</v>
      </c>
      <c r="H30" s="13">
        <v>10</v>
      </c>
      <c r="I30" s="5">
        <v>10</v>
      </c>
      <c r="J30" s="5">
        <f t="shared" si="3"/>
        <v>100</v>
      </c>
      <c r="K30" s="60">
        <v>0.98</v>
      </c>
      <c r="L30" s="60">
        <f t="shared" si="4"/>
        <v>9.8000000000000007</v>
      </c>
      <c r="M30" s="60">
        <f t="shared" si="5"/>
        <v>54.9</v>
      </c>
      <c r="N30" s="75">
        <v>7987.83</v>
      </c>
      <c r="O30" s="5">
        <v>-67.55151794999999</v>
      </c>
      <c r="P30" s="5">
        <v>36.44848205000001</v>
      </c>
      <c r="Q30" s="5">
        <v>-65.938013199999986</v>
      </c>
      <c r="R30" s="5">
        <v>38.061986799999993</v>
      </c>
      <c r="T30" s="60">
        <v>1.33</v>
      </c>
      <c r="U30" s="60">
        <v>1.41</v>
      </c>
      <c r="V30" s="60">
        <v>1.73</v>
      </c>
      <c r="W30" s="60">
        <v>1.36</v>
      </c>
      <c r="X30" s="60">
        <v>1.17</v>
      </c>
      <c r="Y30" s="60">
        <v>1.02</v>
      </c>
      <c r="Z30" s="60">
        <v>1.17</v>
      </c>
      <c r="AA30" s="60">
        <v>1.03</v>
      </c>
      <c r="AB30" s="60">
        <v>1.1000000000000001</v>
      </c>
      <c r="AC30" s="60">
        <v>0.94</v>
      </c>
      <c r="AD30" s="60">
        <v>1.01</v>
      </c>
      <c r="AE30" s="60">
        <v>0.97</v>
      </c>
      <c r="AF30" s="60">
        <v>1.27</v>
      </c>
      <c r="AG30" s="60">
        <v>0.95</v>
      </c>
      <c r="AH30" s="60">
        <v>1.29</v>
      </c>
      <c r="AI30" s="60">
        <v>1.1599999999999999</v>
      </c>
      <c r="AJ30" s="60">
        <v>1.1499999999999999</v>
      </c>
      <c r="AK30" s="60">
        <v>0.85</v>
      </c>
      <c r="AL30" s="60">
        <v>1.02</v>
      </c>
      <c r="AM30" s="60">
        <v>1.29</v>
      </c>
      <c r="AN30" s="60">
        <v>1.69</v>
      </c>
      <c r="AO30" s="60">
        <v>1.61</v>
      </c>
      <c r="AP30" s="60">
        <v>1.65</v>
      </c>
      <c r="AQ30" s="60">
        <v>1.69</v>
      </c>
      <c r="AR30" s="60">
        <v>1.64</v>
      </c>
      <c r="AS30" s="60">
        <v>1.81</v>
      </c>
      <c r="AT30" s="60">
        <v>1.75</v>
      </c>
      <c r="AU30" s="60">
        <v>1.73</v>
      </c>
      <c r="AV30" s="60">
        <v>1.69</v>
      </c>
      <c r="AW30" s="60">
        <v>1.7</v>
      </c>
      <c r="AX30" s="60">
        <v>1.71</v>
      </c>
      <c r="AY30" s="60">
        <v>1.81</v>
      </c>
      <c r="AZ30" s="60">
        <v>1.67</v>
      </c>
      <c r="BA30" s="60">
        <v>1.81</v>
      </c>
      <c r="BB30" s="60">
        <v>1.69</v>
      </c>
      <c r="BC30" s="60">
        <v>1.69</v>
      </c>
      <c r="BD30" s="60">
        <v>1.59</v>
      </c>
      <c r="BE30" s="60">
        <v>1.17</v>
      </c>
      <c r="BF30" s="60">
        <v>1.2</v>
      </c>
      <c r="BG30" s="60">
        <v>1.03</v>
      </c>
      <c r="BH30" s="60">
        <v>1.76</v>
      </c>
      <c r="BI30" s="60">
        <v>1.75</v>
      </c>
      <c r="BJ30" s="60">
        <v>1.66</v>
      </c>
      <c r="BK30" s="60">
        <v>1.57</v>
      </c>
      <c r="BL30" s="60">
        <v>1.7</v>
      </c>
      <c r="BM30" s="60">
        <v>1.29</v>
      </c>
      <c r="BN30" s="60">
        <v>1.62</v>
      </c>
      <c r="BO30" s="60">
        <v>1.28</v>
      </c>
      <c r="BP30" s="60">
        <v>1.42</v>
      </c>
      <c r="BQ30" s="60">
        <v>1.1000000000000001</v>
      </c>
      <c r="BR30" s="60">
        <v>1.21</v>
      </c>
      <c r="BS30" s="60">
        <v>1.04</v>
      </c>
      <c r="BT30" s="60">
        <v>1.02</v>
      </c>
      <c r="BU30" s="60">
        <v>1.03</v>
      </c>
      <c r="BV30" s="60">
        <v>1.06</v>
      </c>
      <c r="BW30" s="60">
        <v>1.01</v>
      </c>
      <c r="BX30" s="60">
        <v>0.99</v>
      </c>
      <c r="BY30" s="60">
        <v>1.08</v>
      </c>
      <c r="BZ30" s="60">
        <v>1.02</v>
      </c>
      <c r="CA30" s="60">
        <v>1.05</v>
      </c>
      <c r="CB30" s="60">
        <v>1.0900000000000001</v>
      </c>
      <c r="CC30" s="60">
        <v>1.08</v>
      </c>
      <c r="CD30" s="60">
        <v>1.1299999999999999</v>
      </c>
      <c r="CE30" s="60">
        <v>1.1000000000000001</v>
      </c>
      <c r="CF30" s="60">
        <v>1.08</v>
      </c>
      <c r="CG30" s="60">
        <v>1.1399999999999999</v>
      </c>
      <c r="CH30" s="60">
        <v>1.1299999999999999</v>
      </c>
      <c r="CI30" s="60">
        <v>1.1200000000000001</v>
      </c>
      <c r="CJ30" s="60">
        <v>1.22</v>
      </c>
      <c r="CK30" s="60">
        <v>1.32</v>
      </c>
      <c r="CL30" s="60">
        <v>1.36</v>
      </c>
      <c r="CM30" s="60">
        <v>1.32</v>
      </c>
      <c r="CN30" s="60">
        <v>1.1100000000000001</v>
      </c>
      <c r="CO30" s="60">
        <v>1.31</v>
      </c>
      <c r="CP30" s="60">
        <v>1.34</v>
      </c>
      <c r="CQ30" s="60">
        <v>1.42</v>
      </c>
      <c r="CR30" s="60">
        <v>1.33</v>
      </c>
      <c r="CS30" s="60">
        <v>1.3</v>
      </c>
      <c r="CT30" s="60">
        <v>1.23</v>
      </c>
      <c r="CU30" s="60">
        <v>1.26</v>
      </c>
      <c r="CV30" s="60">
        <v>1.17</v>
      </c>
      <c r="CW30" s="60">
        <v>1.22</v>
      </c>
      <c r="CX30" s="60">
        <v>0.97</v>
      </c>
      <c r="CY30" s="60">
        <v>1.1399999999999999</v>
      </c>
      <c r="CZ30" s="60">
        <v>1.27</v>
      </c>
      <c r="DA30" s="60">
        <v>1.28</v>
      </c>
      <c r="DB30" s="60">
        <v>1.19</v>
      </c>
      <c r="DC30" s="60">
        <v>1.29</v>
      </c>
      <c r="DD30" s="60">
        <v>0.97</v>
      </c>
      <c r="DE30" s="60">
        <v>1.24</v>
      </c>
      <c r="DF30" s="60">
        <v>1.1299999999999999</v>
      </c>
      <c r="DG30" s="60">
        <v>1.21</v>
      </c>
      <c r="DH30" s="60">
        <v>1.1299999999999999</v>
      </c>
      <c r="DI30" s="60">
        <v>1.1100000000000001</v>
      </c>
      <c r="DJ30" s="60">
        <v>1.36</v>
      </c>
      <c r="DK30" s="60">
        <v>1.1100000000000001</v>
      </c>
      <c r="DL30" s="60">
        <v>0.92</v>
      </c>
      <c r="DM30" s="60">
        <v>1.21</v>
      </c>
      <c r="DN30" s="60">
        <v>0.89</v>
      </c>
      <c r="DP30" s="5" t="s">
        <v>545</v>
      </c>
      <c r="DQ30" s="5">
        <v>500</v>
      </c>
      <c r="DR30" s="73">
        <v>8.2627999999999993E-2</v>
      </c>
      <c r="DS30" s="5">
        <v>9</v>
      </c>
      <c r="DU30" s="5">
        <v>63.12</v>
      </c>
      <c r="DV30" s="5">
        <v>108.87</v>
      </c>
      <c r="DW30" s="5">
        <v>81.510000000000005</v>
      </c>
      <c r="DX30" s="5">
        <v>86.07</v>
      </c>
      <c r="DY30" s="5">
        <v>104.31</v>
      </c>
      <c r="DZ30" s="5">
        <v>83.22</v>
      </c>
      <c r="EA30" s="5">
        <v>72.39</v>
      </c>
      <c r="EB30" s="5">
        <v>63.84</v>
      </c>
      <c r="EC30" s="5">
        <v>72.39</v>
      </c>
      <c r="ED30" s="5">
        <v>64.41</v>
      </c>
      <c r="EE30" s="5">
        <v>68.400000000000006</v>
      </c>
      <c r="EF30" s="5">
        <v>59.28</v>
      </c>
      <c r="EG30" s="5">
        <v>63.27</v>
      </c>
      <c r="EH30" s="5">
        <v>60.99</v>
      </c>
      <c r="EI30" s="5">
        <v>78.09</v>
      </c>
      <c r="EJ30" s="5">
        <v>59.85</v>
      </c>
      <c r="EK30" s="5">
        <v>79.23</v>
      </c>
      <c r="EL30" s="5">
        <v>71.819999999999993</v>
      </c>
      <c r="EM30" s="5">
        <v>70.680000000000007</v>
      </c>
      <c r="EN30" s="5">
        <v>53.58</v>
      </c>
      <c r="EO30" s="5">
        <v>63.84</v>
      </c>
      <c r="EP30" s="5">
        <v>78.66</v>
      </c>
      <c r="EQ30" s="5">
        <v>102.03</v>
      </c>
      <c r="ER30" s="5">
        <v>96.9</v>
      </c>
      <c r="ES30" s="5">
        <v>99.75</v>
      </c>
      <c r="ET30" s="5">
        <v>102.03</v>
      </c>
      <c r="EU30" s="5">
        <v>99.18</v>
      </c>
      <c r="EV30" s="5">
        <v>108.87</v>
      </c>
      <c r="EW30" s="5">
        <v>105.45</v>
      </c>
      <c r="EX30" s="5">
        <v>104.31</v>
      </c>
      <c r="EY30" s="5">
        <v>102.03</v>
      </c>
      <c r="EZ30" s="5">
        <v>102.6</v>
      </c>
      <c r="FA30" s="5">
        <v>103.17</v>
      </c>
      <c r="FB30" s="5">
        <v>108.87</v>
      </c>
      <c r="FC30" s="5">
        <v>100.32</v>
      </c>
      <c r="FD30" s="5">
        <v>108.87</v>
      </c>
      <c r="FE30" s="5">
        <v>102.03</v>
      </c>
      <c r="FF30" s="5">
        <v>102.03</v>
      </c>
      <c r="FG30" s="5">
        <v>96.33</v>
      </c>
      <c r="FH30" s="5">
        <v>71.819999999999993</v>
      </c>
      <c r="FI30" s="5">
        <v>73.53</v>
      </c>
      <c r="FJ30" s="5">
        <v>63.84</v>
      </c>
      <c r="FK30" s="5">
        <v>106.02</v>
      </c>
      <c r="FL30" s="5">
        <v>105.45</v>
      </c>
      <c r="FM30" s="5">
        <v>100.32</v>
      </c>
      <c r="FN30" s="5">
        <v>95.19</v>
      </c>
      <c r="FO30" s="5">
        <v>102.6</v>
      </c>
      <c r="FP30" s="5">
        <v>78.66</v>
      </c>
      <c r="FQ30" s="5">
        <v>98.04</v>
      </c>
      <c r="FR30" s="5">
        <v>78.09</v>
      </c>
      <c r="FS30" s="5">
        <v>86.64</v>
      </c>
      <c r="FT30" s="5">
        <v>68.400000000000006</v>
      </c>
      <c r="FU30" s="5">
        <v>74.67</v>
      </c>
      <c r="FV30" s="5">
        <v>64.98</v>
      </c>
      <c r="FW30" s="5">
        <v>63.84</v>
      </c>
      <c r="FX30" s="5">
        <v>64.41</v>
      </c>
      <c r="FY30" s="5">
        <v>66.12</v>
      </c>
      <c r="FZ30" s="5">
        <v>63.27</v>
      </c>
      <c r="GA30" s="5">
        <v>62.13</v>
      </c>
      <c r="GB30" s="5">
        <v>67.260000000000005</v>
      </c>
      <c r="GC30" s="5">
        <v>63.84</v>
      </c>
      <c r="GD30" s="5">
        <v>65.55</v>
      </c>
      <c r="GE30" s="5">
        <v>67.83</v>
      </c>
      <c r="GF30" s="5">
        <v>67.260000000000005</v>
      </c>
      <c r="GG30" s="5">
        <v>70.11</v>
      </c>
      <c r="GH30" s="5">
        <v>68.400000000000006</v>
      </c>
      <c r="GI30" s="5">
        <v>67.260000000000005</v>
      </c>
      <c r="GJ30" s="5">
        <v>70.680000000000007</v>
      </c>
      <c r="GK30" s="5">
        <v>70.11</v>
      </c>
      <c r="GL30" s="5">
        <v>69.540000000000006</v>
      </c>
      <c r="GM30" s="5">
        <v>75.239999999999995</v>
      </c>
      <c r="GN30" s="5">
        <v>80.94</v>
      </c>
      <c r="GO30" s="5">
        <v>83.22</v>
      </c>
      <c r="GP30" s="5">
        <v>80.94</v>
      </c>
      <c r="GQ30" s="5">
        <v>68.400000000000006</v>
      </c>
      <c r="GR30" s="5">
        <v>80.37</v>
      </c>
      <c r="GS30" s="5">
        <v>82.08</v>
      </c>
      <c r="GT30" s="5">
        <v>86.64</v>
      </c>
      <c r="GU30" s="5">
        <v>81.510000000000005</v>
      </c>
      <c r="GV30" s="5">
        <v>79.8</v>
      </c>
      <c r="GW30" s="5">
        <v>75.81</v>
      </c>
      <c r="GX30" s="5">
        <v>77.52</v>
      </c>
      <c r="GY30" s="5">
        <v>72.39</v>
      </c>
      <c r="GZ30" s="5">
        <v>75.239999999999995</v>
      </c>
      <c r="HA30" s="5">
        <v>60.42</v>
      </c>
      <c r="HB30" s="5">
        <v>69.540000000000006</v>
      </c>
      <c r="HC30" s="5">
        <v>78.09</v>
      </c>
      <c r="HD30" s="5">
        <v>78.66</v>
      </c>
      <c r="HE30" s="5">
        <v>72.959999999999994</v>
      </c>
      <c r="HF30" s="5">
        <v>79.23</v>
      </c>
      <c r="HG30" s="5">
        <v>60.42</v>
      </c>
      <c r="HH30" s="5">
        <v>76.38</v>
      </c>
      <c r="HI30" s="5">
        <v>70.11</v>
      </c>
      <c r="HJ30" s="5">
        <v>74.67</v>
      </c>
      <c r="HK30" s="5">
        <v>70.11</v>
      </c>
      <c r="HL30" s="5">
        <v>68.97</v>
      </c>
      <c r="HM30" s="5">
        <v>83.22</v>
      </c>
      <c r="HN30" s="5">
        <v>68.400000000000006</v>
      </c>
      <c r="HO30" s="5">
        <v>57.57</v>
      </c>
      <c r="HP30" s="5">
        <v>74.67</v>
      </c>
      <c r="HQ30" s="5">
        <v>55.86</v>
      </c>
    </row>
    <row r="31" spans="1:225">
      <c r="A31" s="69">
        <v>29</v>
      </c>
      <c r="B31" s="13">
        <v>10</v>
      </c>
      <c r="C31" s="5">
        <v>10</v>
      </c>
      <c r="D31" s="5">
        <f t="shared" si="0"/>
        <v>100</v>
      </c>
      <c r="E31" s="5">
        <v>1</v>
      </c>
      <c r="F31" s="60">
        <f t="shared" si="1"/>
        <v>10</v>
      </c>
      <c r="G31" s="60">
        <f t="shared" si="2"/>
        <v>55</v>
      </c>
      <c r="H31" s="13">
        <v>10</v>
      </c>
      <c r="I31" s="5">
        <v>5</v>
      </c>
      <c r="J31" s="5">
        <f t="shared" si="3"/>
        <v>50</v>
      </c>
      <c r="K31" s="60">
        <v>0.89</v>
      </c>
      <c r="L31" s="60">
        <f t="shared" si="4"/>
        <v>17.8</v>
      </c>
      <c r="M31" s="60">
        <f t="shared" si="5"/>
        <v>33.9</v>
      </c>
      <c r="N31" s="75">
        <v>7994.1000000000031</v>
      </c>
      <c r="O31" s="5">
        <v>-68.048958549999995</v>
      </c>
      <c r="P31" s="5">
        <v>35.951041450000005</v>
      </c>
      <c r="Q31" s="5">
        <v>-68.241884999999996</v>
      </c>
      <c r="R31" s="5">
        <v>35.758115000000004</v>
      </c>
      <c r="T31" s="60">
        <v>1.53</v>
      </c>
      <c r="U31" s="60">
        <v>1.32</v>
      </c>
      <c r="V31" s="60">
        <v>1.83</v>
      </c>
      <c r="W31" s="60">
        <v>1.34</v>
      </c>
      <c r="X31" s="60">
        <v>1.04</v>
      </c>
      <c r="Y31" s="60">
        <v>1.03</v>
      </c>
      <c r="Z31" s="60">
        <v>1.05</v>
      </c>
      <c r="AA31" s="60">
        <v>1</v>
      </c>
      <c r="AB31" s="60">
        <v>0.98</v>
      </c>
      <c r="AC31" s="60">
        <v>0.88</v>
      </c>
      <c r="AD31" s="60">
        <v>0.97</v>
      </c>
      <c r="AE31" s="60">
        <v>1.03</v>
      </c>
      <c r="AF31" s="60">
        <v>1.03</v>
      </c>
      <c r="AG31" s="60">
        <v>0.85</v>
      </c>
      <c r="AH31" s="60">
        <v>1.28</v>
      </c>
      <c r="AI31" s="60">
        <v>1</v>
      </c>
      <c r="AJ31" s="60">
        <v>1.31</v>
      </c>
      <c r="AK31" s="60">
        <v>1.1499999999999999</v>
      </c>
      <c r="AL31" s="60">
        <v>1.02</v>
      </c>
      <c r="AM31" s="60">
        <v>1.78</v>
      </c>
      <c r="AN31" s="60">
        <v>1.77</v>
      </c>
      <c r="AO31" s="60">
        <v>1.82</v>
      </c>
      <c r="AP31" s="60">
        <v>1.88</v>
      </c>
      <c r="AQ31" s="60">
        <v>1.79</v>
      </c>
      <c r="AR31" s="60">
        <v>1.88</v>
      </c>
      <c r="AS31" s="60">
        <v>1.91</v>
      </c>
      <c r="AT31" s="60">
        <v>1.62</v>
      </c>
      <c r="AU31" s="60">
        <v>1.96</v>
      </c>
      <c r="AV31" s="60">
        <v>1.68</v>
      </c>
      <c r="AW31" s="60">
        <v>1.71</v>
      </c>
      <c r="AX31" s="60">
        <v>1.76</v>
      </c>
      <c r="AY31" s="60">
        <v>1.89</v>
      </c>
      <c r="AZ31" s="60">
        <v>1.94</v>
      </c>
      <c r="BA31" s="60">
        <v>1.89</v>
      </c>
      <c r="BB31" s="60">
        <v>1.73</v>
      </c>
      <c r="BC31" s="60">
        <v>1.51</v>
      </c>
      <c r="BD31" s="60">
        <v>1.48</v>
      </c>
      <c r="BE31" s="60">
        <v>1.38</v>
      </c>
      <c r="BF31" s="60">
        <v>1.05</v>
      </c>
      <c r="BG31" s="60">
        <v>1.01</v>
      </c>
      <c r="BH31" s="60">
        <v>1.77</v>
      </c>
      <c r="BI31" s="60">
        <v>1.71</v>
      </c>
      <c r="BJ31" s="60">
        <v>1.78</v>
      </c>
      <c r="BK31" s="60">
        <v>1.7</v>
      </c>
      <c r="BL31" s="60">
        <v>1.64</v>
      </c>
      <c r="BM31" s="60">
        <v>1.37</v>
      </c>
      <c r="BN31" s="60">
        <v>1.32</v>
      </c>
      <c r="BO31" s="60">
        <v>1.35</v>
      </c>
      <c r="BP31" s="60">
        <v>1.25</v>
      </c>
      <c r="BQ31" s="60">
        <v>1.05</v>
      </c>
      <c r="BR31" s="60">
        <v>1.19</v>
      </c>
      <c r="BS31" s="60">
        <v>0.9</v>
      </c>
      <c r="BT31" s="60">
        <v>0.99</v>
      </c>
      <c r="BU31" s="60">
        <v>0.9</v>
      </c>
      <c r="BV31" s="60">
        <v>1.08</v>
      </c>
      <c r="BW31" s="60">
        <v>1.03</v>
      </c>
      <c r="BX31" s="60">
        <v>0.93</v>
      </c>
      <c r="BY31" s="60">
        <v>1.08</v>
      </c>
      <c r="BZ31" s="60">
        <v>0.93</v>
      </c>
      <c r="CA31" s="60">
        <v>1.06</v>
      </c>
      <c r="CB31" s="60">
        <v>1.02</v>
      </c>
      <c r="CC31" s="60">
        <v>1.01</v>
      </c>
      <c r="CD31" s="60">
        <v>1.18</v>
      </c>
      <c r="CE31" s="60">
        <v>1.07</v>
      </c>
      <c r="CF31" s="60">
        <v>1.1200000000000001</v>
      </c>
      <c r="CG31" s="60">
        <v>0.99</v>
      </c>
      <c r="CH31" s="60">
        <v>1.23</v>
      </c>
      <c r="CI31" s="60">
        <v>1.17</v>
      </c>
      <c r="CJ31" s="60">
        <v>1.4</v>
      </c>
      <c r="CK31" s="60">
        <v>1.27</v>
      </c>
      <c r="CL31" s="60">
        <v>1.3</v>
      </c>
      <c r="CM31" s="60">
        <v>1.28</v>
      </c>
      <c r="CN31" s="60">
        <v>1.17</v>
      </c>
      <c r="CO31" s="60">
        <v>1.21</v>
      </c>
      <c r="CP31" s="60">
        <v>1.18</v>
      </c>
      <c r="CQ31" s="60">
        <v>1.18</v>
      </c>
      <c r="CR31" s="60">
        <v>1.08</v>
      </c>
      <c r="CS31" s="60">
        <v>1.27</v>
      </c>
      <c r="CT31" s="60">
        <v>1.1599999999999999</v>
      </c>
      <c r="CU31" s="60">
        <v>1.1200000000000001</v>
      </c>
      <c r="CV31" s="60">
        <v>1.1599999999999999</v>
      </c>
      <c r="CW31" s="60">
        <v>1.24</v>
      </c>
      <c r="CX31" s="60">
        <v>0.96</v>
      </c>
      <c r="CY31" s="60">
        <v>1.42</v>
      </c>
      <c r="CZ31" s="60">
        <v>1.26</v>
      </c>
      <c r="DA31" s="60">
        <v>1.08</v>
      </c>
      <c r="DB31" s="60">
        <v>1.25</v>
      </c>
      <c r="DC31" s="60">
        <v>1.36</v>
      </c>
      <c r="DD31" s="60">
        <v>0.99</v>
      </c>
      <c r="DE31" s="60">
        <v>1.17</v>
      </c>
      <c r="DF31" s="60">
        <v>1.1299999999999999</v>
      </c>
      <c r="DG31" s="60">
        <v>1.17</v>
      </c>
      <c r="DH31" s="60">
        <v>1.1200000000000001</v>
      </c>
      <c r="DI31" s="60">
        <v>1.1499999999999999</v>
      </c>
      <c r="DJ31" s="60">
        <v>1.29</v>
      </c>
      <c r="DK31" s="60">
        <v>1.21</v>
      </c>
      <c r="DL31" s="60">
        <v>1.0900000000000001</v>
      </c>
      <c r="DM31" s="60">
        <v>1.08</v>
      </c>
      <c r="DN31" s="60">
        <v>0.94</v>
      </c>
      <c r="DP31" s="5" t="s">
        <v>546</v>
      </c>
      <c r="DQ31" s="5">
        <v>500</v>
      </c>
      <c r="DR31" s="73">
        <v>8.7825E-2</v>
      </c>
      <c r="DS31" s="5">
        <v>9</v>
      </c>
      <c r="DU31" s="5">
        <v>57.99</v>
      </c>
      <c r="DV31" s="5">
        <v>111.72</v>
      </c>
      <c r="DW31" s="5">
        <v>92.91</v>
      </c>
      <c r="DX31" s="5">
        <v>80.94</v>
      </c>
      <c r="DY31" s="5">
        <v>110.01</v>
      </c>
      <c r="DZ31" s="5">
        <v>82.08</v>
      </c>
      <c r="EA31" s="5">
        <v>64.98</v>
      </c>
      <c r="EB31" s="5">
        <v>64.41</v>
      </c>
      <c r="EC31" s="5">
        <v>65.55</v>
      </c>
      <c r="ED31" s="5">
        <v>62.7</v>
      </c>
      <c r="EE31" s="5">
        <v>61.56</v>
      </c>
      <c r="EF31" s="5">
        <v>55.86</v>
      </c>
      <c r="EG31" s="5">
        <v>60.99</v>
      </c>
      <c r="EH31" s="5">
        <v>64.41</v>
      </c>
      <c r="EI31" s="5">
        <v>63.84</v>
      </c>
      <c r="EJ31" s="5">
        <v>54.15</v>
      </c>
      <c r="EK31" s="5">
        <v>78.66</v>
      </c>
      <c r="EL31" s="5">
        <v>62.13</v>
      </c>
      <c r="EM31" s="5">
        <v>80.37</v>
      </c>
      <c r="EN31" s="5">
        <v>71.25</v>
      </c>
      <c r="EO31" s="5">
        <v>63.84</v>
      </c>
      <c r="EP31" s="5">
        <v>107.16</v>
      </c>
      <c r="EQ31" s="5">
        <v>106.59</v>
      </c>
      <c r="ER31" s="5">
        <v>109.44</v>
      </c>
      <c r="ES31" s="5">
        <v>112.86</v>
      </c>
      <c r="ET31" s="5">
        <v>107.73</v>
      </c>
      <c r="EU31" s="5">
        <v>112.86</v>
      </c>
      <c r="EV31" s="5">
        <v>114.57</v>
      </c>
      <c r="EW31" s="5">
        <v>98.04</v>
      </c>
      <c r="EX31" s="5">
        <v>117.42</v>
      </c>
      <c r="EY31" s="5">
        <v>101.46</v>
      </c>
      <c r="EZ31" s="5">
        <v>103.17</v>
      </c>
      <c r="FA31" s="5">
        <v>106.02</v>
      </c>
      <c r="FB31" s="5">
        <v>113.43</v>
      </c>
      <c r="FC31" s="5">
        <v>116.28</v>
      </c>
      <c r="FD31" s="5">
        <v>113.43</v>
      </c>
      <c r="FE31" s="5">
        <v>103.74</v>
      </c>
      <c r="FF31" s="5">
        <v>91.77</v>
      </c>
      <c r="FG31" s="5">
        <v>89.49</v>
      </c>
      <c r="FH31" s="5">
        <v>84.36</v>
      </c>
      <c r="FI31" s="5">
        <v>64.98</v>
      </c>
      <c r="FJ31" s="5">
        <v>63.27</v>
      </c>
      <c r="FK31" s="5">
        <v>106.59</v>
      </c>
      <c r="FL31" s="5">
        <v>102.6</v>
      </c>
      <c r="FM31" s="5">
        <v>107.16</v>
      </c>
      <c r="FN31" s="5">
        <v>102.6</v>
      </c>
      <c r="FO31" s="5">
        <v>98.61</v>
      </c>
      <c r="FP31" s="5">
        <v>83.22</v>
      </c>
      <c r="FQ31" s="5">
        <v>80.37</v>
      </c>
      <c r="FR31" s="5">
        <v>82.65</v>
      </c>
      <c r="FS31" s="5">
        <v>76.95</v>
      </c>
      <c r="FT31" s="5">
        <v>65.55</v>
      </c>
      <c r="FU31" s="5">
        <v>73.53</v>
      </c>
      <c r="FV31" s="5">
        <v>57</v>
      </c>
      <c r="FW31" s="5">
        <v>62.13</v>
      </c>
      <c r="FX31" s="5">
        <v>56.43</v>
      </c>
      <c r="FY31" s="5">
        <v>67.260000000000005</v>
      </c>
      <c r="FZ31" s="5">
        <v>64.41</v>
      </c>
      <c r="GA31" s="5">
        <v>58.71</v>
      </c>
      <c r="GB31" s="5">
        <v>67.260000000000005</v>
      </c>
      <c r="GC31" s="5">
        <v>58.71</v>
      </c>
      <c r="GD31" s="5">
        <v>66.12</v>
      </c>
      <c r="GE31" s="5">
        <v>63.27</v>
      </c>
      <c r="GF31" s="5">
        <v>63.27</v>
      </c>
      <c r="GG31" s="5">
        <v>72.959999999999994</v>
      </c>
      <c r="GH31" s="5">
        <v>66.69</v>
      </c>
      <c r="GI31" s="5">
        <v>69.540000000000006</v>
      </c>
      <c r="GJ31" s="5">
        <v>62.13</v>
      </c>
      <c r="GK31" s="5">
        <v>75.81</v>
      </c>
      <c r="GL31" s="5">
        <v>72.39</v>
      </c>
      <c r="GM31" s="5">
        <v>85.5</v>
      </c>
      <c r="GN31" s="5">
        <v>78.09</v>
      </c>
      <c r="GO31" s="5">
        <v>79.8</v>
      </c>
      <c r="GP31" s="5">
        <v>78.66</v>
      </c>
      <c r="GQ31" s="5">
        <v>72.39</v>
      </c>
      <c r="GR31" s="5">
        <v>74.67</v>
      </c>
      <c r="GS31" s="5">
        <v>72.39</v>
      </c>
      <c r="GT31" s="5">
        <v>72.39</v>
      </c>
      <c r="GU31" s="5">
        <v>66.69</v>
      </c>
      <c r="GV31" s="5">
        <v>78.09</v>
      </c>
      <c r="GW31" s="5">
        <v>71.819999999999993</v>
      </c>
      <c r="GX31" s="5">
        <v>69.540000000000006</v>
      </c>
      <c r="GY31" s="5">
        <v>71.25</v>
      </c>
      <c r="GZ31" s="5">
        <v>75.81</v>
      </c>
      <c r="HA31" s="5">
        <v>59.85</v>
      </c>
      <c r="HB31" s="5">
        <v>86.64</v>
      </c>
      <c r="HC31" s="5">
        <v>77.52</v>
      </c>
      <c r="HD31" s="5">
        <v>66.12</v>
      </c>
      <c r="HE31" s="5">
        <v>76.38</v>
      </c>
      <c r="HF31" s="5">
        <v>83.22</v>
      </c>
      <c r="HG31" s="5">
        <v>60.99</v>
      </c>
      <c r="HH31" s="5">
        <v>72.39</v>
      </c>
      <c r="HI31" s="5">
        <v>70.11</v>
      </c>
      <c r="HJ31" s="5">
        <v>72.39</v>
      </c>
      <c r="HK31" s="5">
        <v>69.540000000000006</v>
      </c>
      <c r="HL31" s="5">
        <v>71.25</v>
      </c>
      <c r="HM31" s="5">
        <v>79.23</v>
      </c>
      <c r="HN31" s="5">
        <v>74.67</v>
      </c>
      <c r="HO31" s="5">
        <v>67.83</v>
      </c>
      <c r="HP31" s="5">
        <v>67.260000000000005</v>
      </c>
      <c r="HQ31" s="5">
        <v>59.28</v>
      </c>
    </row>
    <row r="32" spans="1:225">
      <c r="A32" s="69">
        <v>30</v>
      </c>
      <c r="B32" s="13">
        <v>10</v>
      </c>
      <c r="C32" s="5">
        <v>8</v>
      </c>
      <c r="D32" s="5">
        <f t="shared" si="0"/>
        <v>80</v>
      </c>
      <c r="E32" s="5">
        <v>1</v>
      </c>
      <c r="F32" s="60">
        <f t="shared" si="1"/>
        <v>12.5</v>
      </c>
      <c r="G32" s="60">
        <f t="shared" si="2"/>
        <v>46.25</v>
      </c>
      <c r="H32" s="13">
        <v>10</v>
      </c>
      <c r="I32" s="5">
        <v>6</v>
      </c>
      <c r="J32" s="5">
        <f t="shared" si="3"/>
        <v>60</v>
      </c>
      <c r="K32" s="60">
        <v>0.67</v>
      </c>
      <c r="L32" s="60">
        <f t="shared" si="4"/>
        <v>11.166666666666668</v>
      </c>
      <c r="M32" s="60">
        <f t="shared" si="5"/>
        <v>35.583333333333336</v>
      </c>
      <c r="N32" s="75">
        <v>7277.0399999999981</v>
      </c>
      <c r="O32" s="5">
        <v>-67.813724850000014</v>
      </c>
      <c r="P32" s="5">
        <v>36.18627515</v>
      </c>
      <c r="Q32" s="5">
        <v>-69.584882000000007</v>
      </c>
      <c r="R32" s="5">
        <v>34.415118</v>
      </c>
      <c r="T32" s="60">
        <v>1.66</v>
      </c>
      <c r="U32" s="60">
        <v>1.33</v>
      </c>
      <c r="V32" s="60">
        <v>1.91</v>
      </c>
      <c r="W32" s="60">
        <v>1.39</v>
      </c>
      <c r="X32" s="60">
        <v>0.88</v>
      </c>
      <c r="Y32" s="60">
        <v>0.86</v>
      </c>
      <c r="Z32" s="60">
        <v>0.82</v>
      </c>
      <c r="AA32" s="60">
        <v>0.82</v>
      </c>
      <c r="AB32" s="60">
        <v>0.93</v>
      </c>
      <c r="AC32" s="60">
        <v>0.86</v>
      </c>
      <c r="AD32" s="60">
        <v>0.78</v>
      </c>
      <c r="AE32" s="60">
        <v>0.81</v>
      </c>
      <c r="AF32" s="60">
        <v>0.97</v>
      </c>
      <c r="AG32" s="60">
        <v>0.73</v>
      </c>
      <c r="AH32" s="60">
        <v>1.02</v>
      </c>
      <c r="AI32" s="60">
        <v>0.95</v>
      </c>
      <c r="AJ32" s="60">
        <v>1.06</v>
      </c>
      <c r="AK32" s="60">
        <v>0.98</v>
      </c>
      <c r="AL32" s="60">
        <v>0.81</v>
      </c>
      <c r="AM32" s="60">
        <v>1.72</v>
      </c>
      <c r="AN32" s="60">
        <v>1.71</v>
      </c>
      <c r="AO32" s="60">
        <v>1.79</v>
      </c>
      <c r="AP32" s="60">
        <v>1.8</v>
      </c>
      <c r="AQ32" s="60">
        <v>1.49</v>
      </c>
      <c r="AR32" s="60">
        <v>1.41</v>
      </c>
      <c r="AS32" s="60">
        <v>1.78</v>
      </c>
      <c r="AT32" s="60">
        <v>1.62</v>
      </c>
      <c r="AU32" s="60">
        <v>1.84</v>
      </c>
      <c r="AV32" s="60">
        <v>1.65</v>
      </c>
      <c r="AW32" s="60">
        <v>1.23</v>
      </c>
      <c r="AX32" s="60">
        <v>1.72</v>
      </c>
      <c r="AY32" s="60">
        <v>1.62</v>
      </c>
      <c r="AZ32" s="60">
        <v>1.81</v>
      </c>
      <c r="BA32" s="60">
        <v>1.75</v>
      </c>
      <c r="BB32" s="60">
        <v>1.71</v>
      </c>
      <c r="BC32" s="60">
        <v>1.47</v>
      </c>
      <c r="BD32" s="60">
        <v>1.28</v>
      </c>
      <c r="BE32" s="60">
        <v>1.32</v>
      </c>
      <c r="BF32" s="60">
        <v>1.01</v>
      </c>
      <c r="BG32" s="60">
        <v>0.85</v>
      </c>
      <c r="BH32" s="60">
        <v>1.83</v>
      </c>
      <c r="BI32" s="60">
        <v>1.78</v>
      </c>
      <c r="BJ32" s="60">
        <v>1.81</v>
      </c>
      <c r="BK32" s="60">
        <v>1.52</v>
      </c>
      <c r="BL32" s="60">
        <v>1.52</v>
      </c>
      <c r="BM32" s="60">
        <v>1.28</v>
      </c>
      <c r="BN32" s="60">
        <v>1.27</v>
      </c>
      <c r="BO32" s="60">
        <v>1.29</v>
      </c>
      <c r="BP32" s="60">
        <v>1.23</v>
      </c>
      <c r="BQ32" s="60">
        <v>0.75</v>
      </c>
      <c r="BR32" s="60">
        <v>0.86</v>
      </c>
      <c r="BS32" s="60">
        <v>0.69</v>
      </c>
      <c r="BT32" s="60">
        <v>0.78</v>
      </c>
      <c r="BU32" s="60">
        <v>0.82</v>
      </c>
      <c r="BV32" s="60">
        <v>0.91</v>
      </c>
      <c r="BW32" s="60">
        <v>0.89</v>
      </c>
      <c r="BX32" s="60">
        <v>0.73</v>
      </c>
      <c r="BY32" s="60">
        <v>0.9</v>
      </c>
      <c r="BZ32" s="60">
        <v>0.82</v>
      </c>
      <c r="CA32" s="60">
        <v>0.86</v>
      </c>
      <c r="CB32" s="60">
        <v>0.77</v>
      </c>
      <c r="CC32" s="60">
        <v>0.94</v>
      </c>
      <c r="CD32" s="60">
        <v>1.04</v>
      </c>
      <c r="CE32" s="60">
        <v>0.96</v>
      </c>
      <c r="CF32" s="60">
        <v>0.94</v>
      </c>
      <c r="CG32" s="60">
        <v>1.1299999999999999</v>
      </c>
      <c r="CH32" s="60">
        <v>1.04</v>
      </c>
      <c r="CI32" s="60">
        <v>1.05</v>
      </c>
      <c r="CJ32" s="60">
        <v>1.04</v>
      </c>
      <c r="CK32" s="60">
        <v>1.04</v>
      </c>
      <c r="CL32" s="60">
        <v>1.1499999999999999</v>
      </c>
      <c r="CM32" s="60">
        <v>1.1299999999999999</v>
      </c>
      <c r="CN32" s="60">
        <v>0.99</v>
      </c>
      <c r="CO32" s="60">
        <v>1.04</v>
      </c>
      <c r="CP32" s="60">
        <v>1.03</v>
      </c>
      <c r="CQ32" s="60">
        <v>1.24</v>
      </c>
      <c r="CR32" s="60">
        <v>1.1399999999999999</v>
      </c>
      <c r="CS32" s="60">
        <v>1.17</v>
      </c>
      <c r="CT32" s="60">
        <v>1.05</v>
      </c>
      <c r="CU32" s="60">
        <v>1.06</v>
      </c>
      <c r="CV32" s="60">
        <v>1.08</v>
      </c>
      <c r="CW32" s="60">
        <v>0.97</v>
      </c>
      <c r="CX32" s="60">
        <v>0.86</v>
      </c>
      <c r="CY32" s="60">
        <v>1.24</v>
      </c>
      <c r="CZ32" s="60">
        <v>1.18</v>
      </c>
      <c r="DA32" s="60">
        <v>0.95</v>
      </c>
      <c r="DB32" s="60">
        <v>1.18</v>
      </c>
      <c r="DC32" s="60">
        <v>1.17</v>
      </c>
      <c r="DD32" s="60">
        <v>1.1200000000000001</v>
      </c>
      <c r="DE32" s="60">
        <v>1.07</v>
      </c>
      <c r="DF32" s="60">
        <v>1.02</v>
      </c>
      <c r="DG32" s="60">
        <v>0.96</v>
      </c>
      <c r="DH32" s="60">
        <v>0.96</v>
      </c>
      <c r="DI32" s="60">
        <v>1.1000000000000001</v>
      </c>
      <c r="DJ32" s="60">
        <v>1.06</v>
      </c>
      <c r="DK32" s="60">
        <v>1.05</v>
      </c>
      <c r="DL32" s="60">
        <v>1.03</v>
      </c>
      <c r="DM32" s="60">
        <v>0.8</v>
      </c>
      <c r="DN32" s="60">
        <v>0.93</v>
      </c>
      <c r="DP32" s="5" t="s">
        <v>547</v>
      </c>
      <c r="DQ32" s="5">
        <v>500</v>
      </c>
      <c r="DR32" s="73">
        <v>7.3923000000000003E-2</v>
      </c>
      <c r="DS32" s="5">
        <v>9</v>
      </c>
      <c r="DU32" s="5">
        <v>45.45</v>
      </c>
      <c r="DV32" s="5">
        <v>103.74</v>
      </c>
      <c r="DW32" s="5">
        <v>100.32</v>
      </c>
      <c r="DX32" s="5">
        <v>81.510000000000005</v>
      </c>
      <c r="DY32" s="5">
        <v>114.57</v>
      </c>
      <c r="DZ32" s="5">
        <v>84.36</v>
      </c>
      <c r="EA32" s="5">
        <v>55.86</v>
      </c>
      <c r="EB32" s="5">
        <v>54.72</v>
      </c>
      <c r="EC32" s="5">
        <v>52.44</v>
      </c>
      <c r="ED32" s="5">
        <v>52.44</v>
      </c>
      <c r="EE32" s="5">
        <v>58.71</v>
      </c>
      <c r="EF32" s="5">
        <v>54.72</v>
      </c>
      <c r="EG32" s="5">
        <v>50.16</v>
      </c>
      <c r="EH32" s="5">
        <v>51.87</v>
      </c>
      <c r="EI32" s="5">
        <v>60.42</v>
      </c>
      <c r="EJ32" s="5">
        <v>47.31</v>
      </c>
      <c r="EK32" s="5">
        <v>63.27</v>
      </c>
      <c r="EL32" s="5">
        <v>59.85</v>
      </c>
      <c r="EM32" s="5">
        <v>66.12</v>
      </c>
      <c r="EN32" s="5">
        <v>61.56</v>
      </c>
      <c r="EO32" s="5">
        <v>51.87</v>
      </c>
      <c r="EP32" s="5">
        <v>103.74</v>
      </c>
      <c r="EQ32" s="5">
        <v>103.17</v>
      </c>
      <c r="ER32" s="5">
        <v>107.73</v>
      </c>
      <c r="ES32" s="5">
        <v>108.3</v>
      </c>
      <c r="ET32" s="5">
        <v>90.06</v>
      </c>
      <c r="EU32" s="5">
        <v>84.93</v>
      </c>
      <c r="EV32" s="5">
        <v>107.16</v>
      </c>
      <c r="EW32" s="5">
        <v>98.04</v>
      </c>
      <c r="EX32" s="5">
        <v>110.58</v>
      </c>
      <c r="EY32" s="5">
        <v>99.75</v>
      </c>
      <c r="EZ32" s="5">
        <v>75.239999999999995</v>
      </c>
      <c r="FA32" s="5">
        <v>103.74</v>
      </c>
      <c r="FB32" s="5">
        <v>97.47</v>
      </c>
      <c r="FC32" s="5">
        <v>108.87</v>
      </c>
      <c r="FD32" s="5">
        <v>105.45</v>
      </c>
      <c r="FE32" s="5">
        <v>103.17</v>
      </c>
      <c r="FF32" s="5">
        <v>89.49</v>
      </c>
      <c r="FG32" s="5">
        <v>78.09</v>
      </c>
      <c r="FH32" s="5">
        <v>80.94</v>
      </c>
      <c r="FI32" s="5">
        <v>63.27</v>
      </c>
      <c r="FJ32" s="5">
        <v>53.58</v>
      </c>
      <c r="FK32" s="5">
        <v>110.01</v>
      </c>
      <c r="FL32" s="5">
        <v>107.16</v>
      </c>
      <c r="FM32" s="5">
        <v>108.87</v>
      </c>
      <c r="FN32" s="5">
        <v>92.34</v>
      </c>
      <c r="FO32" s="5">
        <v>91.77</v>
      </c>
      <c r="FP32" s="5">
        <v>78.09</v>
      </c>
      <c r="FQ32" s="5">
        <v>77.52</v>
      </c>
      <c r="FR32" s="5">
        <v>79.23</v>
      </c>
      <c r="FS32" s="5">
        <v>75.81</v>
      </c>
      <c r="FT32" s="5">
        <v>47.88</v>
      </c>
      <c r="FU32" s="5">
        <v>54.15</v>
      </c>
      <c r="FV32" s="5">
        <v>44.46</v>
      </c>
      <c r="FW32" s="5">
        <v>50.16</v>
      </c>
      <c r="FX32" s="5">
        <v>52.44</v>
      </c>
      <c r="FY32" s="5">
        <v>57.57</v>
      </c>
      <c r="FZ32" s="5">
        <v>56.43</v>
      </c>
      <c r="GA32" s="5">
        <v>47.31</v>
      </c>
      <c r="GB32" s="5">
        <v>57</v>
      </c>
      <c r="GC32" s="5">
        <v>52.44</v>
      </c>
      <c r="GD32" s="5">
        <v>54.72</v>
      </c>
      <c r="GE32" s="5">
        <v>49.59</v>
      </c>
      <c r="GF32" s="5">
        <v>59.28</v>
      </c>
      <c r="GG32" s="5">
        <v>64.98</v>
      </c>
      <c r="GH32" s="5">
        <v>60.42</v>
      </c>
      <c r="GI32" s="5">
        <v>59.28</v>
      </c>
      <c r="GJ32" s="5">
        <v>70.11</v>
      </c>
      <c r="GK32" s="5">
        <v>64.98</v>
      </c>
      <c r="GL32" s="5">
        <v>65.55</v>
      </c>
      <c r="GM32" s="5">
        <v>64.98</v>
      </c>
      <c r="GN32" s="5">
        <v>64.98</v>
      </c>
      <c r="GO32" s="5">
        <v>71.25</v>
      </c>
      <c r="GP32" s="5">
        <v>70.11</v>
      </c>
      <c r="GQ32" s="5">
        <v>61.56</v>
      </c>
      <c r="GR32" s="5">
        <v>64.41</v>
      </c>
      <c r="GS32" s="5">
        <v>63.84</v>
      </c>
      <c r="GT32" s="5">
        <v>76.38</v>
      </c>
      <c r="GU32" s="5">
        <v>70.680000000000007</v>
      </c>
      <c r="GV32" s="5">
        <v>72.39</v>
      </c>
      <c r="GW32" s="5">
        <v>65.55</v>
      </c>
      <c r="GX32" s="5">
        <v>66.12</v>
      </c>
      <c r="GY32" s="5">
        <v>67.260000000000005</v>
      </c>
      <c r="GZ32" s="5">
        <v>60.42</v>
      </c>
      <c r="HA32" s="5">
        <v>54.72</v>
      </c>
      <c r="HB32" s="5">
        <v>76.38</v>
      </c>
      <c r="HC32" s="5">
        <v>72.959999999999994</v>
      </c>
      <c r="HD32" s="5">
        <v>59.28</v>
      </c>
      <c r="HE32" s="5">
        <v>72.959999999999994</v>
      </c>
      <c r="HF32" s="5">
        <v>72.39</v>
      </c>
      <c r="HG32" s="5">
        <v>69.540000000000006</v>
      </c>
      <c r="HH32" s="5">
        <v>66.69</v>
      </c>
      <c r="HI32" s="5">
        <v>63.84</v>
      </c>
      <c r="HJ32" s="5">
        <v>60.42</v>
      </c>
      <c r="HK32" s="5">
        <v>60.42</v>
      </c>
      <c r="HL32" s="5">
        <v>68.400000000000006</v>
      </c>
      <c r="HM32" s="5">
        <v>66.12</v>
      </c>
      <c r="HN32" s="5">
        <v>65.55</v>
      </c>
      <c r="HO32" s="5">
        <v>63.84</v>
      </c>
      <c r="HP32" s="5">
        <v>51.3</v>
      </c>
      <c r="HQ32" s="5">
        <v>58.71</v>
      </c>
    </row>
    <row r="33" spans="6:128">
      <c r="F33" s="76">
        <f>AVERAGE(F4:F32)</f>
        <v>20.945539135194306</v>
      </c>
      <c r="G33" s="76">
        <f>AVERAGE(G4:G32)</f>
        <v>54.438286808976457</v>
      </c>
      <c r="L33" s="76">
        <f>AVERAGE(L4:L32)</f>
        <v>13.440790914066778</v>
      </c>
      <c r="M33" s="76">
        <f>AVERAGE(M4:M32)</f>
        <v>41.892809250136835</v>
      </c>
      <c r="N33" s="77" t="s">
        <v>1502</v>
      </c>
      <c r="O33" s="77"/>
      <c r="P33" s="77"/>
      <c r="Q33" s="77"/>
      <c r="R33" s="77"/>
      <c r="S33" s="77"/>
      <c r="T33" s="77"/>
      <c r="U33" s="77"/>
      <c r="V33" s="77"/>
      <c r="W33" s="77"/>
      <c r="X33" s="77"/>
      <c r="Y33" s="77"/>
      <c r="DR33" s="74" t="s">
        <v>1501</v>
      </c>
      <c r="DS33" s="74">
        <f>SUM(DS3:DS32)</f>
        <v>247</v>
      </c>
    </row>
    <row r="35" spans="6:128">
      <c r="DP35" s="90" t="s">
        <v>785</v>
      </c>
      <c r="DQ35" s="90"/>
      <c r="DR35" s="90"/>
      <c r="DS35" s="90"/>
      <c r="DV35" s="5" t="s">
        <v>1329</v>
      </c>
      <c r="DW35" s="5" t="s">
        <v>1330</v>
      </c>
      <c r="DX35" s="5" t="s">
        <v>1331</v>
      </c>
    </row>
    <row r="36" spans="6:128">
      <c r="DP36" s="72" t="s">
        <v>808</v>
      </c>
      <c r="DQ36" s="5" t="s">
        <v>1372</v>
      </c>
      <c r="DR36" s="5" t="s">
        <v>938</v>
      </c>
      <c r="DS36" s="5" t="s">
        <v>1373</v>
      </c>
      <c r="DT36" s="5" t="s">
        <v>933</v>
      </c>
      <c r="DV36" s="5" t="s">
        <v>1070</v>
      </c>
      <c r="DW36" s="72">
        <v>0</v>
      </c>
      <c r="DX36" s="72">
        <v>0</v>
      </c>
    </row>
    <row r="37" spans="6:128">
      <c r="DP37" s="5" t="s">
        <v>934</v>
      </c>
      <c r="DQ37" s="5" t="s">
        <v>1374</v>
      </c>
      <c r="DR37" s="5" t="s">
        <v>936</v>
      </c>
      <c r="DS37" s="5">
        <v>7.9296000000000005E-2</v>
      </c>
      <c r="DT37" s="5" t="s">
        <v>806</v>
      </c>
      <c r="DV37" s="62" t="s">
        <v>519</v>
      </c>
      <c r="DW37" s="72">
        <v>1</v>
      </c>
      <c r="DX37" s="72">
        <f>DS37</f>
        <v>7.9296000000000005E-2</v>
      </c>
    </row>
    <row r="38" spans="6:128">
      <c r="DP38" s="72" t="s">
        <v>808</v>
      </c>
      <c r="DQ38" s="5" t="s">
        <v>1375</v>
      </c>
      <c r="DR38" s="5" t="s">
        <v>812</v>
      </c>
      <c r="DS38" s="5" t="s">
        <v>1130</v>
      </c>
      <c r="DT38" s="5" t="s">
        <v>940</v>
      </c>
      <c r="DV38" s="62" t="s">
        <v>520</v>
      </c>
      <c r="DW38" s="72">
        <v>2</v>
      </c>
      <c r="DX38" s="72">
        <f>AVERAGE(DS39,DS41)</f>
        <v>7.7539500000000011E-2</v>
      </c>
    </row>
    <row r="39" spans="6:128">
      <c r="DP39" s="5" t="s">
        <v>934</v>
      </c>
      <c r="DQ39" s="5" t="s">
        <v>1376</v>
      </c>
      <c r="DR39" s="5" t="s">
        <v>936</v>
      </c>
      <c r="DS39" s="5">
        <v>8.0560000000000007E-2</v>
      </c>
      <c r="DT39" s="5" t="s">
        <v>806</v>
      </c>
      <c r="DV39" s="62" t="s">
        <v>521</v>
      </c>
      <c r="DW39" s="72">
        <v>3</v>
      </c>
      <c r="DX39" s="72">
        <f>AVERAGE(DS43,DS44,DS46)</f>
        <v>8.1541666666666665E-2</v>
      </c>
    </row>
    <row r="40" spans="6:128">
      <c r="DP40" s="72" t="s">
        <v>808</v>
      </c>
      <c r="DQ40" s="5" t="s">
        <v>1377</v>
      </c>
      <c r="DR40" s="5" t="s">
        <v>812</v>
      </c>
      <c r="DS40" s="5" t="s">
        <v>1133</v>
      </c>
      <c r="DT40" s="5" t="s">
        <v>940</v>
      </c>
      <c r="DV40" s="62" t="s">
        <v>522</v>
      </c>
      <c r="DW40" s="72">
        <v>0</v>
      </c>
      <c r="DX40" s="72">
        <v>0</v>
      </c>
    </row>
    <row r="41" spans="6:128">
      <c r="DP41" s="5" t="s">
        <v>934</v>
      </c>
      <c r="DQ41" s="5" t="s">
        <v>1378</v>
      </c>
      <c r="DR41" s="5" t="s">
        <v>936</v>
      </c>
      <c r="DS41" s="5">
        <v>7.4519000000000002E-2</v>
      </c>
      <c r="DT41" s="5" t="s">
        <v>806</v>
      </c>
      <c r="DV41" s="5" t="s">
        <v>523</v>
      </c>
      <c r="DW41" s="72">
        <v>1</v>
      </c>
      <c r="DX41" s="72">
        <f>DS48</f>
        <v>7.6246999999999995E-2</v>
      </c>
    </row>
    <row r="42" spans="6:128">
      <c r="DP42" s="72" t="s">
        <v>808</v>
      </c>
      <c r="DQ42" s="5" t="s">
        <v>1379</v>
      </c>
      <c r="DR42" s="5" t="s">
        <v>812</v>
      </c>
      <c r="DS42" s="5" t="s">
        <v>1380</v>
      </c>
      <c r="DT42" s="5" t="s">
        <v>940</v>
      </c>
      <c r="DV42" s="5" t="s">
        <v>524</v>
      </c>
      <c r="DW42" s="72">
        <v>1</v>
      </c>
      <c r="DX42" s="72">
        <f>DS50</f>
        <v>7.5223999999999999E-2</v>
      </c>
    </row>
    <row r="43" spans="6:128">
      <c r="DP43" s="5" t="s">
        <v>934</v>
      </c>
      <c r="DQ43" s="5" t="s">
        <v>1381</v>
      </c>
      <c r="DR43" s="5" t="s">
        <v>936</v>
      </c>
      <c r="DS43" s="5">
        <v>7.7230999999999994E-2</v>
      </c>
      <c r="DT43" s="5" t="s">
        <v>806</v>
      </c>
      <c r="DV43" s="5" t="s">
        <v>525</v>
      </c>
      <c r="DW43" s="72">
        <v>1</v>
      </c>
      <c r="DX43" s="72">
        <f>DS52</f>
        <v>8.7104000000000001E-2</v>
      </c>
    </row>
    <row r="44" spans="6:128">
      <c r="DP44" s="5" t="s">
        <v>934</v>
      </c>
      <c r="DQ44" s="5" t="s">
        <v>1382</v>
      </c>
      <c r="DR44" s="5" t="s">
        <v>936</v>
      </c>
      <c r="DS44" s="5">
        <v>7.9227000000000006E-2</v>
      </c>
      <c r="DT44" s="5" t="s">
        <v>806</v>
      </c>
      <c r="DV44" s="5" t="s">
        <v>526</v>
      </c>
      <c r="DW44" s="72">
        <v>4</v>
      </c>
      <c r="DX44" s="72">
        <f>AVERAGE(DS59,DS57,DS55,DS54)</f>
        <v>7.8629749999999998E-2</v>
      </c>
    </row>
    <row r="45" spans="6:128">
      <c r="DP45" s="72" t="s">
        <v>808</v>
      </c>
      <c r="DQ45" s="5" t="s">
        <v>1383</v>
      </c>
      <c r="DR45" s="5" t="s">
        <v>812</v>
      </c>
      <c r="DS45" s="5" t="s">
        <v>1384</v>
      </c>
      <c r="DT45" s="5" t="s">
        <v>940</v>
      </c>
      <c r="DV45" s="5" t="s">
        <v>527</v>
      </c>
      <c r="DW45" s="72">
        <v>4</v>
      </c>
      <c r="DX45" s="72">
        <f>AVERAGE(DS67,DS65,DS63,DS61)</f>
        <v>6.7347500000000005E-2</v>
      </c>
    </row>
    <row r="46" spans="6:128">
      <c r="DP46" s="5" t="s">
        <v>934</v>
      </c>
      <c r="DQ46" s="5" t="s">
        <v>1385</v>
      </c>
      <c r="DR46" s="5" t="s">
        <v>936</v>
      </c>
      <c r="DS46" s="5">
        <v>8.8166999999999995E-2</v>
      </c>
      <c r="DT46" s="5" t="s">
        <v>806</v>
      </c>
      <c r="DV46" s="5" t="s">
        <v>528</v>
      </c>
      <c r="DW46" s="72">
        <v>3</v>
      </c>
      <c r="DX46" s="72">
        <f>AVERAGE(DS69,DS71,DS73)</f>
        <v>6.3388E-2</v>
      </c>
    </row>
    <row r="47" spans="6:128">
      <c r="DP47" s="72" t="s">
        <v>808</v>
      </c>
      <c r="DQ47" s="5" t="s">
        <v>1386</v>
      </c>
      <c r="DR47" s="5" t="s">
        <v>812</v>
      </c>
      <c r="DS47" s="5" t="s">
        <v>1159</v>
      </c>
      <c r="DT47" s="5" t="s">
        <v>940</v>
      </c>
      <c r="DV47" s="5" t="s">
        <v>529</v>
      </c>
      <c r="DW47" s="72">
        <v>4</v>
      </c>
      <c r="DX47" s="72">
        <f>AVERAGE(DS74,DS76,DS78,DS79)</f>
        <v>7.1057750000000003E-2</v>
      </c>
    </row>
    <row r="48" spans="6:128">
      <c r="DP48" s="5" t="s">
        <v>934</v>
      </c>
      <c r="DQ48" s="5" t="s">
        <v>1387</v>
      </c>
      <c r="DR48" s="5" t="s">
        <v>936</v>
      </c>
      <c r="DS48" s="5">
        <v>7.6246999999999995E-2</v>
      </c>
      <c r="DT48" s="5" t="s">
        <v>806</v>
      </c>
      <c r="DV48" s="5" t="s">
        <v>530</v>
      </c>
      <c r="DW48" s="72">
        <v>1</v>
      </c>
      <c r="DX48" s="72">
        <f>DS81</f>
        <v>7.5967000000000007E-2</v>
      </c>
    </row>
    <row r="49" spans="120:128">
      <c r="DP49" s="72" t="s">
        <v>808</v>
      </c>
      <c r="DQ49" s="5" t="s">
        <v>1388</v>
      </c>
      <c r="DR49" s="5" t="s">
        <v>812</v>
      </c>
      <c r="DS49" s="5" t="s">
        <v>1389</v>
      </c>
      <c r="DT49" s="5" t="s">
        <v>940</v>
      </c>
      <c r="DV49" s="5" t="s">
        <v>531</v>
      </c>
      <c r="DW49" s="72">
        <v>2</v>
      </c>
      <c r="DX49" s="72">
        <f>AVERAGE(DS83,DS85)</f>
        <v>7.5693499999999997E-2</v>
      </c>
    </row>
    <row r="50" spans="120:128">
      <c r="DP50" s="5" t="s">
        <v>934</v>
      </c>
      <c r="DQ50" s="5" t="s">
        <v>1390</v>
      </c>
      <c r="DR50" s="5" t="s">
        <v>936</v>
      </c>
      <c r="DS50" s="5">
        <v>7.5223999999999999E-2</v>
      </c>
      <c r="DT50" s="5" t="s">
        <v>806</v>
      </c>
      <c r="DV50" s="5" t="s">
        <v>532</v>
      </c>
      <c r="DW50" s="72">
        <v>3</v>
      </c>
      <c r="DX50" s="72">
        <f>AVERAGE(DS87:DS88,DS90)</f>
        <v>7.5859999999999997E-2</v>
      </c>
    </row>
    <row r="51" spans="120:128">
      <c r="DP51" s="72" t="s">
        <v>808</v>
      </c>
      <c r="DQ51" s="5" t="s">
        <v>1391</v>
      </c>
      <c r="DR51" s="5" t="s">
        <v>812</v>
      </c>
      <c r="DS51" s="5" t="s">
        <v>1392</v>
      </c>
      <c r="DT51" s="5" t="s">
        <v>940</v>
      </c>
      <c r="DV51" s="5" t="s">
        <v>533</v>
      </c>
      <c r="DW51" s="72">
        <v>7</v>
      </c>
      <c r="DX51" s="72">
        <f>AVERAGE(DS92:DS97,DS99)</f>
        <v>7.3446142857142863E-2</v>
      </c>
    </row>
    <row r="52" spans="120:128">
      <c r="DP52" s="5" t="s">
        <v>934</v>
      </c>
      <c r="DQ52" s="5" t="s">
        <v>1393</v>
      </c>
      <c r="DR52" s="5" t="s">
        <v>936</v>
      </c>
      <c r="DS52" s="5">
        <v>8.7104000000000001E-2</v>
      </c>
      <c r="DT52" s="5" t="s">
        <v>806</v>
      </c>
      <c r="DV52" s="5" t="s">
        <v>534</v>
      </c>
      <c r="DW52" s="72">
        <v>0</v>
      </c>
      <c r="DX52" s="72">
        <v>0</v>
      </c>
    </row>
    <row r="53" spans="120:128">
      <c r="DP53" s="72" t="s">
        <v>808</v>
      </c>
      <c r="DQ53" s="5" t="s">
        <v>1394</v>
      </c>
      <c r="DR53" s="5" t="s">
        <v>812</v>
      </c>
      <c r="DS53" s="5" t="s">
        <v>1395</v>
      </c>
      <c r="DT53" s="5" t="s">
        <v>940</v>
      </c>
      <c r="DV53" s="5" t="s">
        <v>535</v>
      </c>
      <c r="DW53" s="72">
        <v>1</v>
      </c>
      <c r="DX53" s="72">
        <f>AVERAGE(DS101,DS103,DS105)</f>
        <v>7.6665666666666674E-2</v>
      </c>
    </row>
    <row r="54" spans="120:128">
      <c r="DP54" s="5" t="s">
        <v>934</v>
      </c>
      <c r="DQ54" s="5" t="s">
        <v>1396</v>
      </c>
      <c r="DR54" s="5" t="s">
        <v>936</v>
      </c>
      <c r="DS54" s="5">
        <v>7.5167999999999999E-2</v>
      </c>
      <c r="DT54" s="5" t="s">
        <v>806</v>
      </c>
      <c r="DV54" s="5" t="s">
        <v>536</v>
      </c>
      <c r="DW54" s="72">
        <v>1</v>
      </c>
      <c r="DX54" s="72">
        <f xml:space="preserve"> 0.078346</f>
        <v>7.8345999999999999E-2</v>
      </c>
    </row>
    <row r="55" spans="120:128">
      <c r="DP55" s="5" t="s">
        <v>934</v>
      </c>
      <c r="DQ55" s="5" t="s">
        <v>1397</v>
      </c>
      <c r="DR55" s="5" t="s">
        <v>936</v>
      </c>
      <c r="DS55" s="5">
        <v>7.2343000000000005E-2</v>
      </c>
      <c r="DT55" s="5" t="s">
        <v>806</v>
      </c>
      <c r="DV55" s="5" t="s">
        <v>537</v>
      </c>
      <c r="DW55" s="72">
        <v>1</v>
      </c>
      <c r="DX55" s="72">
        <f>AVERAGE(DS109)</f>
        <v>7.9426999999999998E-2</v>
      </c>
    </row>
    <row r="56" spans="120:128">
      <c r="DP56" s="72" t="s">
        <v>808</v>
      </c>
      <c r="DQ56" s="5" t="s">
        <v>1398</v>
      </c>
      <c r="DR56" s="5" t="s">
        <v>812</v>
      </c>
      <c r="DS56" s="5" t="s">
        <v>1399</v>
      </c>
      <c r="DT56" s="5" t="s">
        <v>940</v>
      </c>
      <c r="DV56" s="5" t="s">
        <v>538</v>
      </c>
      <c r="DW56" s="72">
        <v>3</v>
      </c>
      <c r="DX56" s="72">
        <f>AVERAGE(DS111:DS112,DS114)</f>
        <v>8.3525000000000002E-2</v>
      </c>
    </row>
    <row r="57" spans="120:128">
      <c r="DP57" s="5" t="s">
        <v>934</v>
      </c>
      <c r="DQ57" s="5" t="s">
        <v>1400</v>
      </c>
      <c r="DR57" s="5" t="s">
        <v>936</v>
      </c>
      <c r="DS57" s="5">
        <v>8.1858E-2</v>
      </c>
      <c r="DT57" s="5" t="s">
        <v>806</v>
      </c>
      <c r="DV57" s="5" t="s">
        <v>539</v>
      </c>
      <c r="DW57" s="72">
        <v>0</v>
      </c>
      <c r="DX57" s="72">
        <v>0</v>
      </c>
    </row>
    <row r="58" spans="120:128">
      <c r="DP58" s="72" t="s">
        <v>808</v>
      </c>
      <c r="DQ58" s="5" t="s">
        <v>1401</v>
      </c>
      <c r="DR58" s="5" t="s">
        <v>812</v>
      </c>
      <c r="DS58" s="5" t="s">
        <v>1402</v>
      </c>
      <c r="DT58" s="5" t="s">
        <v>940</v>
      </c>
      <c r="DV58" s="5" t="s">
        <v>540</v>
      </c>
      <c r="DW58" s="72">
        <v>0</v>
      </c>
      <c r="DX58" s="72">
        <v>0</v>
      </c>
    </row>
    <row r="59" spans="120:128">
      <c r="DP59" s="5" t="s">
        <v>934</v>
      </c>
      <c r="DQ59" s="5" t="s">
        <v>1403</v>
      </c>
      <c r="DR59" s="5" t="s">
        <v>936</v>
      </c>
      <c r="DS59" s="5">
        <v>8.5150000000000003E-2</v>
      </c>
      <c r="DT59" s="5" t="s">
        <v>806</v>
      </c>
      <c r="DV59" s="5" t="s">
        <v>541</v>
      </c>
      <c r="DW59" s="72">
        <v>4</v>
      </c>
      <c r="DX59" s="72">
        <f>AVERAGE(DS116:DS117,DS119,DS121)</f>
        <v>8.1357750000000006E-2</v>
      </c>
    </row>
    <row r="60" spans="120:128">
      <c r="DP60" s="72" t="s">
        <v>808</v>
      </c>
      <c r="DQ60" s="5" t="s">
        <v>1404</v>
      </c>
      <c r="DR60" s="5" t="s">
        <v>812</v>
      </c>
      <c r="DS60" s="5" t="s">
        <v>1405</v>
      </c>
      <c r="DT60" s="5" t="s">
        <v>940</v>
      </c>
      <c r="DV60" s="5" t="s">
        <v>542</v>
      </c>
      <c r="DW60" s="72">
        <v>2</v>
      </c>
      <c r="DX60" s="72">
        <f>AVERAGE(DS123:DS124)</f>
        <v>7.9865500000000006E-2</v>
      </c>
    </row>
    <row r="61" spans="120:128">
      <c r="DP61" s="5" t="s">
        <v>934</v>
      </c>
      <c r="DQ61" s="5" t="s">
        <v>1406</v>
      </c>
      <c r="DR61" s="5" t="s">
        <v>936</v>
      </c>
      <c r="DS61" s="5">
        <v>8.3876000000000006E-2</v>
      </c>
      <c r="DT61" s="5" t="s">
        <v>806</v>
      </c>
      <c r="DV61" s="5" t="s">
        <v>543</v>
      </c>
      <c r="DW61" s="72">
        <v>1</v>
      </c>
      <c r="DX61" s="72">
        <f xml:space="preserve"> 0.084183</f>
        <v>8.4182999999999994E-2</v>
      </c>
    </row>
    <row r="62" spans="120:128">
      <c r="DP62" s="72" t="s">
        <v>808</v>
      </c>
      <c r="DQ62" s="5" t="s">
        <v>1407</v>
      </c>
      <c r="DR62" s="5" t="s">
        <v>812</v>
      </c>
      <c r="DS62" s="5" t="s">
        <v>1408</v>
      </c>
      <c r="DT62" s="5" t="s">
        <v>940</v>
      </c>
      <c r="DV62" s="5" t="s">
        <v>544</v>
      </c>
      <c r="DW62" s="72">
        <v>0</v>
      </c>
      <c r="DX62" s="72">
        <v>0</v>
      </c>
    </row>
    <row r="63" spans="120:128">
      <c r="DP63" s="5" t="s">
        <v>934</v>
      </c>
      <c r="DQ63" s="5" t="s">
        <v>1409</v>
      </c>
      <c r="DR63" s="5" t="s">
        <v>936</v>
      </c>
      <c r="DS63" s="5">
        <v>5.6422E-2</v>
      </c>
      <c r="DT63" s="5" t="s">
        <v>806</v>
      </c>
      <c r="DV63" s="5" t="s">
        <v>545</v>
      </c>
      <c r="DW63" s="72">
        <v>1</v>
      </c>
      <c r="DX63" s="72">
        <v>8.2627999999999993E-2</v>
      </c>
    </row>
    <row r="64" spans="120:128">
      <c r="DP64" s="72" t="s">
        <v>808</v>
      </c>
      <c r="DQ64" s="5" t="s">
        <v>1410</v>
      </c>
      <c r="DR64" s="5" t="s">
        <v>812</v>
      </c>
      <c r="DS64" s="5" t="s">
        <v>1411</v>
      </c>
      <c r="DT64" s="5" t="s">
        <v>940</v>
      </c>
      <c r="DV64" s="5" t="s">
        <v>546</v>
      </c>
      <c r="DW64" s="72">
        <v>1</v>
      </c>
      <c r="DX64" s="72">
        <v>8.7825E-2</v>
      </c>
    </row>
    <row r="65" spans="120:128">
      <c r="DP65" s="5" t="s">
        <v>934</v>
      </c>
      <c r="DQ65" s="5" t="s">
        <v>1412</v>
      </c>
      <c r="DR65" s="5" t="s">
        <v>936</v>
      </c>
      <c r="DS65" s="5">
        <v>5.3530000000000001E-2</v>
      </c>
      <c r="DT65" s="5" t="s">
        <v>806</v>
      </c>
      <c r="DV65" s="5" t="s">
        <v>547</v>
      </c>
      <c r="DW65" s="72">
        <v>1</v>
      </c>
      <c r="DX65" s="72">
        <v>7.3923000000000003E-2</v>
      </c>
    </row>
    <row r="66" spans="120:128">
      <c r="DP66" s="72" t="s">
        <v>808</v>
      </c>
      <c r="DQ66" s="5" t="s">
        <v>1413</v>
      </c>
      <c r="DR66" s="5" t="s">
        <v>812</v>
      </c>
      <c r="DS66" s="5" t="s">
        <v>1414</v>
      </c>
      <c r="DT66" s="5" t="s">
        <v>940</v>
      </c>
    </row>
    <row r="67" spans="120:128">
      <c r="DP67" s="5" t="s">
        <v>934</v>
      </c>
      <c r="DQ67" s="5" t="s">
        <v>1415</v>
      </c>
      <c r="DR67" s="5" t="s">
        <v>936</v>
      </c>
      <c r="DS67" s="5">
        <v>7.5562000000000004E-2</v>
      </c>
      <c r="DT67" s="5" t="s">
        <v>806</v>
      </c>
    </row>
    <row r="68" spans="120:128">
      <c r="DP68" s="72" t="s">
        <v>808</v>
      </c>
      <c r="DQ68" s="5" t="s">
        <v>1416</v>
      </c>
      <c r="DR68" s="5" t="s">
        <v>1193</v>
      </c>
      <c r="DS68" s="5" t="s">
        <v>1213</v>
      </c>
      <c r="DT68" s="5" t="s">
        <v>807</v>
      </c>
    </row>
    <row r="69" spans="120:128">
      <c r="DP69" s="5" t="s">
        <v>934</v>
      </c>
      <c r="DQ69" s="5" t="s">
        <v>1417</v>
      </c>
      <c r="DR69" s="5" t="s">
        <v>486</v>
      </c>
      <c r="DS69" s="5">
        <f xml:space="preserve"> 0.058103</f>
        <v>5.8103000000000002E-2</v>
      </c>
      <c r="DT69" s="5" t="s">
        <v>806</v>
      </c>
    </row>
    <row r="70" spans="120:128">
      <c r="DP70" s="72" t="s">
        <v>808</v>
      </c>
      <c r="DQ70" s="5" t="s">
        <v>1418</v>
      </c>
      <c r="DR70" s="5" t="s">
        <v>1193</v>
      </c>
      <c r="DS70" s="5" t="s">
        <v>1226</v>
      </c>
      <c r="DT70" s="5" t="s">
        <v>807</v>
      </c>
    </row>
    <row r="71" spans="120:128">
      <c r="DP71" s="5" t="s">
        <v>934</v>
      </c>
      <c r="DQ71" s="5" t="s">
        <v>1419</v>
      </c>
      <c r="DR71" s="5" t="s">
        <v>486</v>
      </c>
      <c r="DS71" s="5">
        <f xml:space="preserve"> 0.056556</f>
        <v>5.6556000000000002E-2</v>
      </c>
      <c r="DT71" s="5" t="s">
        <v>806</v>
      </c>
    </row>
    <row r="72" spans="120:128">
      <c r="DP72" s="72" t="s">
        <v>808</v>
      </c>
      <c r="DQ72" s="5" t="s">
        <v>1420</v>
      </c>
      <c r="DR72" s="5" t="s">
        <v>1193</v>
      </c>
      <c r="DS72" s="5" t="s">
        <v>1421</v>
      </c>
      <c r="DT72" s="5" t="s">
        <v>807</v>
      </c>
    </row>
    <row r="73" spans="120:128">
      <c r="DP73" s="5" t="s">
        <v>934</v>
      </c>
      <c r="DQ73" s="5" t="s">
        <v>1422</v>
      </c>
      <c r="DR73" s="5" t="s">
        <v>486</v>
      </c>
      <c r="DS73" s="5">
        <f xml:space="preserve"> 0.075505</f>
        <v>7.5505000000000003E-2</v>
      </c>
      <c r="DT73" s="5" t="s">
        <v>806</v>
      </c>
    </row>
    <row r="74" spans="120:128">
      <c r="DP74" s="5" t="s">
        <v>934</v>
      </c>
      <c r="DQ74" s="5" t="s">
        <v>1423</v>
      </c>
      <c r="DR74" s="5" t="s">
        <v>486</v>
      </c>
      <c r="DS74" s="5">
        <f xml:space="preserve"> 0.071867</f>
        <v>7.1867E-2</v>
      </c>
      <c r="DT74" s="5" t="s">
        <v>806</v>
      </c>
    </row>
    <row r="75" spans="120:128">
      <c r="DP75" s="72" t="s">
        <v>808</v>
      </c>
      <c r="DQ75" s="5" t="s">
        <v>1424</v>
      </c>
      <c r="DR75" s="5" t="s">
        <v>1193</v>
      </c>
      <c r="DS75" s="5" t="s">
        <v>1425</v>
      </c>
      <c r="DT75" s="5" t="s">
        <v>807</v>
      </c>
    </row>
    <row r="76" spans="120:128">
      <c r="DP76" s="5" t="s">
        <v>934</v>
      </c>
      <c r="DQ76" s="5" t="s">
        <v>1426</v>
      </c>
      <c r="DR76" s="5" t="s">
        <v>486</v>
      </c>
      <c r="DS76" s="5">
        <f xml:space="preserve"> 0.079815</f>
        <v>7.9814999999999997E-2</v>
      </c>
      <c r="DT76" s="5" t="s">
        <v>806</v>
      </c>
    </row>
    <row r="77" spans="120:128">
      <c r="DP77" s="72" t="s">
        <v>808</v>
      </c>
      <c r="DQ77" s="5" t="s">
        <v>1427</v>
      </c>
      <c r="DR77" s="5" t="s">
        <v>1193</v>
      </c>
      <c r="DS77" s="5" t="s">
        <v>1428</v>
      </c>
      <c r="DT77" s="5" t="s">
        <v>807</v>
      </c>
    </row>
    <row r="78" spans="120:128">
      <c r="DP78" s="5" t="s">
        <v>934</v>
      </c>
      <c r="DQ78" s="5" t="s">
        <v>1429</v>
      </c>
      <c r="DR78" s="5" t="s">
        <v>486</v>
      </c>
      <c r="DS78" s="5">
        <f xml:space="preserve"> 0.053529</f>
        <v>5.3529E-2</v>
      </c>
      <c r="DT78" s="5" t="s">
        <v>806</v>
      </c>
    </row>
    <row r="79" spans="120:128">
      <c r="DP79" s="5" t="s">
        <v>934</v>
      </c>
      <c r="DQ79" s="5" t="s">
        <v>1430</v>
      </c>
      <c r="DR79" s="5" t="s">
        <v>486</v>
      </c>
      <c r="DS79" s="5">
        <f xml:space="preserve"> 0.07902</f>
        <v>7.9020000000000007E-2</v>
      </c>
      <c r="DT79" s="5" t="s">
        <v>806</v>
      </c>
    </row>
    <row r="80" spans="120:128">
      <c r="DP80" s="72" t="s">
        <v>808</v>
      </c>
      <c r="DQ80" s="5" t="s">
        <v>1431</v>
      </c>
      <c r="DR80" s="5" t="s">
        <v>1193</v>
      </c>
      <c r="DS80" s="5" t="s">
        <v>1233</v>
      </c>
      <c r="DT80" s="5" t="s">
        <v>807</v>
      </c>
    </row>
    <row r="81" spans="120:124">
      <c r="DP81" s="5" t="s">
        <v>934</v>
      </c>
      <c r="DQ81" s="5" t="s">
        <v>1432</v>
      </c>
      <c r="DR81" s="5" t="s">
        <v>486</v>
      </c>
      <c r="DS81" s="5">
        <f xml:space="preserve"> 0.075967</f>
        <v>7.5967000000000007E-2</v>
      </c>
      <c r="DT81" s="5" t="s">
        <v>806</v>
      </c>
    </row>
    <row r="82" spans="120:124">
      <c r="DP82" s="72" t="s">
        <v>808</v>
      </c>
      <c r="DQ82" s="5" t="s">
        <v>1433</v>
      </c>
      <c r="DR82" s="5" t="s">
        <v>1193</v>
      </c>
      <c r="DS82" s="5" t="s">
        <v>1246</v>
      </c>
      <c r="DT82" s="5" t="s">
        <v>807</v>
      </c>
    </row>
    <row r="83" spans="120:124">
      <c r="DP83" s="5" t="s">
        <v>934</v>
      </c>
      <c r="DQ83" s="5" t="s">
        <v>1434</v>
      </c>
      <c r="DR83" s="5" t="s">
        <v>486</v>
      </c>
      <c r="DS83" s="5">
        <f xml:space="preserve"> 0.070782</f>
        <v>7.0781999999999998E-2</v>
      </c>
      <c r="DT83" s="5" t="s">
        <v>806</v>
      </c>
    </row>
    <row r="84" spans="120:124">
      <c r="DP84" s="72" t="s">
        <v>808</v>
      </c>
      <c r="DQ84" s="5" t="s">
        <v>1435</v>
      </c>
      <c r="DR84" s="5" t="s">
        <v>1193</v>
      </c>
      <c r="DS84" s="5" t="s">
        <v>1436</v>
      </c>
      <c r="DT84" s="5" t="s">
        <v>807</v>
      </c>
    </row>
    <row r="85" spans="120:124">
      <c r="DP85" s="5" t="s">
        <v>934</v>
      </c>
      <c r="DQ85" s="5" t="s">
        <v>1437</v>
      </c>
      <c r="DR85" s="5" t="s">
        <v>486</v>
      </c>
      <c r="DS85" s="5">
        <f xml:space="preserve"> 0.080605</f>
        <v>8.0604999999999996E-2</v>
      </c>
      <c r="DT85" s="5" t="s">
        <v>806</v>
      </c>
    </row>
    <row r="86" spans="120:124">
      <c r="DP86" s="72" t="s">
        <v>808</v>
      </c>
      <c r="DQ86" s="5" t="s">
        <v>1438</v>
      </c>
      <c r="DR86" s="5" t="s">
        <v>1193</v>
      </c>
      <c r="DS86" s="5" t="s">
        <v>1439</v>
      </c>
      <c r="DT86" s="5" t="s">
        <v>807</v>
      </c>
    </row>
    <row r="87" spans="120:124">
      <c r="DP87" s="5" t="s">
        <v>934</v>
      </c>
      <c r="DQ87" s="5" t="s">
        <v>1440</v>
      </c>
      <c r="DR87" s="5" t="s">
        <v>486</v>
      </c>
      <c r="DS87" s="5">
        <f xml:space="preserve"> 0.062644</f>
        <v>6.2644000000000005E-2</v>
      </c>
      <c r="DT87" s="5" t="s">
        <v>806</v>
      </c>
    </row>
    <row r="88" spans="120:124">
      <c r="DP88" s="5" t="s">
        <v>934</v>
      </c>
      <c r="DQ88" s="5" t="s">
        <v>1441</v>
      </c>
      <c r="DR88" s="5" t="s">
        <v>486</v>
      </c>
      <c r="DS88" s="5">
        <f xml:space="preserve"> 0.087728</f>
        <v>8.7728E-2</v>
      </c>
      <c r="DT88" s="5" t="s">
        <v>806</v>
      </c>
    </row>
    <row r="89" spans="120:124">
      <c r="DP89" s="72" t="s">
        <v>808</v>
      </c>
      <c r="DQ89" s="5" t="s">
        <v>1442</v>
      </c>
      <c r="DR89" s="5" t="s">
        <v>1193</v>
      </c>
      <c r="DS89" s="5" t="s">
        <v>1443</v>
      </c>
      <c r="DT89" s="5" t="s">
        <v>807</v>
      </c>
    </row>
    <row r="90" spans="120:124">
      <c r="DP90" s="5" t="s">
        <v>934</v>
      </c>
      <c r="DQ90" s="5" t="s">
        <v>1444</v>
      </c>
      <c r="DR90" s="5" t="s">
        <v>486</v>
      </c>
      <c r="DS90" s="5">
        <f xml:space="preserve"> 0.077208</f>
        <v>7.7207999999999999E-2</v>
      </c>
      <c r="DT90" s="5" t="s">
        <v>806</v>
      </c>
    </row>
    <row r="91" spans="120:124">
      <c r="DP91" s="72" t="s">
        <v>808</v>
      </c>
      <c r="DQ91" s="5" t="s">
        <v>1445</v>
      </c>
      <c r="DR91" s="5" t="s">
        <v>1193</v>
      </c>
      <c r="DS91" s="5" t="s">
        <v>1253</v>
      </c>
      <c r="DT91" s="5" t="s">
        <v>807</v>
      </c>
    </row>
    <row r="92" spans="120:124">
      <c r="DP92" s="5" t="s">
        <v>934</v>
      </c>
      <c r="DQ92" s="5" t="s">
        <v>1446</v>
      </c>
      <c r="DR92" s="5" t="s">
        <v>486</v>
      </c>
      <c r="DS92" s="5">
        <f xml:space="preserve"> 0.083689</f>
        <v>8.3689E-2</v>
      </c>
      <c r="DT92" s="5" t="s">
        <v>806</v>
      </c>
    </row>
    <row r="93" spans="120:124">
      <c r="DP93" s="5" t="s">
        <v>934</v>
      </c>
      <c r="DQ93" s="5" t="s">
        <v>1447</v>
      </c>
      <c r="DR93" s="5" t="s">
        <v>486</v>
      </c>
      <c r="DS93" s="5">
        <f xml:space="preserve"> 0.05353</f>
        <v>5.3530000000000001E-2</v>
      </c>
      <c r="DT93" s="5" t="s">
        <v>806</v>
      </c>
    </row>
    <row r="94" spans="120:124">
      <c r="DP94" s="5" t="s">
        <v>934</v>
      </c>
      <c r="DQ94" s="5" t="s">
        <v>1448</v>
      </c>
      <c r="DR94" s="5" t="s">
        <v>486</v>
      </c>
      <c r="DS94" s="5">
        <f xml:space="preserve"> 0.085153</f>
        <v>8.5153000000000006E-2</v>
      </c>
      <c r="DT94" s="5" t="s">
        <v>806</v>
      </c>
    </row>
    <row r="95" spans="120:124">
      <c r="DP95" s="5" t="s">
        <v>934</v>
      </c>
      <c r="DQ95" s="5" t="s">
        <v>1449</v>
      </c>
      <c r="DR95" s="5" t="s">
        <v>486</v>
      </c>
      <c r="DS95" s="5">
        <f xml:space="preserve"> 0.070142</f>
        <v>7.0141999999999996E-2</v>
      </c>
      <c r="DT95" s="5" t="s">
        <v>806</v>
      </c>
    </row>
    <row r="96" spans="120:124">
      <c r="DP96" s="5" t="s">
        <v>934</v>
      </c>
      <c r="DQ96" s="5" t="s">
        <v>1450</v>
      </c>
      <c r="DR96" s="5" t="s">
        <v>486</v>
      </c>
      <c r="DS96" s="5">
        <f xml:space="preserve"> 0.057952</f>
        <v>5.7951999999999997E-2</v>
      </c>
      <c r="DT96" s="5" t="s">
        <v>806</v>
      </c>
    </row>
    <row r="97" spans="120:124">
      <c r="DP97" s="5" t="s">
        <v>934</v>
      </c>
      <c r="DQ97" s="5" t="s">
        <v>1451</v>
      </c>
      <c r="DR97" s="5" t="s">
        <v>486</v>
      </c>
      <c r="DS97" s="5">
        <f xml:space="preserve"> 0.079716</f>
        <v>7.9715999999999995E-2</v>
      </c>
      <c r="DT97" s="5" t="s">
        <v>806</v>
      </c>
    </row>
    <row r="98" spans="120:124">
      <c r="DP98" s="72" t="s">
        <v>808</v>
      </c>
      <c r="DQ98" s="5" t="s">
        <v>1452</v>
      </c>
      <c r="DR98" s="5" t="s">
        <v>1193</v>
      </c>
      <c r="DS98" s="5" t="s">
        <v>1453</v>
      </c>
      <c r="DT98" s="5" t="s">
        <v>807</v>
      </c>
    </row>
    <row r="99" spans="120:124">
      <c r="DP99" s="5" t="s">
        <v>934</v>
      </c>
      <c r="DQ99" s="5" t="s">
        <v>1454</v>
      </c>
      <c r="DR99" s="5" t="s">
        <v>486</v>
      </c>
      <c r="DS99" s="5">
        <f xml:space="preserve"> 0.083941</f>
        <v>8.3941000000000002E-2</v>
      </c>
      <c r="DT99" s="5" t="s">
        <v>806</v>
      </c>
    </row>
    <row r="100" spans="120:124">
      <c r="DP100" s="72" t="s">
        <v>808</v>
      </c>
      <c r="DQ100" s="5" t="s">
        <v>1455</v>
      </c>
      <c r="DR100" s="5" t="s">
        <v>1193</v>
      </c>
      <c r="DS100" s="5" t="s">
        <v>1456</v>
      </c>
      <c r="DT100" s="5" t="s">
        <v>807</v>
      </c>
    </row>
    <row r="101" spans="120:124">
      <c r="DP101" s="5" t="s">
        <v>934</v>
      </c>
      <c r="DQ101" s="5" t="s">
        <v>1457</v>
      </c>
      <c r="DR101" s="5" t="s">
        <v>486</v>
      </c>
      <c r="DS101" s="5">
        <f xml:space="preserve"> 0.081149</f>
        <v>8.1148999999999999E-2</v>
      </c>
      <c r="DT101" s="5" t="s">
        <v>806</v>
      </c>
    </row>
    <row r="102" spans="120:124">
      <c r="DP102" s="72" t="s">
        <v>808</v>
      </c>
      <c r="DQ102" s="5" t="s">
        <v>1458</v>
      </c>
      <c r="DR102" s="5" t="s">
        <v>1193</v>
      </c>
      <c r="DS102" s="5" t="s">
        <v>1459</v>
      </c>
      <c r="DT102" s="5" t="s">
        <v>807</v>
      </c>
    </row>
    <row r="103" spans="120:124">
      <c r="DP103" s="5" t="s">
        <v>934</v>
      </c>
      <c r="DQ103" s="5" t="s">
        <v>1460</v>
      </c>
      <c r="DR103" s="5" t="s">
        <v>486</v>
      </c>
      <c r="DS103" s="5">
        <f xml:space="preserve"> 0.087897</f>
        <v>8.7897000000000003E-2</v>
      </c>
      <c r="DT103" s="5" t="s">
        <v>806</v>
      </c>
    </row>
    <row r="104" spans="120:124">
      <c r="DP104" s="72" t="s">
        <v>808</v>
      </c>
      <c r="DQ104" s="5" t="s">
        <v>1461</v>
      </c>
      <c r="DR104" s="5" t="s">
        <v>1193</v>
      </c>
      <c r="DS104" s="5" t="s">
        <v>1462</v>
      </c>
      <c r="DT104" s="5" t="s">
        <v>807</v>
      </c>
    </row>
    <row r="105" spans="120:124">
      <c r="DP105" s="5" t="s">
        <v>934</v>
      </c>
      <c r="DQ105" s="5" t="s">
        <v>1463</v>
      </c>
      <c r="DR105" s="5" t="s">
        <v>486</v>
      </c>
      <c r="DS105" s="5">
        <f xml:space="preserve"> 0.060951</f>
        <v>6.0950999999999998E-2</v>
      </c>
      <c r="DT105" s="5" t="s">
        <v>806</v>
      </c>
    </row>
    <row r="106" spans="120:124">
      <c r="DP106" s="72" t="s">
        <v>808</v>
      </c>
      <c r="DQ106" s="5" t="s">
        <v>1464</v>
      </c>
      <c r="DR106" s="5" t="s">
        <v>1193</v>
      </c>
      <c r="DS106" s="5" t="s">
        <v>1278</v>
      </c>
      <c r="DT106" s="5" t="s">
        <v>807</v>
      </c>
    </row>
    <row r="107" spans="120:124">
      <c r="DP107" s="5" t="s">
        <v>934</v>
      </c>
      <c r="DQ107" s="5" t="s">
        <v>1465</v>
      </c>
      <c r="DR107" s="5" t="s">
        <v>486</v>
      </c>
      <c r="DS107" s="5">
        <f xml:space="preserve"> 0.078346</f>
        <v>7.8345999999999999E-2</v>
      </c>
      <c r="DT107" s="5" t="s">
        <v>806</v>
      </c>
    </row>
    <row r="108" spans="120:124">
      <c r="DP108" s="72" t="s">
        <v>808</v>
      </c>
      <c r="DQ108" s="5" t="s">
        <v>1466</v>
      </c>
      <c r="DR108" s="5" t="s">
        <v>1193</v>
      </c>
      <c r="DS108" s="5" t="s">
        <v>1467</v>
      </c>
      <c r="DT108" s="5" t="s">
        <v>807</v>
      </c>
    </row>
    <row r="109" spans="120:124">
      <c r="DP109" s="5" t="s">
        <v>934</v>
      </c>
      <c r="DQ109" s="5" t="s">
        <v>1468</v>
      </c>
      <c r="DR109" s="5" t="s">
        <v>486</v>
      </c>
      <c r="DS109" s="5">
        <f xml:space="preserve"> 0.079427</f>
        <v>7.9426999999999998E-2</v>
      </c>
      <c r="DT109" s="5" t="s">
        <v>806</v>
      </c>
    </row>
    <row r="110" spans="120:124">
      <c r="DP110" s="72" t="s">
        <v>808</v>
      </c>
      <c r="DQ110" s="5" t="s">
        <v>1469</v>
      </c>
      <c r="DR110" s="5" t="s">
        <v>1193</v>
      </c>
      <c r="DS110" s="5" t="s">
        <v>1470</v>
      </c>
      <c r="DT110" s="5" t="s">
        <v>807</v>
      </c>
    </row>
    <row r="111" spans="120:124">
      <c r="DP111" s="5" t="s">
        <v>934</v>
      </c>
      <c r="DQ111" s="5" t="s">
        <v>1471</v>
      </c>
      <c r="DR111" s="5" t="s">
        <v>486</v>
      </c>
      <c r="DS111" s="5">
        <f xml:space="preserve"> 0.08316</f>
        <v>8.3159999999999998E-2</v>
      </c>
      <c r="DT111" s="5" t="s">
        <v>806</v>
      </c>
    </row>
    <row r="112" spans="120:124">
      <c r="DP112" s="5" t="s">
        <v>934</v>
      </c>
      <c r="DQ112" s="5" t="s">
        <v>1472</v>
      </c>
      <c r="DR112" s="5" t="s">
        <v>486</v>
      </c>
      <c r="DS112" s="5">
        <f xml:space="preserve"> 0.084612</f>
        <v>8.4612000000000007E-2</v>
      </c>
      <c r="DT112" s="5" t="s">
        <v>806</v>
      </c>
    </row>
    <row r="113" spans="120:124">
      <c r="DP113" s="72" t="s">
        <v>808</v>
      </c>
      <c r="DQ113" s="5" t="s">
        <v>1473</v>
      </c>
      <c r="DR113" s="5" t="s">
        <v>1193</v>
      </c>
      <c r="DS113" s="5" t="s">
        <v>1474</v>
      </c>
      <c r="DT113" s="5" t="s">
        <v>807</v>
      </c>
    </row>
    <row r="114" spans="120:124">
      <c r="DP114" s="5" t="s">
        <v>934</v>
      </c>
      <c r="DQ114" s="5" t="s">
        <v>1475</v>
      </c>
      <c r="DR114" s="5" t="s">
        <v>486</v>
      </c>
      <c r="DS114" s="5">
        <f xml:space="preserve"> 0.082803</f>
        <v>8.2803000000000002E-2</v>
      </c>
      <c r="DT114" s="5" t="s">
        <v>806</v>
      </c>
    </row>
    <row r="115" spans="120:124">
      <c r="DP115" s="72" t="s">
        <v>808</v>
      </c>
      <c r="DQ115" s="5" t="s">
        <v>1476</v>
      </c>
      <c r="DR115" s="5" t="s">
        <v>1193</v>
      </c>
      <c r="DS115" s="5" t="s">
        <v>1477</v>
      </c>
      <c r="DT115" s="5" t="s">
        <v>807</v>
      </c>
    </row>
    <row r="116" spans="120:124">
      <c r="DP116" s="5" t="s">
        <v>934</v>
      </c>
      <c r="DQ116" s="5" t="s">
        <v>1478</v>
      </c>
      <c r="DR116" s="5" t="s">
        <v>486</v>
      </c>
      <c r="DS116" s="5">
        <f xml:space="preserve"> 0.086707</f>
        <v>8.6707000000000006E-2</v>
      </c>
      <c r="DT116" s="5" t="s">
        <v>806</v>
      </c>
    </row>
    <row r="117" spans="120:124">
      <c r="DP117" s="5" t="s">
        <v>934</v>
      </c>
      <c r="DQ117" s="5" t="s">
        <v>1479</v>
      </c>
      <c r="DR117" s="5" t="s">
        <v>486</v>
      </c>
      <c r="DS117" s="5">
        <f xml:space="preserve"> 0.082944</f>
        <v>8.2944000000000004E-2</v>
      </c>
      <c r="DT117" s="5" t="s">
        <v>806</v>
      </c>
    </row>
    <row r="118" spans="120:124">
      <c r="DP118" s="72" t="s">
        <v>808</v>
      </c>
      <c r="DQ118" s="5" t="s">
        <v>1480</v>
      </c>
      <c r="DR118" s="5" t="s">
        <v>1193</v>
      </c>
      <c r="DS118" s="5" t="s">
        <v>1296</v>
      </c>
      <c r="DT118" s="5" t="s">
        <v>807</v>
      </c>
    </row>
    <row r="119" spans="120:124">
      <c r="DP119" s="5" t="s">
        <v>934</v>
      </c>
      <c r="DQ119" s="5" t="s">
        <v>1481</v>
      </c>
      <c r="DR119" s="5" t="s">
        <v>486</v>
      </c>
      <c r="DS119" s="5">
        <f xml:space="preserve"> 0.079682</f>
        <v>7.9682000000000003E-2</v>
      </c>
      <c r="DT119" s="5" t="s">
        <v>806</v>
      </c>
    </row>
    <row r="120" spans="120:124">
      <c r="DP120" s="72" t="s">
        <v>808</v>
      </c>
      <c r="DQ120" s="5" t="s">
        <v>1482</v>
      </c>
      <c r="DR120" s="5" t="s">
        <v>1193</v>
      </c>
      <c r="DS120" s="5" t="s">
        <v>1483</v>
      </c>
      <c r="DT120" s="5" t="s">
        <v>807</v>
      </c>
    </row>
    <row r="121" spans="120:124">
      <c r="DP121" s="5" t="s">
        <v>934</v>
      </c>
      <c r="DQ121" s="5" t="s">
        <v>1484</v>
      </c>
      <c r="DR121" s="5" t="s">
        <v>486</v>
      </c>
      <c r="DS121" s="5">
        <f xml:space="preserve"> 0.076098</f>
        <v>7.6097999999999999E-2</v>
      </c>
      <c r="DT121" s="5" t="s">
        <v>806</v>
      </c>
    </row>
    <row r="122" spans="120:124">
      <c r="DP122" s="72" t="s">
        <v>808</v>
      </c>
      <c r="DQ122" s="5" t="s">
        <v>1485</v>
      </c>
      <c r="DR122" s="5" t="s">
        <v>1193</v>
      </c>
      <c r="DS122" s="5" t="s">
        <v>1312</v>
      </c>
      <c r="DT122" s="5" t="s">
        <v>807</v>
      </c>
    </row>
    <row r="123" spans="120:124">
      <c r="DP123" s="5" t="s">
        <v>934</v>
      </c>
      <c r="DQ123" s="5" t="s">
        <v>1486</v>
      </c>
      <c r="DR123" s="5" t="s">
        <v>486</v>
      </c>
      <c r="DS123" s="5">
        <f xml:space="preserve"> 0.071046</f>
        <v>7.1045999999999998E-2</v>
      </c>
      <c r="DT123" s="5" t="s">
        <v>806</v>
      </c>
    </row>
    <row r="124" spans="120:124">
      <c r="DP124" s="5" t="s">
        <v>934</v>
      </c>
      <c r="DQ124" s="5" t="s">
        <v>1487</v>
      </c>
      <c r="DR124" s="5" t="s">
        <v>486</v>
      </c>
      <c r="DS124" s="5">
        <f xml:space="preserve"> 0.088685</f>
        <v>8.8685E-2</v>
      </c>
      <c r="DT124" s="5" t="s">
        <v>806</v>
      </c>
    </row>
    <row r="125" spans="120:124">
      <c r="DP125" s="72" t="s">
        <v>808</v>
      </c>
      <c r="DQ125" s="5" t="s">
        <v>1488</v>
      </c>
      <c r="DR125" s="5" t="s">
        <v>1193</v>
      </c>
      <c r="DS125" s="5" t="s">
        <v>1489</v>
      </c>
      <c r="DT125" s="5" t="s">
        <v>807</v>
      </c>
    </row>
    <row r="126" spans="120:124">
      <c r="DP126" s="5" t="s">
        <v>934</v>
      </c>
      <c r="DQ126" s="5" t="s">
        <v>1490</v>
      </c>
      <c r="DR126" s="5" t="s">
        <v>486</v>
      </c>
      <c r="DS126" s="5">
        <f xml:space="preserve"> 0.084183</f>
        <v>8.4182999999999994E-2</v>
      </c>
      <c r="DT126" s="5" t="s">
        <v>806</v>
      </c>
    </row>
    <row r="127" spans="120:124">
      <c r="DP127" s="72" t="s">
        <v>808</v>
      </c>
      <c r="DQ127" s="5" t="s">
        <v>1491</v>
      </c>
      <c r="DR127" s="5" t="s">
        <v>1193</v>
      </c>
      <c r="DS127" s="5" t="s">
        <v>1492</v>
      </c>
      <c r="DT127" s="5" t="s">
        <v>807</v>
      </c>
    </row>
    <row r="128" spans="120:124">
      <c r="DP128" s="5" t="s">
        <v>934</v>
      </c>
      <c r="DQ128" s="5" t="s">
        <v>1493</v>
      </c>
      <c r="DR128" s="5" t="s">
        <v>486</v>
      </c>
      <c r="DS128" s="5">
        <f xml:space="preserve"> 0.082628</f>
        <v>8.2627999999999993E-2</v>
      </c>
      <c r="DT128" s="5" t="s">
        <v>806</v>
      </c>
    </row>
    <row r="129" spans="120:124">
      <c r="DP129" s="72" t="s">
        <v>808</v>
      </c>
      <c r="DQ129" s="5" t="s">
        <v>1494</v>
      </c>
      <c r="DR129" s="5" t="s">
        <v>1193</v>
      </c>
      <c r="DS129" s="5" t="s">
        <v>1495</v>
      </c>
      <c r="DT129" s="5" t="s">
        <v>807</v>
      </c>
    </row>
    <row r="130" spans="120:124">
      <c r="DP130" s="5" t="s">
        <v>934</v>
      </c>
      <c r="DQ130" s="5" t="s">
        <v>1496</v>
      </c>
      <c r="DR130" s="5" t="s">
        <v>486</v>
      </c>
      <c r="DS130" s="5">
        <f xml:space="preserve"> 0.087825</f>
        <v>8.7825E-2</v>
      </c>
      <c r="DT130" s="5" t="s">
        <v>806</v>
      </c>
    </row>
    <row r="131" spans="120:124">
      <c r="DP131" s="72" t="s">
        <v>808</v>
      </c>
      <c r="DQ131" s="5" t="s">
        <v>1497</v>
      </c>
      <c r="DR131" s="5" t="s">
        <v>1193</v>
      </c>
      <c r="DS131" s="5" t="s">
        <v>1498</v>
      </c>
      <c r="DT131" s="5" t="s">
        <v>807</v>
      </c>
    </row>
    <row r="132" spans="120:124">
      <c r="DP132" s="5" t="s">
        <v>934</v>
      </c>
      <c r="DQ132" s="5" t="s">
        <v>1499</v>
      </c>
      <c r="DR132" s="5" t="s">
        <v>486</v>
      </c>
      <c r="DS132" s="5">
        <f xml:space="preserve"> 0.073923</f>
        <v>7.3923000000000003E-2</v>
      </c>
      <c r="DT132" s="5" t="s">
        <v>806</v>
      </c>
    </row>
  </sheetData>
  <mergeCells count="5">
    <mergeCell ref="A1:M1"/>
    <mergeCell ref="T1:CT1"/>
    <mergeCell ref="DP1:DS1"/>
    <mergeCell ref="DU1:GW1"/>
    <mergeCell ref="DP35:DS3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Sheet1</vt:lpstr>
      <vt:lpstr>pre5OBU</vt:lpstr>
      <vt:lpstr>1OBU</vt:lpstr>
      <vt:lpstr>10OBU</vt:lpstr>
      <vt:lpstr>20OBU</vt:lpstr>
      <vt:lpstr>40OBU</vt:lpstr>
      <vt:lpstr>60OBU</vt:lpstr>
      <vt:lpstr>80OBU</vt:lpstr>
      <vt:lpstr>100OBU</vt:lpstr>
      <vt:lpstr>'100OBU'!_100obu.80211_N101_P1_InOutThrput</vt:lpstr>
      <vt:lpstr>'100OBU'!_100obu.80211_N102_P1_InOutThrput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2017-09-20T16:46:31Z</dcterms:modified>
</cp:coreProperties>
</file>