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 works\MIX DESIGN\MIX\"/>
    </mc:Choice>
  </mc:AlternateContent>
  <xr:revisionPtr revIDLastSave="0" documentId="13_ncr:1_{F5705CCA-3FDD-443E-BCD9-43A207B61D97}" xr6:coauthVersionLast="47" xr6:coauthVersionMax="47" xr10:uidLastSave="{00000000-0000-0000-0000-000000000000}"/>
  <bookViews>
    <workbookView xWindow="-108" yWindow="-108" windowWidth="23256" windowHeight="13176" firstSheet="1" activeTab="1" xr2:uid="{0D557884-ED73-4898-9912-E7DB1F8D2F8D}"/>
  </bookViews>
  <sheets>
    <sheet name="CALCULATIONS" sheetId="1" state="hidden" r:id="rId1"/>
    <sheet name="MIX DESIGN " sheetId="3" r:id="rId2"/>
    <sheet name="MOULD CALCULATION" sheetId="5" r:id="rId3"/>
    <sheet name="MIX DESIGN - PRINT " sheetId="4" r:id="rId4"/>
    <sheet name="DASHBOARD" sheetId="2" state="hidden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5" l="1"/>
  <c r="F3" i="5"/>
  <c r="B13" i="5"/>
  <c r="E5" i="4" l="1"/>
  <c r="M17" i="3"/>
  <c r="M17" i="4" s="1"/>
  <c r="K22" i="4" s="1"/>
  <c r="F4" i="4"/>
  <c r="B3" i="5"/>
  <c r="M7" i="4"/>
  <c r="E19" i="4"/>
  <c r="E18" i="4"/>
  <c r="E17" i="4"/>
  <c r="E16" i="4"/>
  <c r="E15" i="4"/>
  <c r="E14" i="4"/>
  <c r="E13" i="4"/>
  <c r="E10" i="4"/>
  <c r="E7" i="4"/>
  <c r="E6" i="4"/>
  <c r="D32" i="1"/>
  <c r="AN59" i="1"/>
  <c r="AN61" i="1"/>
  <c r="AN60" i="1"/>
  <c r="U5" i="3"/>
  <c r="U6" i="3" s="1"/>
  <c r="U7" i="3" l="1"/>
  <c r="U8" i="3" s="1"/>
  <c r="M9" i="3" s="1"/>
  <c r="M5" i="3"/>
  <c r="M5" i="4" s="1"/>
  <c r="U3" i="3"/>
  <c r="M6" i="3" s="1"/>
  <c r="U4" i="3" s="1"/>
  <c r="M8" i="3" s="1"/>
  <c r="M13" i="3" s="1"/>
  <c r="C22" i="3" s="1"/>
  <c r="C22" i="4" s="1"/>
  <c r="K22" i="3"/>
  <c r="M14" i="3" l="1"/>
  <c r="F7" i="5" s="1"/>
  <c r="M13" i="4"/>
  <c r="F6" i="5"/>
  <c r="B16" i="5"/>
  <c r="M6" i="4"/>
  <c r="U9" i="3"/>
  <c r="M8" i="4"/>
  <c r="B6" i="5"/>
  <c r="F16" i="5"/>
  <c r="U10" i="3"/>
  <c r="M10" i="3"/>
  <c r="M10" i="4" s="1"/>
  <c r="M9" i="4"/>
  <c r="U11" i="3" l="1"/>
  <c r="M16" i="3" s="1"/>
  <c r="G22" i="3" s="1"/>
  <c r="G22" i="4" s="1"/>
  <c r="F17" i="5"/>
  <c r="B17" i="5"/>
  <c r="M14" i="4"/>
  <c r="B7" i="5"/>
  <c r="F9" i="5" l="1"/>
  <c r="M16" i="4"/>
  <c r="M15" i="3"/>
  <c r="E22" i="3" s="1"/>
  <c r="E22" i="4" s="1"/>
  <c r="B19" i="5"/>
  <c r="B9" i="5"/>
  <c r="F19" i="5"/>
  <c r="M15" i="4" l="1"/>
  <c r="F18" i="5"/>
  <c r="F8" i="5"/>
  <c r="B8" i="5"/>
  <c r="B18" i="5"/>
  <c r="U2" i="3"/>
  <c r="U1" i="3"/>
  <c r="M4" i="3" l="1"/>
  <c r="M4" i="4" s="1"/>
  <c r="C29" i="2"/>
  <c r="A23" i="2"/>
  <c r="A31" i="2" s="1"/>
  <c r="G19" i="2" s="1"/>
  <c r="A24" i="2"/>
  <c r="A32" i="2" s="1"/>
  <c r="G20" i="2" s="1"/>
  <c r="A25" i="2"/>
  <c r="A33" i="2" s="1"/>
  <c r="G21" i="2" s="1"/>
  <c r="A22" i="2"/>
  <c r="A30" i="2" s="1"/>
  <c r="G18" i="2" s="1"/>
  <c r="E16" i="2"/>
  <c r="E17" i="2"/>
  <c r="E15" i="2"/>
  <c r="F14" i="2"/>
  <c r="E4" i="2"/>
  <c r="E11" i="2"/>
  <c r="E10" i="2"/>
  <c r="E7" i="2"/>
  <c r="E6" i="2"/>
  <c r="E5" i="2"/>
  <c r="G10" i="2" l="1"/>
  <c r="G13" i="2"/>
  <c r="G12" i="2"/>
  <c r="G11" i="2"/>
  <c r="D54" i="1"/>
  <c r="E40" i="1"/>
  <c r="E43" i="1" s="1"/>
  <c r="D63" i="1"/>
  <c r="F29" i="1"/>
  <c r="F28" i="1"/>
  <c r="C28" i="1" s="1"/>
  <c r="E46" i="1" l="1"/>
  <c r="E48" i="1" s="1"/>
  <c r="E49" i="1" s="1"/>
  <c r="D76" i="1"/>
  <c r="D73" i="1"/>
  <c r="C23" i="2" s="1"/>
  <c r="D65" i="1"/>
  <c r="D56" i="1" l="1"/>
  <c r="D58" i="1" s="1"/>
  <c r="D64" i="1"/>
  <c r="D66" i="1" s="1"/>
  <c r="D72" i="1"/>
  <c r="I11" i="2"/>
  <c r="C31" i="2"/>
  <c r="C22" i="2"/>
  <c r="G5" i="2" l="1"/>
  <c r="C30" i="2"/>
  <c r="I10" i="2"/>
  <c r="J5" i="2"/>
  <c r="D67" i="1"/>
  <c r="D75" i="1" s="1"/>
  <c r="C25" i="2" s="1"/>
  <c r="D68" i="1"/>
  <c r="D74" i="1" s="1"/>
  <c r="C24" i="2" s="1"/>
  <c r="C32" i="2" l="1"/>
  <c r="I12" i="2"/>
  <c r="H5" i="2"/>
  <c r="C33" i="2"/>
  <c r="I13" i="2"/>
  <c r="I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theertha giri</author>
  </authors>
  <commentList>
    <comment ref="D54" authorId="0" shapeId="0" xr:uid="{A2FF0D2D-A205-4DE7-965F-4A9B0B951500}">
      <text>
        <r>
          <rPr>
            <b/>
            <sz val="9"/>
            <color indexed="81"/>
            <rFont val="Tahoma"/>
            <family val="2"/>
          </rPr>
          <t>theertha giri:</t>
        </r>
        <r>
          <rPr>
            <sz val="9"/>
            <color indexed="81"/>
            <rFont val="Tahoma"/>
            <family val="2"/>
          </rPr>
          <t xml:space="preserve">
REFFER TABLE 5 IS10262:2019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theertha giri</author>
  </authors>
  <commentList>
    <comment ref="U1" authorId="0" shapeId="0" xr:uid="{0C663C77-0F22-4E4C-B1FC-EFBD40A9018C}">
      <text>
        <r>
          <rPr>
            <b/>
            <sz val="9"/>
            <color indexed="81"/>
            <rFont val="Tahoma"/>
            <family val="2"/>
          </rPr>
          <t>X value table 1 is 10262</t>
        </r>
      </text>
    </comment>
    <comment ref="U2" authorId="0" shapeId="0" xr:uid="{C37633D1-A4C9-4E62-8B87-721FF5808557}">
      <text>
        <r>
          <rPr>
            <b/>
            <sz val="9"/>
            <color indexed="81"/>
            <rFont val="Tahoma"/>
            <family val="2"/>
          </rPr>
          <t>S value table 1 IS10262</t>
        </r>
      </text>
    </comment>
    <comment ref="U3" authorId="0" shapeId="0" xr:uid="{C47D0E35-682B-44DF-A720-5A81112584C4}">
      <text>
        <r>
          <rPr>
            <b/>
            <sz val="9"/>
            <color indexed="81"/>
            <rFont val="Tahoma"/>
            <family val="2"/>
          </rPr>
          <t>Water contentnn for 50mm slump</t>
        </r>
      </text>
    </comment>
    <comment ref="U4" authorId="0" shapeId="0" xr:uid="{0D4B2F95-5F66-43F4-B153-7E6D628D4EDE}">
      <text>
        <r>
          <rPr>
            <b/>
            <sz val="9"/>
            <color indexed="81"/>
            <rFont val="Tahoma"/>
            <family val="2"/>
          </rPr>
          <t>CEMENT CONTENT</t>
        </r>
      </text>
    </comment>
    <comment ref="U5" authorId="0" shapeId="0" xr:uid="{F8AD9A4B-DC9D-4F30-BD4D-0F16FD4671DD}">
      <text>
        <r>
          <rPr>
            <b/>
            <sz val="9"/>
            <color indexed="81"/>
            <rFont val="Tahoma"/>
            <family val="2"/>
          </rPr>
          <t>0.5 - w/c</t>
        </r>
      </text>
    </comment>
    <comment ref="U6" authorId="0" shapeId="0" xr:uid="{D2F93E71-8117-4E17-80D4-9D755066947E}">
      <text>
        <r>
          <rPr>
            <b/>
            <sz val="9"/>
            <color indexed="81"/>
            <rFont val="Tahoma"/>
            <family val="2"/>
          </rPr>
          <t>theertha giri:</t>
        </r>
        <r>
          <rPr>
            <sz val="9"/>
            <color indexed="81"/>
            <rFont val="Tahoma"/>
            <family val="2"/>
          </rPr>
          <t xml:space="preserve">
Interpolation</t>
        </r>
      </text>
    </comment>
    <comment ref="M7" authorId="0" shapeId="0" xr:uid="{B785AA4D-7458-4F82-BC5B-55AD21A33564}">
      <text>
        <r>
          <rPr>
            <b/>
            <sz val="9"/>
            <color indexed="81"/>
            <rFont val="Tahoma"/>
            <family val="2"/>
          </rPr>
          <t>ENTER MANUALLY</t>
        </r>
      </text>
    </comment>
    <comment ref="U7" authorId="0" shapeId="0" xr:uid="{99237BBB-9A0F-4A11-AEB7-614AB4671A35}">
      <text>
        <r>
          <rPr>
            <b/>
            <sz val="9"/>
            <color indexed="81"/>
            <rFont val="Tahoma"/>
            <family val="2"/>
          </rPr>
          <t>ZONE ( average of all zones)</t>
        </r>
      </text>
    </comment>
    <comment ref="U8" authorId="0" shapeId="0" xr:uid="{415807EA-4E44-4AF1-A768-DEF74DD10341}">
      <text>
        <r>
          <rPr>
            <b/>
            <sz val="9"/>
            <color indexed="81"/>
            <rFont val="Tahoma"/>
            <family val="2"/>
          </rPr>
          <t>vol. of CA</t>
        </r>
      </text>
    </comment>
    <comment ref="U9" authorId="0" shapeId="0" xr:uid="{53EBAF1D-4BEE-4A4D-A34F-110BDDFDF82D}">
      <text>
        <r>
          <rPr>
            <sz val="9"/>
            <color indexed="81"/>
            <rFont val="Tahoma"/>
            <family val="2"/>
          </rPr>
          <t xml:space="preserve">
volume of cement</t>
        </r>
      </text>
    </comment>
    <comment ref="U10" authorId="0" shapeId="0" xr:uid="{30C12753-423A-420C-891C-1AAC9B321FFC}">
      <text>
        <r>
          <rPr>
            <b/>
            <sz val="9"/>
            <color indexed="81"/>
            <rFont val="Tahoma"/>
            <family val="2"/>
          </rPr>
          <t>volume of water</t>
        </r>
      </text>
    </comment>
    <comment ref="U11" authorId="0" shapeId="0" xr:uid="{CB97D385-392A-4130-BF53-CB5296A84B22}">
      <text>
        <r>
          <rPr>
            <b/>
            <sz val="9"/>
            <color indexed="81"/>
            <rFont val="Tahoma"/>
            <family val="2"/>
          </rPr>
          <t>volume of aggregates</t>
        </r>
      </text>
    </comment>
  </commentList>
</comments>
</file>

<file path=xl/sharedStrings.xml><?xml version="1.0" encoding="utf-8"?>
<sst xmlns="http://schemas.openxmlformats.org/spreadsheetml/2006/main" count="480" uniqueCount="204">
  <si>
    <t>CONCRETE MIX PROPORTIONING</t>
  </si>
  <si>
    <r>
      <t xml:space="preserve">Table 1 value of </t>
    </r>
    <r>
      <rPr>
        <b/>
        <i/>
        <sz val="12"/>
        <color theme="1"/>
        <rFont val="Times New Roman"/>
        <family val="1"/>
      </rPr>
      <t xml:space="preserve">X </t>
    </r>
    <r>
      <rPr>
        <b/>
        <sz val="12"/>
        <color theme="1"/>
        <rFont val="Times New Roman"/>
        <family val="1"/>
      </rPr>
      <t>IS 10262</t>
    </r>
  </si>
  <si>
    <t>Table 3 Air content IS 10262</t>
  </si>
  <si>
    <t>1)</t>
  </si>
  <si>
    <t>STIPULATIONS</t>
  </si>
  <si>
    <t>GRADES</t>
  </si>
  <si>
    <t>AGG.SIZE</t>
  </si>
  <si>
    <t>EXPOSURE</t>
  </si>
  <si>
    <t>WORKABILITY</t>
  </si>
  <si>
    <t>ZONE</t>
  </si>
  <si>
    <t>S/N</t>
  </si>
  <si>
    <t>GRADE</t>
  </si>
  <si>
    <t>X</t>
  </si>
  <si>
    <t>Nominal maximin size of aggregate (mm)</t>
  </si>
  <si>
    <t>Entraped air % of volume of concrete</t>
  </si>
  <si>
    <t>MILD</t>
  </si>
  <si>
    <t>a)</t>
  </si>
  <si>
    <t>Grade Designation</t>
  </si>
  <si>
    <t>:</t>
  </si>
  <si>
    <t>M</t>
  </si>
  <si>
    <t>M10</t>
  </si>
  <si>
    <t>MODERATE</t>
  </si>
  <si>
    <t>b)</t>
  </si>
  <si>
    <t>Type of cement</t>
  </si>
  <si>
    <t>OPC 53 Grade</t>
  </si>
  <si>
    <t>M15</t>
  </si>
  <si>
    <t>SEVERE</t>
  </si>
  <si>
    <t>c)</t>
  </si>
  <si>
    <t>Maximum niminal size of aggregate</t>
  </si>
  <si>
    <t>mm</t>
  </si>
  <si>
    <t>M20</t>
  </si>
  <si>
    <t>VER SEVERE</t>
  </si>
  <si>
    <t>d)</t>
  </si>
  <si>
    <t>Exposure condition</t>
  </si>
  <si>
    <t>M25</t>
  </si>
  <si>
    <t>EXTREME</t>
  </si>
  <si>
    <t>e)</t>
  </si>
  <si>
    <t>Workability</t>
  </si>
  <si>
    <t>M30</t>
  </si>
  <si>
    <t>f)</t>
  </si>
  <si>
    <t>Maximum cement content</t>
  </si>
  <si>
    <r>
      <t>kg/m</t>
    </r>
    <r>
      <rPr>
        <vertAlign val="superscript"/>
        <sz val="12"/>
        <color theme="1"/>
        <rFont val="Times New Roman"/>
        <family val="1"/>
      </rPr>
      <t>3</t>
    </r>
  </si>
  <si>
    <t>M40</t>
  </si>
  <si>
    <t>CONCRETE</t>
  </si>
  <si>
    <t>g)</t>
  </si>
  <si>
    <t>Chemical Admixture type</t>
  </si>
  <si>
    <t>-</t>
  </si>
  <si>
    <t>M45</t>
  </si>
  <si>
    <t>Plain</t>
  </si>
  <si>
    <t>h)</t>
  </si>
  <si>
    <t>Concrete type</t>
  </si>
  <si>
    <t>M50</t>
  </si>
  <si>
    <t>REINFORCED</t>
  </si>
  <si>
    <t>2)</t>
  </si>
  <si>
    <t>TEST DATA FOR MATERIALS</t>
  </si>
  <si>
    <t>M55</t>
  </si>
  <si>
    <t>M60</t>
  </si>
  <si>
    <t>Specific gravity of Cement</t>
  </si>
  <si>
    <t xml:space="preserve">&gt; M65 </t>
  </si>
  <si>
    <t>Specific gravity of Coarse aggregate</t>
  </si>
  <si>
    <t>Specific gravity of Fine aggregate</t>
  </si>
  <si>
    <t>Table 2 value of S IS 10262</t>
  </si>
  <si>
    <t>Specific gravity of Chemical admixture</t>
  </si>
  <si>
    <t>Water absorption of Fine aggregate</t>
  </si>
  <si>
    <t>%</t>
  </si>
  <si>
    <t>S</t>
  </si>
  <si>
    <t>Water absorption of Coarse aggregate</t>
  </si>
  <si>
    <t>Seive analysis of Fine aggregate</t>
  </si>
  <si>
    <t>Seive analysis of Coarse aggregate</t>
  </si>
  <si>
    <t>3)</t>
  </si>
  <si>
    <t>TARGET STRENGTH</t>
  </si>
  <si>
    <t>f 'ck =</t>
  </si>
  <si>
    <r>
      <t>N/mm</t>
    </r>
    <r>
      <rPr>
        <vertAlign val="superscript"/>
        <sz val="12"/>
        <color theme="1"/>
        <rFont val="Times New Roman"/>
        <family val="1"/>
      </rPr>
      <t>2</t>
    </r>
  </si>
  <si>
    <t>4)</t>
  </si>
  <si>
    <t>AIR CONTENT</t>
  </si>
  <si>
    <t>FIG:1, Free water-cement ratio IS 1062</t>
  </si>
  <si>
    <t xml:space="preserve">M65 </t>
  </si>
  <si>
    <t xml:space="preserve">Air content = </t>
  </si>
  <si>
    <t>M70</t>
  </si>
  <si>
    <t>M75</t>
  </si>
  <si>
    <t>5)</t>
  </si>
  <si>
    <t>WATER - CEMENT RATIO</t>
  </si>
  <si>
    <t>M80</t>
  </si>
  <si>
    <t>Table : 5 IS 456:2000</t>
  </si>
  <si>
    <t xml:space="preserve">w/c = </t>
  </si>
  <si>
    <t>From graph</t>
  </si>
  <si>
    <t>Exposure</t>
  </si>
  <si>
    <t>Plain concrete</t>
  </si>
  <si>
    <t>Reinforced concrete</t>
  </si>
  <si>
    <r>
      <t>Min cement content (kg/m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)</t>
    </r>
  </si>
  <si>
    <t>Min W/C</t>
  </si>
  <si>
    <t>Min Grade</t>
  </si>
  <si>
    <t>6)</t>
  </si>
  <si>
    <t>WATER CONTENT</t>
  </si>
  <si>
    <t>[1]</t>
  </si>
  <si>
    <t>[2]</t>
  </si>
  <si>
    <t>[3]</t>
  </si>
  <si>
    <t>[4]</t>
  </si>
  <si>
    <t>[5]</t>
  </si>
  <si>
    <t>[6]</t>
  </si>
  <si>
    <t>[7]</t>
  </si>
  <si>
    <t>[8]</t>
  </si>
  <si>
    <t>water content for 50mm slump =</t>
  </si>
  <si>
    <t>kg</t>
  </si>
  <si>
    <t>Mild</t>
  </si>
  <si>
    <t>Moderate</t>
  </si>
  <si>
    <t>Increase 3% for ever 25 mm slump</t>
  </si>
  <si>
    <t>Severe</t>
  </si>
  <si>
    <t>Very severe</t>
  </si>
  <si>
    <t>M35</t>
  </si>
  <si>
    <t xml:space="preserve">Estimated water  = </t>
  </si>
  <si>
    <t>Extreme</t>
  </si>
  <si>
    <t>Table: 4 IS 10262</t>
  </si>
  <si>
    <t>7)</t>
  </si>
  <si>
    <t>CEMENT CONTENT</t>
  </si>
  <si>
    <t>Water content (kg)</t>
  </si>
  <si>
    <t>Cement content =</t>
  </si>
  <si>
    <t>8)</t>
  </si>
  <si>
    <t>VOLUME OF COARES &amp; FINE AGGREGATE</t>
  </si>
  <si>
    <t>Table: 5 IS 10262</t>
  </si>
  <si>
    <t>For 0.5 w/c =</t>
  </si>
  <si>
    <t xml:space="preserve">Volume of coarse aggregate per unit volume of total aggregate for different zone of fine aggregate </t>
  </si>
  <si>
    <t>Volume of Coarse aggregates =</t>
  </si>
  <si>
    <t>Zone 4</t>
  </si>
  <si>
    <t>Zone 3</t>
  </si>
  <si>
    <t>Zone 2</t>
  </si>
  <si>
    <t>Zone 1</t>
  </si>
  <si>
    <t>Volume of fine aggregates =</t>
  </si>
  <si>
    <r>
      <t>m</t>
    </r>
    <r>
      <rPr>
        <vertAlign val="superscript"/>
        <sz val="12"/>
        <color theme="1"/>
        <rFont val="Times New Roman"/>
        <family val="1"/>
      </rPr>
      <t>3</t>
    </r>
  </si>
  <si>
    <t>Air entraped</t>
  </si>
  <si>
    <t>c</t>
  </si>
  <si>
    <t xml:space="preserve">Total Volume </t>
  </si>
  <si>
    <t>Volume of cement</t>
  </si>
  <si>
    <t>MIX CALCULATION</t>
  </si>
  <si>
    <t>Volume of Water</t>
  </si>
  <si>
    <t>Volume of aggregates</t>
  </si>
  <si>
    <t>Mass of CA</t>
  </si>
  <si>
    <t>Mass of FA</t>
  </si>
  <si>
    <t>PROPORTIONS</t>
  </si>
  <si>
    <t>CEMENT</t>
  </si>
  <si>
    <t>WATER</t>
  </si>
  <si>
    <t>FINE AGGREGATE</t>
  </si>
  <si>
    <t>COARSE AGGREGATE</t>
  </si>
  <si>
    <t>w/c</t>
  </si>
  <si>
    <t>CONCRETE PROPERTIES</t>
  </si>
  <si>
    <t>MPa</t>
  </si>
  <si>
    <t>CONCRETE MIX DESIGN</t>
  </si>
  <si>
    <t>Grade to design</t>
  </si>
  <si>
    <t>Grade of cement</t>
  </si>
  <si>
    <t xml:space="preserve">Specific Gravity of Cement </t>
  </si>
  <si>
    <t>Type of concrete</t>
  </si>
  <si>
    <t>SITE CONDITION</t>
  </si>
  <si>
    <t>AGGREGATES</t>
  </si>
  <si>
    <t>Zone of Fine Aggregate</t>
  </si>
  <si>
    <t>Specific Gravity of Coarse aggregate</t>
  </si>
  <si>
    <t>Specific Gravity of Fine aggregate</t>
  </si>
  <si>
    <t>Maximum Nominal size</t>
  </si>
  <si>
    <t xml:space="preserve">ZONE </t>
  </si>
  <si>
    <t>MIX PROPORTION</t>
  </si>
  <si>
    <r>
      <t>For 1m</t>
    </r>
    <r>
      <rPr>
        <b/>
        <vertAlign val="superscript"/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of concrete</t>
    </r>
  </si>
  <si>
    <t>Kg</t>
  </si>
  <si>
    <t>Cement</t>
  </si>
  <si>
    <t>Fine Agg</t>
  </si>
  <si>
    <t>Coarse Agg</t>
  </si>
  <si>
    <t>For 150mm cube</t>
  </si>
  <si>
    <t>No. of cube</t>
  </si>
  <si>
    <t>Volume of cube</t>
  </si>
  <si>
    <t>Wastage</t>
  </si>
  <si>
    <t>For Cylinder</t>
  </si>
  <si>
    <t>No. of Cylinder</t>
  </si>
  <si>
    <t>Volume of Cylinder</t>
  </si>
  <si>
    <t>As per IS 450</t>
  </si>
  <si>
    <t>Max.cement =</t>
  </si>
  <si>
    <r>
      <t>kg/m</t>
    </r>
    <r>
      <rPr>
        <vertAlign val="superscript"/>
        <sz val="15"/>
        <color theme="1"/>
        <rFont val="Times New Roman"/>
        <family val="1"/>
      </rPr>
      <t>3</t>
    </r>
  </si>
  <si>
    <r>
      <t>Fine aggregate (</t>
    </r>
    <r>
      <rPr>
        <i/>
        <sz val="15"/>
        <color theme="1"/>
        <rFont val="Times New Roman"/>
        <family val="1"/>
      </rPr>
      <t>Zone</t>
    </r>
    <r>
      <rPr>
        <sz val="15"/>
        <color theme="1"/>
        <rFont val="Times New Roman"/>
        <family val="1"/>
      </rPr>
      <t>)</t>
    </r>
  </si>
  <si>
    <t>Air content</t>
  </si>
  <si>
    <t>Water content</t>
  </si>
  <si>
    <r>
      <t>N/mm</t>
    </r>
    <r>
      <rPr>
        <vertAlign val="superscript"/>
        <sz val="15"/>
        <color theme="1"/>
        <rFont val="Times New Roman"/>
        <family val="1"/>
      </rPr>
      <t>2</t>
    </r>
  </si>
  <si>
    <t>Cement content</t>
  </si>
  <si>
    <t>Water cement ratio</t>
  </si>
  <si>
    <t>Volume of coarse aggregate</t>
  </si>
  <si>
    <t>Volume of Fine aggregate</t>
  </si>
  <si>
    <r>
      <t>m</t>
    </r>
    <r>
      <rPr>
        <vertAlign val="superscript"/>
        <sz val="15"/>
        <color theme="1"/>
        <rFont val="Times New Roman"/>
        <family val="1"/>
      </rPr>
      <t>3</t>
    </r>
  </si>
  <si>
    <r>
      <t>Target strength (</t>
    </r>
    <r>
      <rPr>
        <i/>
        <sz val="15"/>
        <color theme="1"/>
        <rFont val="Times New Roman"/>
        <family val="1"/>
      </rPr>
      <t>f'</t>
    </r>
    <r>
      <rPr>
        <i/>
        <vertAlign val="subscript"/>
        <sz val="15"/>
        <color theme="1"/>
        <rFont val="Times New Roman"/>
        <family val="1"/>
      </rPr>
      <t>ck</t>
    </r>
    <r>
      <rPr>
        <i/>
        <sz val="15"/>
        <color theme="1"/>
        <rFont val="Times New Roman"/>
        <family val="1"/>
      </rPr>
      <t>)</t>
    </r>
  </si>
  <si>
    <t>CALCULATIONS</t>
  </si>
  <si>
    <t>PROPROTIONS</t>
  </si>
  <si>
    <t>water</t>
  </si>
  <si>
    <t>Fine Aggregate</t>
  </si>
  <si>
    <t>Coarse Aggregate</t>
  </si>
  <si>
    <t>Water-cement ratio</t>
  </si>
  <si>
    <t>Reinforced</t>
  </si>
  <si>
    <t>THEERTHAGIRI S</t>
  </si>
  <si>
    <t>Water</t>
  </si>
  <si>
    <t>MANUAL INPUT</t>
  </si>
  <si>
    <r>
      <rPr>
        <b/>
        <sz val="15"/>
        <color theme="1"/>
        <rFont val="Times New Roman"/>
        <family val="1"/>
      </rPr>
      <t xml:space="preserve">                </t>
    </r>
    <r>
      <rPr>
        <b/>
        <u/>
        <sz val="15"/>
        <color theme="1"/>
        <rFont val="Times New Roman"/>
        <family val="1"/>
      </rPr>
      <t>CONCRETE MIX DESIGN</t>
    </r>
  </si>
  <si>
    <t xml:space="preserve">VOLUME </t>
  </si>
  <si>
    <t>CUBE - 150 mm</t>
  </si>
  <si>
    <t xml:space="preserve">CYLINDER - </t>
  </si>
  <si>
    <t>PRISM</t>
  </si>
  <si>
    <t>No. of cylinder</t>
  </si>
  <si>
    <t>No. of prism</t>
  </si>
  <si>
    <t>No. of</t>
  </si>
  <si>
    <t>W/C</t>
  </si>
  <si>
    <t>Maximum nominal size of aggregate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</si>
</sst>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vertAlign val="superscript"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vertAlign val="superscript"/>
      <sz val="15"/>
      <color theme="1"/>
      <name val="Times New Roman"/>
      <family val="1"/>
    </font>
    <font>
      <i/>
      <sz val="15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vertAlign val="subscript"/>
      <sz val="15"/>
      <color theme="1"/>
      <name val="Times New Roman"/>
      <family val="1"/>
    </font>
    <font>
      <b/>
      <sz val="15"/>
      <color rgb="FF000000"/>
      <name val="Times New Roman"/>
      <family val="1"/>
    </font>
    <font>
      <sz val="15"/>
      <color rgb="FF000000"/>
      <name val="Times New Roman"/>
      <family val="1"/>
    </font>
    <font>
      <sz val="15"/>
      <name val="Times New Roman"/>
      <family val="1"/>
    </font>
    <font>
      <b/>
      <sz val="12"/>
      <color theme="1"/>
      <name val="Segoe Print"/>
    </font>
    <font>
      <b/>
      <u/>
      <sz val="15"/>
      <color rgb="FF000000"/>
      <name val="Times New Roman"/>
      <family val="1"/>
    </font>
    <font>
      <b/>
      <u/>
      <sz val="15"/>
      <color theme="1"/>
      <name val="Times New Roman"/>
      <family val="1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2" fillId="0" borderId="1" xfId="0" applyFont="1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3" fillId="0" borderId="1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center" vertical="center"/>
    </xf>
    <xf numFmtId="2" fontId="1" fillId="0" borderId="9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166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/>
    <xf numFmtId="0" fontId="0" fillId="0" borderId="0" xfId="0" applyFont="1"/>
    <xf numFmtId="0" fontId="16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5" fillId="0" borderId="0" xfId="0" applyFont="1" applyBorder="1" applyAlignment="1"/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Font="1" applyBorder="1"/>
    <xf numFmtId="0" fontId="2" fillId="0" borderId="0" xfId="0" applyFont="1" applyBorder="1" applyAlignment="1"/>
    <xf numFmtId="0" fontId="0" fillId="0" borderId="0" xfId="0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0" borderId="9" xfId="0" applyFont="1" applyFill="1" applyBorder="1" applyAlignment="1">
      <alignment vertical="center"/>
    </xf>
    <xf numFmtId="0" fontId="19" fillId="0" borderId="9" xfId="0" applyFont="1" applyFill="1" applyBorder="1" applyAlignment="1">
      <alignment horizontal="right" vertical="center"/>
    </xf>
    <xf numFmtId="0" fontId="19" fillId="0" borderId="10" xfId="0" applyFont="1" applyFill="1" applyBorder="1" applyAlignment="1">
      <alignment horizontal="left" vertical="center"/>
    </xf>
    <xf numFmtId="0" fontId="19" fillId="0" borderId="7" xfId="0" applyFont="1" applyFill="1" applyBorder="1" applyAlignment="1">
      <alignment horizontal="right" vertical="center"/>
    </xf>
    <xf numFmtId="0" fontId="19" fillId="0" borderId="8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vertical="center"/>
    </xf>
    <xf numFmtId="0" fontId="12" fillId="0" borderId="6" xfId="0" applyFont="1" applyBorder="1" applyAlignment="1">
      <alignment horizontal="left" vertical="center"/>
    </xf>
    <xf numFmtId="0" fontId="12" fillId="0" borderId="0" xfId="0" applyFont="1" applyAlignment="1">
      <alignment horizontal="right"/>
    </xf>
    <xf numFmtId="0" fontId="16" fillId="0" borderId="0" xfId="0" applyFont="1" applyAlignment="1">
      <alignment vertical="top"/>
    </xf>
    <xf numFmtId="0" fontId="16" fillId="0" borderId="0" xfId="0" applyFont="1" applyBorder="1" applyAlignment="1">
      <alignment horizontal="right" vertical="center"/>
    </xf>
    <xf numFmtId="0" fontId="16" fillId="0" borderId="0" xfId="0" applyFont="1" applyAlignment="1"/>
    <xf numFmtId="0" fontId="18" fillId="3" borderId="0" xfId="0" applyFont="1" applyFill="1" applyBorder="1" applyAlignment="1">
      <alignment vertical="center"/>
    </xf>
    <xf numFmtId="0" fontId="19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horizontal="right" vertical="center"/>
    </xf>
    <xf numFmtId="0" fontId="18" fillId="3" borderId="0" xfId="0" applyFont="1" applyFill="1" applyBorder="1" applyAlignment="1">
      <alignment horizontal="left" vertical="center"/>
    </xf>
    <xf numFmtId="0" fontId="16" fillId="3" borderId="0" xfId="0" applyFont="1" applyFill="1" applyBorder="1" applyAlignment="1">
      <alignment vertical="center"/>
    </xf>
    <xf numFmtId="0" fontId="16" fillId="3" borderId="0" xfId="0" applyFont="1" applyFill="1" applyBorder="1" applyAlignment="1">
      <alignment horizontal="right" vertical="center"/>
    </xf>
    <xf numFmtId="0" fontId="16" fillId="3" borderId="0" xfId="0" applyFont="1" applyFill="1" applyBorder="1" applyAlignment="1">
      <alignment vertical="top"/>
    </xf>
    <xf numFmtId="0" fontId="12" fillId="3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horizontal="left" vertical="center"/>
    </xf>
    <xf numFmtId="0" fontId="12" fillId="3" borderId="0" xfId="0" applyFont="1" applyFill="1" applyBorder="1"/>
    <xf numFmtId="0" fontId="12" fillId="3" borderId="0" xfId="0" applyFont="1" applyFill="1" applyBorder="1" applyAlignment="1">
      <alignment horizontal="right" vertical="center"/>
    </xf>
    <xf numFmtId="0" fontId="16" fillId="3" borderId="0" xfId="0" applyFont="1" applyFill="1" applyBorder="1"/>
    <xf numFmtId="0" fontId="16" fillId="3" borderId="0" xfId="0" applyFont="1" applyFill="1" applyBorder="1" applyAlignment="1"/>
    <xf numFmtId="0" fontId="12" fillId="3" borderId="0" xfId="0" applyFont="1" applyFill="1" applyBorder="1" applyAlignment="1">
      <alignment horizontal="right"/>
    </xf>
    <xf numFmtId="0" fontId="19" fillId="5" borderId="0" xfId="0" applyFont="1" applyFill="1" applyBorder="1" applyAlignment="1">
      <alignment horizontal="right" vertical="center"/>
    </xf>
    <xf numFmtId="0" fontId="19" fillId="5" borderId="0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24" fillId="0" borderId="0" xfId="0" applyFont="1"/>
    <xf numFmtId="0" fontId="0" fillId="3" borderId="0" xfId="0" applyFill="1"/>
    <xf numFmtId="0" fontId="19" fillId="5" borderId="0" xfId="0" applyFont="1" applyFill="1" applyBorder="1" applyAlignment="1" applyProtection="1">
      <alignment horizontal="left" vertical="center"/>
      <protection locked="0"/>
    </xf>
    <xf numFmtId="0" fontId="19" fillId="5" borderId="0" xfId="0" applyFont="1" applyFill="1" applyBorder="1" applyAlignment="1" applyProtection="1">
      <alignment horizontal="right" vertical="center"/>
      <protection locked="0"/>
    </xf>
    <xf numFmtId="0" fontId="1" fillId="0" borderId="1" xfId="0" applyFont="1" applyBorder="1"/>
    <xf numFmtId="0" fontId="1" fillId="0" borderId="9" xfId="0" applyFont="1" applyBorder="1"/>
    <xf numFmtId="0" fontId="1" fillId="0" borderId="8" xfId="0" applyFont="1" applyBorder="1"/>
    <xf numFmtId="0" fontId="1" fillId="6" borderId="9" xfId="0" applyFont="1" applyFill="1" applyBorder="1" applyProtection="1">
      <protection locked="0"/>
    </xf>
    <xf numFmtId="166" fontId="12" fillId="4" borderId="0" xfId="0" applyNumberFormat="1" applyFont="1" applyFill="1" applyBorder="1" applyAlignment="1" applyProtection="1">
      <alignment vertical="center"/>
      <protection hidden="1"/>
    </xf>
    <xf numFmtId="0" fontId="12" fillId="4" borderId="0" xfId="0" applyFont="1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6" fontId="12" fillId="4" borderId="0" xfId="0" applyNumberFormat="1" applyFont="1" applyFill="1" applyBorder="1" applyProtection="1">
      <protection hidden="1"/>
    </xf>
    <xf numFmtId="2" fontId="12" fillId="4" borderId="0" xfId="0" applyNumberFormat="1" applyFont="1" applyFill="1" applyBorder="1" applyAlignment="1" applyProtection="1">
      <alignment vertical="center"/>
      <protection hidden="1"/>
    </xf>
    <xf numFmtId="166" fontId="1" fillId="0" borderId="7" xfId="0" applyNumberFormat="1" applyFont="1" applyBorder="1" applyProtection="1">
      <protection hidden="1"/>
    </xf>
    <xf numFmtId="2" fontId="1" fillId="0" borderId="9" xfId="0" applyNumberFormat="1" applyFont="1" applyBorder="1" applyProtection="1">
      <protection hidden="1"/>
    </xf>
    <xf numFmtId="2" fontId="1" fillId="0" borderId="7" xfId="0" applyNumberFormat="1" applyFont="1" applyBorder="1" applyProtection="1">
      <protection hidden="1"/>
    </xf>
    <xf numFmtId="0" fontId="19" fillId="0" borderId="10" xfId="0" applyFont="1" applyFill="1" applyBorder="1" applyAlignment="1" applyProtection="1">
      <alignment horizontal="left" vertical="center"/>
      <protection hidden="1"/>
    </xf>
    <xf numFmtId="0" fontId="19" fillId="0" borderId="9" xfId="0" applyFont="1" applyFill="1" applyBorder="1" applyAlignment="1" applyProtection="1">
      <alignment horizontal="right" vertical="center"/>
      <protection hidden="1"/>
    </xf>
    <xf numFmtId="166" fontId="12" fillId="0" borderId="5" xfId="0" applyNumberFormat="1" applyFont="1" applyBorder="1" applyAlignment="1" applyProtection="1">
      <alignment vertical="center"/>
      <protection hidden="1"/>
    </xf>
    <xf numFmtId="0" fontId="12" fillId="0" borderId="5" xfId="0" applyFont="1" applyBorder="1" applyAlignment="1" applyProtection="1">
      <alignment vertical="center"/>
      <protection hidden="1"/>
    </xf>
    <xf numFmtId="166" fontId="12" fillId="0" borderId="5" xfId="0" applyNumberFormat="1" applyFont="1" applyBorder="1" applyProtection="1">
      <protection hidden="1"/>
    </xf>
    <xf numFmtId="2" fontId="12" fillId="0" borderId="5" xfId="0" applyNumberFormat="1" applyFont="1" applyBorder="1" applyAlignment="1" applyProtection="1">
      <alignment vertical="center"/>
      <protection hidden="1"/>
    </xf>
    <xf numFmtId="2" fontId="12" fillId="4" borderId="0" xfId="0" applyNumberFormat="1" applyFont="1" applyFill="1" applyBorder="1" applyProtection="1">
      <protection hidden="1"/>
    </xf>
    <xf numFmtId="2" fontId="12" fillId="0" borderId="5" xfId="0" applyNumberFormat="1" applyFont="1" applyBorder="1" applyProtection="1">
      <protection hidden="1"/>
    </xf>
    <xf numFmtId="0" fontId="11" fillId="3" borderId="5" xfId="0" applyFont="1" applyFill="1" applyBorder="1" applyAlignment="1">
      <alignment vertical="center"/>
    </xf>
    <xf numFmtId="0" fontId="11" fillId="3" borderId="6" xfId="0" applyFont="1" applyFill="1" applyBorder="1" applyAlignment="1">
      <alignment vertical="center"/>
    </xf>
    <xf numFmtId="0" fontId="11" fillId="3" borderId="14" xfId="0" applyFont="1" applyFill="1" applyBorder="1" applyAlignment="1"/>
    <xf numFmtId="0" fontId="11" fillId="3" borderId="6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right" vertical="center" wrapText="1"/>
    </xf>
    <xf numFmtId="0" fontId="11" fillId="3" borderId="5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166" fontId="12" fillId="3" borderId="7" xfId="0" applyNumberFormat="1" applyFont="1" applyFill="1" applyBorder="1" applyAlignment="1" applyProtection="1">
      <alignment horizontal="center"/>
      <protection hidden="1"/>
    </xf>
    <xf numFmtId="166" fontId="12" fillId="3" borderId="8" xfId="0" applyNumberFormat="1" applyFont="1" applyFill="1" applyBorder="1" applyAlignment="1" applyProtection="1">
      <alignment horizontal="center"/>
      <protection hidden="1"/>
    </xf>
    <xf numFmtId="0" fontId="2" fillId="5" borderId="0" xfId="0" applyFont="1" applyFill="1" applyAlignment="1">
      <alignment horizontal="center" vertical="center"/>
    </xf>
    <xf numFmtId="0" fontId="23" fillId="3" borderId="0" xfId="0" applyFont="1" applyFill="1" applyBorder="1" applyAlignment="1">
      <alignment horizontal="center" vertical="top"/>
    </xf>
    <xf numFmtId="0" fontId="21" fillId="3" borderId="0" xfId="0" applyFont="1" applyFill="1" applyBorder="1" applyAlignment="1">
      <alignment horizontal="center"/>
    </xf>
    <xf numFmtId="0" fontId="12" fillId="3" borderId="7" xfId="0" applyFont="1" applyFill="1" applyBorder="1" applyAlignment="1" applyProtection="1">
      <alignment horizontal="center"/>
      <protection hidden="1"/>
    </xf>
    <xf numFmtId="0" fontId="12" fillId="3" borderId="8" xfId="0" applyFont="1" applyFill="1" applyBorder="1" applyAlignment="1" applyProtection="1">
      <alignment horizontal="center"/>
      <protection hidden="1"/>
    </xf>
    <xf numFmtId="0" fontId="22" fillId="3" borderId="0" xfId="0" applyFont="1" applyFill="1" applyBorder="1" applyAlignment="1">
      <alignment horizontal="center" vertical="center"/>
    </xf>
    <xf numFmtId="0" fontId="23" fillId="3" borderId="0" xfId="0" applyFont="1" applyFill="1" applyBorder="1" applyAlignment="1">
      <alignment horizontal="center" vertical="center"/>
    </xf>
    <xf numFmtId="0" fontId="19" fillId="5" borderId="0" xfId="0" applyFont="1" applyFill="1" applyBorder="1" applyAlignment="1" applyProtection="1">
      <alignment horizontal="center" vertical="center"/>
      <protection locked="0"/>
    </xf>
    <xf numFmtId="2" fontId="12" fillId="4" borderId="0" xfId="0" applyNumberFormat="1" applyFont="1" applyFill="1" applyBorder="1" applyAlignment="1" applyProtection="1">
      <alignment horizontal="center"/>
      <protection hidden="1"/>
    </xf>
    <xf numFmtId="0" fontId="12" fillId="3" borderId="0" xfId="0" applyFont="1" applyFill="1" applyBorder="1" applyAlignment="1">
      <alignment horizontal="left" vertical="center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2" fillId="4" borderId="0" xfId="0" applyFont="1" applyFill="1" applyBorder="1" applyAlignment="1" applyProtection="1">
      <alignment horizontal="center" vertical="center"/>
      <protection hidden="1"/>
    </xf>
    <xf numFmtId="0" fontId="11" fillId="3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 applyProtection="1">
      <alignment horizontal="center"/>
      <protection hidden="1"/>
    </xf>
    <xf numFmtId="2" fontId="12" fillId="3" borderId="7" xfId="0" applyNumberFormat="1" applyFont="1" applyFill="1" applyBorder="1" applyAlignment="1" applyProtection="1">
      <alignment horizontal="center"/>
      <protection hidden="1"/>
    </xf>
    <xf numFmtId="2" fontId="12" fillId="3" borderId="8" xfId="0" applyNumberFormat="1" applyFont="1" applyFill="1" applyBorder="1" applyAlignment="1" applyProtection="1">
      <alignment horizontal="center"/>
      <protection hidden="1"/>
    </xf>
    <xf numFmtId="0" fontId="12" fillId="3" borderId="0" xfId="0" applyFont="1" applyFill="1" applyBorder="1" applyAlignment="1">
      <alignment vertical="center"/>
    </xf>
    <xf numFmtId="0" fontId="19" fillId="3" borderId="0" xfId="0" applyFont="1" applyFill="1" applyBorder="1" applyAlignment="1">
      <alignment horizontal="left" vertical="center"/>
    </xf>
    <xf numFmtId="0" fontId="1" fillId="6" borderId="11" xfId="0" applyFont="1" applyFill="1" applyBorder="1" applyAlignment="1" applyProtection="1">
      <alignment horizontal="center" vertical="center"/>
      <protection locked="0"/>
    </xf>
    <xf numFmtId="0" fontId="1" fillId="6" borderId="15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 applyProtection="1">
      <alignment horizontal="center"/>
      <protection hidden="1"/>
    </xf>
    <xf numFmtId="0" fontId="12" fillId="0" borderId="8" xfId="0" applyFont="1" applyBorder="1" applyAlignment="1" applyProtection="1">
      <alignment horizontal="center"/>
      <protection hidden="1"/>
    </xf>
    <xf numFmtId="166" fontId="12" fillId="0" borderId="7" xfId="0" applyNumberFormat="1" applyFont="1" applyBorder="1" applyAlignment="1" applyProtection="1">
      <alignment horizontal="center" vertical="center"/>
      <protection hidden="1"/>
    </xf>
    <xf numFmtId="166" fontId="12" fillId="0" borderId="12" xfId="0" applyNumberFormat="1" applyFont="1" applyBorder="1" applyAlignment="1" applyProtection="1">
      <alignment horizontal="center" vertical="center"/>
      <protection hidden="1"/>
    </xf>
    <xf numFmtId="166" fontId="12" fillId="0" borderId="8" xfId="0" applyNumberFormat="1" applyFont="1" applyBorder="1" applyAlignment="1" applyProtection="1">
      <alignment horizontal="center" vertical="center"/>
      <protection hidden="1"/>
    </xf>
    <xf numFmtId="166" fontId="12" fillId="0" borderId="12" xfId="0" applyNumberFormat="1" applyFont="1" applyBorder="1" applyAlignment="1" applyProtection="1">
      <alignment horizontal="center"/>
      <protection hidden="1"/>
    </xf>
    <xf numFmtId="166" fontId="12" fillId="0" borderId="8" xfId="0" applyNumberFormat="1" applyFont="1" applyBorder="1" applyAlignment="1" applyProtection="1">
      <alignment horizontal="center"/>
      <protection hidden="1"/>
    </xf>
    <xf numFmtId="0" fontId="19" fillId="0" borderId="1" xfId="0" applyFont="1" applyFill="1" applyBorder="1" applyAlignment="1">
      <alignment horizontal="left" vertical="center"/>
    </xf>
    <xf numFmtId="0" fontId="19" fillId="0" borderId="4" xfId="0" applyFont="1" applyFill="1" applyBorder="1" applyAlignment="1" applyProtection="1">
      <alignment horizontal="center" vertical="center"/>
      <protection hidden="1"/>
    </xf>
    <xf numFmtId="0" fontId="18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  <protection hidden="1"/>
    </xf>
    <xf numFmtId="0" fontId="12" fillId="0" borderId="1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2" fontId="12" fillId="0" borderId="1" xfId="0" applyNumberFormat="1" applyFont="1" applyBorder="1" applyAlignment="1" applyProtection="1">
      <alignment horizontal="center"/>
      <protection hidden="1"/>
    </xf>
    <xf numFmtId="0" fontId="12" fillId="0" borderId="5" xfId="0" applyFont="1" applyFill="1" applyBorder="1" applyAlignment="1" applyProtection="1">
      <alignment horizontal="center" vertical="center"/>
      <protection hidden="1"/>
    </xf>
    <xf numFmtId="0" fontId="12" fillId="0" borderId="6" xfId="0" applyFont="1" applyFill="1" applyBorder="1" applyAlignment="1" applyProtection="1">
      <alignment horizontal="center" vertical="center"/>
      <protection hidden="1"/>
    </xf>
    <xf numFmtId="0" fontId="19" fillId="0" borderId="9" xfId="0" applyFont="1" applyFill="1" applyBorder="1" applyAlignment="1">
      <alignment horizontal="left" vertical="center"/>
    </xf>
    <xf numFmtId="0" fontId="19" fillId="0" borderId="13" xfId="0" applyFont="1" applyFill="1" applyBorder="1" applyAlignment="1">
      <alignment horizontal="left" vertical="center"/>
    </xf>
    <xf numFmtId="0" fontId="12" fillId="0" borderId="1" xfId="0" applyFont="1" applyBorder="1" applyAlignment="1" applyProtection="1">
      <alignment horizontal="center" vertical="center"/>
      <protection hidden="1"/>
    </xf>
    <xf numFmtId="2" fontId="12" fillId="0" borderId="12" xfId="0" applyNumberFormat="1" applyFont="1" applyBorder="1" applyAlignment="1" applyProtection="1">
      <alignment horizontal="center"/>
      <protection hidden="1"/>
    </xf>
    <xf numFmtId="2" fontId="12" fillId="0" borderId="8" xfId="0" applyNumberFormat="1" applyFont="1" applyBorder="1" applyAlignment="1" applyProtection="1">
      <alignment horizontal="center"/>
      <protection hidden="1"/>
    </xf>
    <xf numFmtId="0" fontId="11" fillId="0" borderId="9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1" fillId="0" borderId="10" xfId="0" applyFont="1" applyBorder="1" applyAlignment="1">
      <alignment horizontal="center" vertical="top"/>
    </xf>
    <xf numFmtId="0" fontId="19" fillId="0" borderId="9" xfId="0" applyFont="1" applyFill="1" applyBorder="1" applyAlignment="1" applyProtection="1">
      <alignment horizontal="center" vertical="center"/>
      <protection hidden="1"/>
    </xf>
    <xf numFmtId="0" fontId="19" fillId="0" borderId="10" xfId="0" applyFont="1" applyFill="1" applyBorder="1" applyAlignment="1" applyProtection="1">
      <alignment horizontal="center" vertical="center"/>
      <protection hidden="1"/>
    </xf>
    <xf numFmtId="0" fontId="12" fillId="0" borderId="1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lickr.com/photos/versageek/1352251057/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jpg"/><Relationship Id="rId2" Type="http://schemas.microsoft.com/office/2011/relationships/chartColorStyle" Target="colors1.xml"/><Relationship Id="rId1" Type="http://schemas.microsoft.com/office/2011/relationships/chartStyle" Target="style1.xml"/><Relationship Id="rId6" Type="http://schemas.openxmlformats.org/officeDocument/2006/relationships/hyperlink" Target="https://futurism.com/desalination-salty-water/" TargetMode="External"/><Relationship Id="rId5" Type="http://schemas.openxmlformats.org/officeDocument/2006/relationships/image" Target="../media/image3.jpg"/><Relationship Id="rId10" Type="http://schemas.openxmlformats.org/officeDocument/2006/relationships/hyperlink" Target="http://www.pixnio.com/textures-and-patterns/rock-stone-texture/bluemetal-coarse-granite-gravel-texture" TargetMode="External"/><Relationship Id="rId4" Type="http://schemas.openxmlformats.org/officeDocument/2006/relationships/hyperlink" Target="https://clamorworld.com/impact-covid-19-bulk-cement-market-research-report-2020-segment-key-companies-countries-types-applications-2025/" TargetMode="External"/><Relationship Id="rId9" Type="http://schemas.openxmlformats.org/officeDocument/2006/relationships/image" Target="../media/image5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Times New Roman" panose="02020603050405020304" pitchFamily="18" charset="0"/>
                <a:cs typeface="Times New Roman" panose="02020603050405020304" pitchFamily="18" charset="0"/>
              </a:rPr>
              <a:t>For</a:t>
            </a:r>
            <a:r>
              <a:rPr lang="en-IN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1m</a:t>
            </a:r>
            <a:r>
              <a:rPr lang="en-IN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3</a:t>
            </a:r>
            <a:r>
              <a:rPr lang="en-IN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concrete</a:t>
            </a:r>
            <a:endParaRPr lang="en-IN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blipFill>
                <a:blip xmlns:r="http://schemas.openxmlformats.org/officeDocument/2006/relationships" r:embed="rId3">
                  <a:extLst>
                    <a:ext uri="{837473B0-CC2E-450A-ABE3-18F120FF3D39}">
                      <a1611:picAttrSrcUrl xmlns:a1611="http://schemas.microsoft.com/office/drawing/2016/11/main" r:id="rId4"/>
                    </a:ext>
                  </a:extLst>
                </a:blip>
                <a:stretch>
                  <a:fillRect/>
                </a:stretch>
              </a:blip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6E5-41AB-9F8C-D91955E76A34}"/>
              </c:ext>
            </c:extLst>
          </c:dPt>
          <c:dPt>
            <c:idx val="1"/>
            <c:bubble3D val="0"/>
            <c:spPr>
              <a:blipFill>
                <a:blip xmlns:r="http://schemas.openxmlformats.org/officeDocument/2006/relationships" r:embed="rId5">
                  <a:extLst>
                    <a:ext uri="{837473B0-CC2E-450A-ABE3-18F120FF3D39}">
                      <a1611:picAttrSrcUrl xmlns:a1611="http://schemas.microsoft.com/office/drawing/2016/11/main" r:id="rId6"/>
                    </a:ext>
                  </a:extLst>
                </a:blip>
                <a:stretch>
                  <a:fillRect/>
                </a:stretch>
              </a:blip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16E5-41AB-9F8C-D91955E76A34}"/>
              </c:ext>
            </c:extLst>
          </c:dPt>
          <c:dPt>
            <c:idx val="2"/>
            <c:bubble3D val="0"/>
            <c:spPr>
              <a:blipFill>
                <a:blip xmlns:r="http://schemas.openxmlformats.org/officeDocument/2006/relationships" r:embed="rId7">
                  <a:extLst>
                    <a:ext uri="{837473B0-CC2E-450A-ABE3-18F120FF3D39}">
                      <a1611:picAttrSrcUrl xmlns:a1611="http://schemas.microsoft.com/office/drawing/2016/11/main" r:id="rId8"/>
                    </a:ext>
                  </a:extLst>
                </a:blip>
                <a:stretch>
                  <a:fillRect/>
                </a:stretch>
              </a:blip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6E5-41AB-9F8C-D91955E76A34}"/>
              </c:ext>
            </c:extLst>
          </c:dPt>
          <c:dPt>
            <c:idx val="3"/>
            <c:bubble3D val="0"/>
            <c:spPr>
              <a:blipFill>
                <a:blip xmlns:r="http://schemas.openxmlformats.org/officeDocument/2006/relationships" r:embed="rId9">
                  <a:extLst>
                    <a:ext uri="{837473B0-CC2E-450A-ABE3-18F120FF3D39}">
                      <a1611:picAttrSrcUrl xmlns:a1611="http://schemas.microsoft.com/office/drawing/2016/11/main" r:id="rId10"/>
                    </a:ext>
                  </a:extLst>
                </a:blip>
                <a:stretch>
                  <a:fillRect/>
                </a:stretch>
              </a:blip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6E5-41AB-9F8C-D91955E76A34}"/>
              </c:ext>
            </c:extLst>
          </c:dPt>
          <c:val>
            <c:numRef>
              <c:f>'MIX DESIGN '!$M$13:$M$16</c:f>
              <c:numCache>
                <c:formatCode>0.0</c:formatCode>
                <c:ptCount val="4"/>
                <c:pt idx="0" formatCode="0.00">
                  <c:v>450</c:v>
                </c:pt>
                <c:pt idx="1">
                  <c:v>214.24</c:v>
                </c:pt>
                <c:pt idx="2" formatCode="0.00">
                  <c:v>264.0282226710097</c:v>
                </c:pt>
                <c:pt idx="3" formatCode="0.00">
                  <c:v>297.73395322475574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5-41AB-9F8C-D91955E76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295564</xdr:colOff>
      <xdr:row>4</xdr:row>
      <xdr:rowOff>40845</xdr:rowOff>
    </xdr:from>
    <xdr:to>
      <xdr:col>16</xdr:col>
      <xdr:colOff>570116</xdr:colOff>
      <xdr:row>26</xdr:row>
      <xdr:rowOff>92075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99C7C6-0A7C-4A1E-AA45-E2351622B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8204" y="853645"/>
          <a:ext cx="3627352" cy="4552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348074</xdr:colOff>
      <xdr:row>2</xdr:row>
      <xdr:rowOff>225778</xdr:rowOff>
    </xdr:from>
    <xdr:to>
      <xdr:col>22</xdr:col>
      <xdr:colOff>360515</xdr:colOff>
      <xdr:row>19</xdr:row>
      <xdr:rowOff>37629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C4AD6-1667-4F99-BFF8-E5011A21E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A0171-C9A8-4741-8502-65DE97C327A6}">
  <sheetPr codeName="Sheet1"/>
  <dimension ref="A1:AN76"/>
  <sheetViews>
    <sheetView topLeftCell="A56" zoomScale="75" zoomScaleNormal="75" zoomScalePageLayoutView="70" workbookViewId="0">
      <selection activeCell="AA10" sqref="AA10:AA12"/>
    </sheetView>
  </sheetViews>
  <sheetFormatPr defaultRowHeight="15.6" x14ac:dyDescent="0.3"/>
  <cols>
    <col min="1" max="1" width="2.88671875" style="1" bestFit="1" customWidth="1"/>
    <col min="2" max="2" width="6.6640625" style="1" bestFit="1" customWidth="1"/>
    <col min="3" max="3" width="18.44140625" style="1" customWidth="1"/>
    <col min="4" max="4" width="8.88671875" style="1"/>
    <col min="5" max="5" width="9.33203125" style="1" customWidth="1"/>
    <col min="6" max="6" width="8.21875" style="1" customWidth="1"/>
    <col min="7" max="7" width="3.33203125" style="1" customWidth="1"/>
    <col min="8" max="9" width="13.77734375" style="1" customWidth="1"/>
    <col min="10" max="10" width="8.88671875" style="1" customWidth="1"/>
    <col min="11" max="11" width="6.44140625" style="1" bestFit="1" customWidth="1"/>
    <col min="12" max="12" width="8.88671875" style="1"/>
    <col min="13" max="13" width="6.77734375" style="1" customWidth="1"/>
    <col min="14" max="24" width="8.88671875" style="1"/>
    <col min="25" max="25" width="9.77734375" style="1" bestFit="1" customWidth="1"/>
    <col min="26" max="26" width="8.88671875" style="1" customWidth="1"/>
    <col min="27" max="27" width="12.88671875" style="1" customWidth="1"/>
    <col min="28" max="28" width="12.77734375" style="1" customWidth="1"/>
    <col min="29" max="30" width="8.88671875" style="1" customWidth="1"/>
    <col min="31" max="31" width="10.109375" style="1" customWidth="1"/>
    <col min="32" max="32" width="8.6640625" style="1" customWidth="1"/>
    <col min="33" max="40" width="8.88671875" style="1" customWidth="1"/>
    <col min="41" max="16384" width="8.88671875" style="1"/>
  </cols>
  <sheetData>
    <row r="1" spans="1:39" x14ac:dyDescent="0.3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</row>
    <row r="2" spans="1:39" ht="16.2" x14ac:dyDescent="0.35">
      <c r="AD2" s="142" t="s">
        <v>1</v>
      </c>
      <c r="AE2" s="142"/>
      <c r="AF2" s="142"/>
      <c r="AH2" s="142" t="s">
        <v>2</v>
      </c>
      <c r="AI2" s="142"/>
      <c r="AJ2" s="142"/>
    </row>
    <row r="3" spans="1:39" x14ac:dyDescent="0.3">
      <c r="A3" s="2" t="s">
        <v>3</v>
      </c>
      <c r="B3" s="163" t="s">
        <v>4</v>
      </c>
      <c r="C3" s="163"/>
      <c r="D3" s="163"/>
      <c r="E3" s="163"/>
      <c r="F3" s="163"/>
      <c r="Y3" s="1" t="s">
        <v>5</v>
      </c>
      <c r="Z3" s="1" t="s">
        <v>6</v>
      </c>
      <c r="AA3" s="1" t="s">
        <v>7</v>
      </c>
      <c r="AB3" s="1" t="s">
        <v>8</v>
      </c>
      <c r="AC3" s="1" t="s">
        <v>9</v>
      </c>
    </row>
    <row r="4" spans="1:39" x14ac:dyDescent="0.3">
      <c r="Y4" s="1">
        <v>10</v>
      </c>
      <c r="Z4" s="1">
        <v>10</v>
      </c>
      <c r="AA4" s="1" t="s">
        <v>15</v>
      </c>
      <c r="AB4" s="1">
        <v>25</v>
      </c>
      <c r="AC4" s="1">
        <v>1</v>
      </c>
      <c r="AD4" s="3" t="s">
        <v>10</v>
      </c>
      <c r="AE4" s="3" t="s">
        <v>11</v>
      </c>
      <c r="AF4" s="3" t="s">
        <v>12</v>
      </c>
      <c r="AH4" s="143" t="s">
        <v>10</v>
      </c>
      <c r="AI4" s="144" t="s">
        <v>13</v>
      </c>
      <c r="AJ4" s="144"/>
      <c r="AK4" s="144"/>
      <c r="AL4" s="151" t="s">
        <v>14</v>
      </c>
      <c r="AM4" s="151"/>
    </row>
    <row r="5" spans="1:39" x14ac:dyDescent="0.3">
      <c r="B5" s="1" t="s">
        <v>16</v>
      </c>
      <c r="C5" s="167" t="s">
        <v>17</v>
      </c>
      <c r="D5" s="167"/>
      <c r="E5" s="167"/>
      <c r="F5" s="167"/>
      <c r="G5" s="1" t="s">
        <v>18</v>
      </c>
      <c r="H5" s="19" t="s">
        <v>19</v>
      </c>
      <c r="I5" s="43">
        <v>30</v>
      </c>
      <c r="Y5" s="1">
        <v>15</v>
      </c>
      <c r="Z5" s="1">
        <v>20</v>
      </c>
      <c r="AA5" s="1" t="s">
        <v>21</v>
      </c>
      <c r="AB5" s="1">
        <v>50</v>
      </c>
      <c r="AC5" s="1">
        <v>2</v>
      </c>
      <c r="AD5" s="141">
        <v>1</v>
      </c>
      <c r="AE5" s="5" t="s">
        <v>20</v>
      </c>
      <c r="AF5" s="141">
        <v>5</v>
      </c>
      <c r="AH5" s="143"/>
      <c r="AI5" s="144"/>
      <c r="AJ5" s="144"/>
      <c r="AK5" s="144"/>
      <c r="AL5" s="151"/>
      <c r="AM5" s="151"/>
    </row>
    <row r="6" spans="1:39" x14ac:dyDescent="0.3">
      <c r="B6" s="1" t="s">
        <v>22</v>
      </c>
      <c r="C6" s="167" t="s">
        <v>23</v>
      </c>
      <c r="D6" s="167"/>
      <c r="E6" s="167"/>
      <c r="F6" s="167"/>
      <c r="G6" s="1" t="s">
        <v>18</v>
      </c>
      <c r="H6" s="150" t="s">
        <v>24</v>
      </c>
      <c r="I6" s="150"/>
      <c r="Y6" s="1">
        <v>20</v>
      </c>
      <c r="Z6" s="1">
        <v>40</v>
      </c>
      <c r="AA6" s="1" t="s">
        <v>26</v>
      </c>
      <c r="AB6" s="1">
        <v>75</v>
      </c>
      <c r="AC6" s="1">
        <v>3</v>
      </c>
      <c r="AD6" s="141"/>
      <c r="AE6" s="5" t="s">
        <v>25</v>
      </c>
      <c r="AF6" s="141"/>
      <c r="AH6" s="6">
        <v>1</v>
      </c>
      <c r="AI6" s="152">
        <v>10</v>
      </c>
      <c r="AJ6" s="152"/>
      <c r="AK6" s="152"/>
      <c r="AL6" s="152">
        <v>1.5</v>
      </c>
      <c r="AM6" s="152"/>
    </row>
    <row r="7" spans="1:39" x14ac:dyDescent="0.3">
      <c r="B7" s="1" t="s">
        <v>27</v>
      </c>
      <c r="C7" s="167" t="s">
        <v>28</v>
      </c>
      <c r="D7" s="167"/>
      <c r="E7" s="167"/>
      <c r="F7" s="167"/>
      <c r="G7" s="1" t="s">
        <v>18</v>
      </c>
      <c r="H7" s="44">
        <v>20</v>
      </c>
      <c r="I7" s="1" t="s">
        <v>29</v>
      </c>
      <c r="Y7" s="1">
        <v>25</v>
      </c>
      <c r="AA7" s="1" t="s">
        <v>31</v>
      </c>
      <c r="AB7" s="1">
        <v>100</v>
      </c>
      <c r="AC7" s="1">
        <v>4</v>
      </c>
      <c r="AD7" s="141">
        <v>2</v>
      </c>
      <c r="AE7" s="5" t="s">
        <v>30</v>
      </c>
      <c r="AF7" s="141">
        <v>5.5</v>
      </c>
      <c r="AH7" s="6">
        <v>2</v>
      </c>
      <c r="AI7" s="152">
        <v>20</v>
      </c>
      <c r="AJ7" s="152"/>
      <c r="AK7" s="152"/>
      <c r="AL7" s="152">
        <v>1</v>
      </c>
      <c r="AM7" s="152"/>
    </row>
    <row r="8" spans="1:39" x14ac:dyDescent="0.3">
      <c r="B8" s="1" t="s">
        <v>32</v>
      </c>
      <c r="C8" s="167" t="s">
        <v>33</v>
      </c>
      <c r="D8" s="167"/>
      <c r="E8" s="167"/>
      <c r="F8" s="167"/>
      <c r="G8" s="1" t="s">
        <v>18</v>
      </c>
      <c r="H8" s="150" t="s">
        <v>26</v>
      </c>
      <c r="I8" s="150"/>
      <c r="Y8" s="1">
        <v>30</v>
      </c>
      <c r="AA8" s="1" t="s">
        <v>35</v>
      </c>
      <c r="AB8" s="1">
        <v>125</v>
      </c>
      <c r="AD8" s="141"/>
      <c r="AE8" s="5" t="s">
        <v>34</v>
      </c>
      <c r="AF8" s="141"/>
      <c r="AH8" s="6">
        <v>3</v>
      </c>
      <c r="AI8" s="152">
        <v>40</v>
      </c>
      <c r="AJ8" s="152"/>
      <c r="AK8" s="152"/>
      <c r="AL8" s="152">
        <v>0.8</v>
      </c>
      <c r="AM8" s="152"/>
    </row>
    <row r="9" spans="1:39" x14ac:dyDescent="0.3">
      <c r="B9" s="1" t="s">
        <v>36</v>
      </c>
      <c r="C9" s="167" t="s">
        <v>37</v>
      </c>
      <c r="D9" s="167"/>
      <c r="E9" s="167"/>
      <c r="F9" s="167"/>
      <c r="G9" s="1" t="s">
        <v>18</v>
      </c>
      <c r="H9" s="44">
        <v>100</v>
      </c>
      <c r="I9" s="1" t="s">
        <v>29</v>
      </c>
      <c r="Y9" s="1">
        <v>35</v>
      </c>
      <c r="AB9" s="1">
        <v>150</v>
      </c>
      <c r="AD9" s="164">
        <v>3</v>
      </c>
      <c r="AE9" s="5" t="s">
        <v>38</v>
      </c>
      <c r="AF9" s="141">
        <v>6.5</v>
      </c>
    </row>
    <row r="10" spans="1:39" ht="18.600000000000001" x14ac:dyDescent="0.3">
      <c r="B10" s="1" t="s">
        <v>39</v>
      </c>
      <c r="C10" s="167" t="s">
        <v>40</v>
      </c>
      <c r="D10" s="167"/>
      <c r="E10" s="167"/>
      <c r="F10" s="167"/>
      <c r="G10" s="1" t="s">
        <v>18</v>
      </c>
      <c r="H10" s="1">
        <v>450</v>
      </c>
      <c r="I10" s="1" t="s">
        <v>41</v>
      </c>
      <c r="Y10" s="1">
        <v>40</v>
      </c>
      <c r="AA10" s="1" t="s">
        <v>43</v>
      </c>
      <c r="AB10" s="1">
        <v>175</v>
      </c>
      <c r="AD10" s="165"/>
      <c r="AE10" s="5" t="s">
        <v>42</v>
      </c>
      <c r="AF10" s="141"/>
    </row>
    <row r="11" spans="1:39" x14ac:dyDescent="0.3">
      <c r="B11" s="1" t="s">
        <v>44</v>
      </c>
      <c r="C11" s="167" t="s">
        <v>45</v>
      </c>
      <c r="D11" s="167"/>
      <c r="E11" s="167"/>
      <c r="F11" s="167"/>
      <c r="G11" s="1" t="s">
        <v>18</v>
      </c>
      <c r="H11" s="150" t="s">
        <v>46</v>
      </c>
      <c r="I11" s="150"/>
      <c r="Y11" s="1">
        <v>45</v>
      </c>
      <c r="AA11" s="1" t="s">
        <v>48</v>
      </c>
      <c r="AB11" s="1">
        <v>200</v>
      </c>
      <c r="AD11" s="165"/>
      <c r="AE11" s="5" t="s">
        <v>47</v>
      </c>
      <c r="AF11" s="141"/>
    </row>
    <row r="12" spans="1:39" x14ac:dyDescent="0.3">
      <c r="B12" s="1" t="s">
        <v>49</v>
      </c>
      <c r="C12" s="167" t="s">
        <v>50</v>
      </c>
      <c r="D12" s="167"/>
      <c r="E12" s="167"/>
      <c r="F12" s="167"/>
      <c r="G12" s="1" t="s">
        <v>18</v>
      </c>
      <c r="H12" s="169" t="s">
        <v>48</v>
      </c>
      <c r="I12" s="169"/>
      <c r="Y12" s="1">
        <v>50</v>
      </c>
      <c r="AA12" s="1" t="s">
        <v>52</v>
      </c>
      <c r="AD12" s="165"/>
      <c r="AE12" s="5" t="s">
        <v>51</v>
      </c>
      <c r="AF12" s="141"/>
    </row>
    <row r="13" spans="1:39" x14ac:dyDescent="0.3">
      <c r="C13" s="4"/>
      <c r="D13" s="4"/>
      <c r="E13" s="4"/>
      <c r="F13" s="4"/>
      <c r="AD13" s="165"/>
      <c r="AE13" s="5"/>
      <c r="AF13" s="141"/>
    </row>
    <row r="14" spans="1:39" x14ac:dyDescent="0.3">
      <c r="A14" s="2" t="s">
        <v>53</v>
      </c>
      <c r="B14" s="163" t="s">
        <v>54</v>
      </c>
      <c r="C14" s="163"/>
      <c r="D14" s="163"/>
      <c r="E14" s="163"/>
      <c r="F14" s="163"/>
      <c r="Y14" s="1">
        <v>55</v>
      </c>
      <c r="AD14" s="165"/>
      <c r="AE14" s="5" t="s">
        <v>55</v>
      </c>
      <c r="AF14" s="141"/>
    </row>
    <row r="15" spans="1:39" x14ac:dyDescent="0.3">
      <c r="B15" s="2"/>
      <c r="C15" s="7"/>
      <c r="D15" s="7"/>
      <c r="E15" s="7"/>
      <c r="F15" s="7"/>
      <c r="Y15" s="1">
        <v>60</v>
      </c>
      <c r="AD15" s="166"/>
      <c r="AE15" s="5" t="s">
        <v>56</v>
      </c>
      <c r="AF15" s="141"/>
    </row>
    <row r="16" spans="1:39" x14ac:dyDescent="0.3">
      <c r="B16" s="1" t="s">
        <v>16</v>
      </c>
      <c r="C16" s="167" t="s">
        <v>57</v>
      </c>
      <c r="D16" s="167"/>
      <c r="E16" s="167"/>
      <c r="F16" s="167"/>
      <c r="G16" s="1" t="s">
        <v>18</v>
      </c>
      <c r="H16" s="169">
        <v>2.88</v>
      </c>
      <c r="I16" s="169"/>
      <c r="Y16" s="1">
        <v>65</v>
      </c>
      <c r="AD16" s="5">
        <v>4</v>
      </c>
      <c r="AE16" s="5" t="s">
        <v>58</v>
      </c>
      <c r="AF16" s="5">
        <v>8</v>
      </c>
    </row>
    <row r="17" spans="1:39" x14ac:dyDescent="0.3">
      <c r="B17" s="1" t="s">
        <v>22</v>
      </c>
      <c r="C17" s="167" t="s">
        <v>59</v>
      </c>
      <c r="D17" s="167"/>
      <c r="E17" s="167"/>
      <c r="F17" s="167"/>
      <c r="G17" s="1" t="s">
        <v>18</v>
      </c>
      <c r="H17" s="169">
        <v>2.75</v>
      </c>
      <c r="I17" s="169"/>
      <c r="Y17" s="1">
        <v>70</v>
      </c>
    </row>
    <row r="18" spans="1:39" x14ac:dyDescent="0.3">
      <c r="B18" s="1" t="s">
        <v>27</v>
      </c>
      <c r="C18" s="167" t="s">
        <v>60</v>
      </c>
      <c r="D18" s="167"/>
      <c r="E18" s="167"/>
      <c r="F18" s="167"/>
      <c r="G18" s="1" t="s">
        <v>18</v>
      </c>
      <c r="H18" s="169">
        <v>2.65</v>
      </c>
      <c r="I18" s="169"/>
      <c r="Y18" s="1">
        <v>75</v>
      </c>
      <c r="AD18" s="142" t="s">
        <v>61</v>
      </c>
      <c r="AE18" s="142"/>
      <c r="AF18" s="142"/>
    </row>
    <row r="19" spans="1:39" x14ac:dyDescent="0.3">
      <c r="B19" s="1" t="s">
        <v>36</v>
      </c>
      <c r="C19" s="167" t="s">
        <v>62</v>
      </c>
      <c r="D19" s="167"/>
      <c r="E19" s="167"/>
      <c r="F19" s="167"/>
      <c r="G19" s="1" t="s">
        <v>18</v>
      </c>
      <c r="H19" s="150" t="s">
        <v>46</v>
      </c>
      <c r="I19" s="150"/>
      <c r="Y19" s="1">
        <v>80</v>
      </c>
      <c r="AA19" s="2"/>
      <c r="AB19" s="2"/>
      <c r="AC19" s="2"/>
    </row>
    <row r="20" spans="1:39" x14ac:dyDescent="0.3">
      <c r="B20" s="1" t="s">
        <v>32</v>
      </c>
      <c r="C20" s="167" t="s">
        <v>63</v>
      </c>
      <c r="D20" s="167"/>
      <c r="E20" s="167"/>
      <c r="F20" s="167"/>
      <c r="G20" s="1" t="s">
        <v>18</v>
      </c>
      <c r="H20" s="19">
        <v>1</v>
      </c>
      <c r="I20" s="4" t="s">
        <v>64</v>
      </c>
      <c r="AD20" s="3" t="s">
        <v>10</v>
      </c>
      <c r="AE20" s="3" t="s">
        <v>11</v>
      </c>
      <c r="AF20" s="3" t="s">
        <v>65</v>
      </c>
    </row>
    <row r="21" spans="1:39" x14ac:dyDescent="0.3">
      <c r="B21" s="1" t="s">
        <v>39</v>
      </c>
      <c r="C21" s="167" t="s">
        <v>66</v>
      </c>
      <c r="D21" s="167"/>
      <c r="E21" s="167"/>
      <c r="F21" s="167"/>
      <c r="G21" s="1" t="s">
        <v>18</v>
      </c>
      <c r="H21" s="19">
        <v>0.5</v>
      </c>
      <c r="I21" s="4" t="s">
        <v>64</v>
      </c>
      <c r="AD21" s="141">
        <v>1</v>
      </c>
      <c r="AE21" s="5" t="s">
        <v>20</v>
      </c>
      <c r="AF21" s="141">
        <v>3.5</v>
      </c>
    </row>
    <row r="22" spans="1:39" x14ac:dyDescent="0.3">
      <c r="B22" s="1" t="s">
        <v>44</v>
      </c>
      <c r="C22" s="167" t="s">
        <v>67</v>
      </c>
      <c r="D22" s="167"/>
      <c r="E22" s="167"/>
      <c r="F22" s="167"/>
      <c r="G22" s="1" t="s">
        <v>18</v>
      </c>
      <c r="H22" s="19" t="s">
        <v>157</v>
      </c>
      <c r="I22" s="43">
        <v>2</v>
      </c>
      <c r="AD22" s="141"/>
      <c r="AE22" s="5" t="s">
        <v>25</v>
      </c>
      <c r="AF22" s="141"/>
    </row>
    <row r="23" spans="1:39" x14ac:dyDescent="0.3">
      <c r="B23" s="1" t="s">
        <v>49</v>
      </c>
      <c r="C23" s="167" t="s">
        <v>68</v>
      </c>
      <c r="D23" s="167"/>
      <c r="E23" s="167"/>
      <c r="F23" s="167"/>
      <c r="G23" s="1" t="s">
        <v>18</v>
      </c>
      <c r="H23" s="150" t="s">
        <v>46</v>
      </c>
      <c r="I23" s="150"/>
      <c r="AD23" s="141">
        <v>2</v>
      </c>
      <c r="AE23" s="5" t="s">
        <v>30</v>
      </c>
      <c r="AF23" s="141">
        <v>4</v>
      </c>
    </row>
    <row r="24" spans="1:39" x14ac:dyDescent="0.3">
      <c r="AD24" s="141"/>
      <c r="AE24" s="5" t="s">
        <v>34</v>
      </c>
      <c r="AF24" s="141"/>
    </row>
    <row r="25" spans="1:39" x14ac:dyDescent="0.3">
      <c r="AD25" s="164">
        <v>3</v>
      </c>
      <c r="AE25" s="5" t="s">
        <v>38</v>
      </c>
      <c r="AF25" s="141">
        <v>5</v>
      </c>
    </row>
    <row r="26" spans="1:39" x14ac:dyDescent="0.3">
      <c r="A26" s="2" t="s">
        <v>69</v>
      </c>
      <c r="B26" s="163" t="s">
        <v>70</v>
      </c>
      <c r="C26" s="163"/>
      <c r="D26" s="163"/>
      <c r="E26" s="163"/>
      <c r="F26" s="163"/>
      <c r="AD26" s="165"/>
      <c r="AE26" s="5" t="s">
        <v>42</v>
      </c>
      <c r="AF26" s="141"/>
    </row>
    <row r="27" spans="1:39" x14ac:dyDescent="0.3">
      <c r="AD27" s="165"/>
      <c r="AE27" s="5" t="s">
        <v>47</v>
      </c>
      <c r="AF27" s="141"/>
    </row>
    <row r="28" spans="1:39" ht="18.600000000000001" x14ac:dyDescent="0.3">
      <c r="B28" s="19" t="s">
        <v>71</v>
      </c>
      <c r="C28" s="1">
        <f>LARGE(F28:F29,1)</f>
        <v>38.25</v>
      </c>
      <c r="D28" s="8" t="s">
        <v>72</v>
      </c>
      <c r="E28" s="48"/>
      <c r="F28" s="49">
        <f>I5+(1.65*AF25)</f>
        <v>38.25</v>
      </c>
      <c r="AD28" s="165"/>
      <c r="AE28" s="5" t="s">
        <v>51</v>
      </c>
      <c r="AF28" s="141"/>
    </row>
    <row r="29" spans="1:39" x14ac:dyDescent="0.3">
      <c r="C29" s="168"/>
      <c r="D29" s="168"/>
      <c r="E29" s="48"/>
      <c r="F29" s="50">
        <f>(I5+AF9)</f>
        <v>36.5</v>
      </c>
      <c r="AA29" s="2"/>
      <c r="AB29" s="2"/>
      <c r="AC29" s="2"/>
      <c r="AD29" s="165"/>
      <c r="AE29" s="5" t="s">
        <v>55</v>
      </c>
      <c r="AF29" s="141"/>
    </row>
    <row r="30" spans="1:39" x14ac:dyDescent="0.3">
      <c r="A30" s="2" t="s">
        <v>73</v>
      </c>
      <c r="B30" s="163" t="s">
        <v>74</v>
      </c>
      <c r="C30" s="163"/>
      <c r="D30" s="163"/>
      <c r="E30" s="163"/>
      <c r="F30" s="163"/>
      <c r="AB30" s="2"/>
      <c r="AC30" s="7"/>
      <c r="AD30" s="166"/>
      <c r="AE30" s="5" t="s">
        <v>56</v>
      </c>
      <c r="AF30" s="141"/>
      <c r="AH30" s="142" t="s">
        <v>75</v>
      </c>
      <c r="AI30" s="142"/>
      <c r="AJ30" s="142"/>
      <c r="AK30" s="142"/>
      <c r="AL30" s="142"/>
      <c r="AM30" s="142"/>
    </row>
    <row r="31" spans="1:39" x14ac:dyDescent="0.3">
      <c r="AD31" s="164">
        <v>4</v>
      </c>
      <c r="AE31" s="5" t="s">
        <v>76</v>
      </c>
      <c r="AF31" s="141">
        <v>6</v>
      </c>
    </row>
    <row r="32" spans="1:39" x14ac:dyDescent="0.3">
      <c r="B32" s="150" t="s">
        <v>77</v>
      </c>
      <c r="C32" s="150"/>
      <c r="D32" s="1">
        <f>IF(H7=10,AL6,IF(H7=20,AL7,IF(H7=40,AL8)))</f>
        <v>1</v>
      </c>
      <c r="E32" s="1" t="s">
        <v>64</v>
      </c>
      <c r="AD32" s="165"/>
      <c r="AE32" s="5" t="s">
        <v>78</v>
      </c>
      <c r="AF32" s="141"/>
    </row>
    <row r="33" spans="1:39" x14ac:dyDescent="0.3">
      <c r="C33" s="11"/>
      <c r="AD33" s="165"/>
      <c r="AE33" s="5" t="s">
        <v>79</v>
      </c>
      <c r="AF33" s="141"/>
    </row>
    <row r="34" spans="1:39" x14ac:dyDescent="0.3">
      <c r="A34" s="2" t="s">
        <v>80</v>
      </c>
      <c r="B34" s="163" t="s">
        <v>81</v>
      </c>
      <c r="C34" s="163"/>
      <c r="D34" s="163"/>
      <c r="E34" s="163"/>
      <c r="F34" s="163"/>
      <c r="G34" s="23"/>
      <c r="H34" s="24"/>
      <c r="I34" s="24"/>
      <c r="J34" s="24"/>
      <c r="K34" s="24"/>
      <c r="AD34" s="166"/>
      <c r="AE34" s="5" t="s">
        <v>82</v>
      </c>
      <c r="AF34" s="141"/>
      <c r="AH34" s="142" t="s">
        <v>83</v>
      </c>
      <c r="AI34" s="142"/>
      <c r="AJ34" s="142"/>
    </row>
    <row r="36" spans="1:39" x14ac:dyDescent="0.3">
      <c r="B36" s="1" t="s">
        <v>84</v>
      </c>
      <c r="C36" s="42">
        <v>0.3</v>
      </c>
      <c r="D36" s="167" t="s">
        <v>85</v>
      </c>
      <c r="E36" s="167"/>
      <c r="AD36" s="12" t="s">
        <v>10</v>
      </c>
      <c r="AE36" s="12" t="s">
        <v>86</v>
      </c>
      <c r="AF36" s="156" t="s">
        <v>87</v>
      </c>
      <c r="AG36" s="156"/>
      <c r="AH36" s="156"/>
      <c r="AI36" s="156"/>
      <c r="AJ36" s="156" t="s">
        <v>88</v>
      </c>
      <c r="AK36" s="156"/>
      <c r="AL36" s="156"/>
      <c r="AM36" s="156"/>
    </row>
    <row r="37" spans="1:39" x14ac:dyDescent="0.3">
      <c r="D37" s="149"/>
      <c r="E37" s="149"/>
      <c r="AD37" s="157"/>
      <c r="AE37" s="158"/>
      <c r="AF37" s="161" t="s">
        <v>89</v>
      </c>
      <c r="AG37" s="161"/>
      <c r="AH37" s="161" t="s">
        <v>90</v>
      </c>
      <c r="AI37" s="162" t="s">
        <v>91</v>
      </c>
      <c r="AJ37" s="162" t="s">
        <v>89</v>
      </c>
      <c r="AK37" s="162"/>
      <c r="AL37" s="161" t="s">
        <v>90</v>
      </c>
      <c r="AM37" s="162" t="s">
        <v>91</v>
      </c>
    </row>
    <row r="38" spans="1:39" x14ac:dyDescent="0.3">
      <c r="A38" s="2" t="s">
        <v>92</v>
      </c>
      <c r="B38" s="163" t="s">
        <v>93</v>
      </c>
      <c r="C38" s="163"/>
      <c r="D38" s="163"/>
      <c r="E38" s="163"/>
      <c r="F38" s="163"/>
      <c r="AD38" s="159"/>
      <c r="AE38" s="160"/>
      <c r="AF38" s="161"/>
      <c r="AG38" s="161"/>
      <c r="AH38" s="161"/>
      <c r="AI38" s="162"/>
      <c r="AJ38" s="162"/>
      <c r="AK38" s="162"/>
      <c r="AL38" s="161"/>
      <c r="AM38" s="162"/>
    </row>
    <row r="39" spans="1:39" x14ac:dyDescent="0.3">
      <c r="AD39" s="5" t="s">
        <v>94</v>
      </c>
      <c r="AE39" s="5" t="s">
        <v>95</v>
      </c>
      <c r="AF39" s="146" t="s">
        <v>96</v>
      </c>
      <c r="AG39" s="147"/>
      <c r="AH39" s="5" t="s">
        <v>97</v>
      </c>
      <c r="AI39" s="5" t="s">
        <v>98</v>
      </c>
      <c r="AJ39" s="146" t="s">
        <v>99</v>
      </c>
      <c r="AK39" s="147"/>
      <c r="AL39" s="5" t="s">
        <v>100</v>
      </c>
      <c r="AM39" s="5" t="s">
        <v>101</v>
      </c>
    </row>
    <row r="40" spans="1:39" x14ac:dyDescent="0.3">
      <c r="C40" s="180" t="s">
        <v>102</v>
      </c>
      <c r="D40" s="180"/>
      <c r="E40" s="149">
        <f>IF(H7=10,AH50,IF(H7=20,AH51,IF(H7=40,AH52)))</f>
        <v>186</v>
      </c>
      <c r="F40" s="155" t="s">
        <v>103</v>
      </c>
      <c r="AD40" s="5">
        <v>1</v>
      </c>
      <c r="AE40" s="5" t="s">
        <v>104</v>
      </c>
      <c r="AF40" s="141">
        <v>220</v>
      </c>
      <c r="AG40" s="141"/>
      <c r="AH40" s="5">
        <v>0.6</v>
      </c>
      <c r="AI40" s="5" t="s">
        <v>46</v>
      </c>
      <c r="AJ40" s="141">
        <v>300</v>
      </c>
      <c r="AK40" s="141"/>
      <c r="AL40" s="5">
        <v>0.55000000000000004</v>
      </c>
      <c r="AM40" s="5" t="s">
        <v>30</v>
      </c>
    </row>
    <row r="41" spans="1:39" x14ac:dyDescent="0.3">
      <c r="C41" s="180"/>
      <c r="D41" s="180"/>
      <c r="E41" s="149"/>
      <c r="F41" s="155"/>
      <c r="AD41" s="5">
        <v>2</v>
      </c>
      <c r="AE41" s="5" t="s">
        <v>105</v>
      </c>
      <c r="AF41" s="141">
        <v>240</v>
      </c>
      <c r="AG41" s="141"/>
      <c r="AH41" s="5">
        <v>0.6</v>
      </c>
      <c r="AI41" s="5" t="s">
        <v>25</v>
      </c>
      <c r="AJ41" s="141">
        <v>301</v>
      </c>
      <c r="AK41" s="141"/>
      <c r="AL41" s="5">
        <v>0.5</v>
      </c>
      <c r="AM41" s="5" t="s">
        <v>34</v>
      </c>
    </row>
    <row r="42" spans="1:39" x14ac:dyDescent="0.3">
      <c r="C42" s="9" t="s">
        <v>106</v>
      </c>
      <c r="D42" s="9"/>
      <c r="E42" s="9"/>
      <c r="F42" s="9"/>
      <c r="AD42" s="5">
        <v>3</v>
      </c>
      <c r="AE42" s="5" t="s">
        <v>107</v>
      </c>
      <c r="AF42" s="141">
        <v>250</v>
      </c>
      <c r="AG42" s="141"/>
      <c r="AH42" s="5">
        <v>0.5</v>
      </c>
      <c r="AI42" s="5" t="s">
        <v>30</v>
      </c>
      <c r="AJ42" s="141">
        <v>302</v>
      </c>
      <c r="AK42" s="141"/>
      <c r="AL42" s="5">
        <v>0.45</v>
      </c>
      <c r="AM42" s="5" t="s">
        <v>38</v>
      </c>
    </row>
    <row r="43" spans="1:39" ht="31.2" x14ac:dyDescent="0.3">
      <c r="C43" s="149" t="s">
        <v>110</v>
      </c>
      <c r="D43" s="149"/>
      <c r="E43" s="39">
        <f>IF(H9=0,E40-0.06*E40,IF(H9=25,E40-0.03*E40,IF(H9=50,E40,IF(H9=75,E40+0.03*E40,IF(H9=100,E40+0.06*E40,IF(H9=125,E40+0.09*E40,IF(H9=150,E40+0.12*E40,IF(H9=175,E40+0.15*E40))))))))</f>
        <v>197.16</v>
      </c>
      <c r="F43" s="1" t="s">
        <v>103</v>
      </c>
      <c r="AD43" s="5">
        <v>4</v>
      </c>
      <c r="AE43" s="17" t="s">
        <v>108</v>
      </c>
      <c r="AF43" s="141">
        <v>260</v>
      </c>
      <c r="AG43" s="141"/>
      <c r="AH43" s="5">
        <v>0.45</v>
      </c>
      <c r="AI43" s="5" t="s">
        <v>30</v>
      </c>
      <c r="AJ43" s="141">
        <v>303</v>
      </c>
      <c r="AK43" s="141"/>
      <c r="AL43" s="5">
        <v>0.45</v>
      </c>
      <c r="AM43" s="5" t="s">
        <v>109</v>
      </c>
    </row>
    <row r="44" spans="1:39" x14ac:dyDescent="0.3">
      <c r="AD44" s="5">
        <v>5</v>
      </c>
      <c r="AE44" s="5" t="s">
        <v>111</v>
      </c>
      <c r="AF44" s="141">
        <v>280</v>
      </c>
      <c r="AG44" s="141"/>
      <c r="AH44" s="5">
        <v>0.4</v>
      </c>
      <c r="AI44" s="5" t="s">
        <v>34</v>
      </c>
      <c r="AJ44" s="141">
        <v>304</v>
      </c>
      <c r="AK44" s="141"/>
      <c r="AL44" s="5">
        <v>0.4</v>
      </c>
      <c r="AM44" s="5" t="s">
        <v>42</v>
      </c>
    </row>
    <row r="45" spans="1:39" x14ac:dyDescent="0.3">
      <c r="A45" s="2" t="s">
        <v>113</v>
      </c>
      <c r="B45" s="163" t="s">
        <v>114</v>
      </c>
      <c r="C45" s="163"/>
      <c r="D45" s="163"/>
      <c r="E45" s="36"/>
      <c r="F45" s="36"/>
    </row>
    <row r="46" spans="1:39" x14ac:dyDescent="0.3">
      <c r="D46" s="41" t="s">
        <v>84</v>
      </c>
      <c r="E46" s="39">
        <f>C36</f>
        <v>0.3</v>
      </c>
      <c r="AD46" s="142" t="s">
        <v>112</v>
      </c>
      <c r="AE46" s="142"/>
      <c r="AF46" s="142"/>
    </row>
    <row r="47" spans="1:39" ht="18.600000000000001" x14ac:dyDescent="0.3">
      <c r="C47" s="150" t="s">
        <v>172</v>
      </c>
      <c r="D47" s="150"/>
      <c r="E47" s="1">
        <v>450</v>
      </c>
      <c r="F47" s="24" t="s">
        <v>41</v>
      </c>
    </row>
    <row r="48" spans="1:39" x14ac:dyDescent="0.3">
      <c r="C48" s="154" t="s">
        <v>116</v>
      </c>
      <c r="D48" s="154"/>
      <c r="E48" s="1">
        <f>E43/E46</f>
        <v>657.2</v>
      </c>
      <c r="F48" s="1" t="s">
        <v>103</v>
      </c>
      <c r="AD48" s="143" t="s">
        <v>10</v>
      </c>
      <c r="AE48" s="144" t="s">
        <v>13</v>
      </c>
      <c r="AF48" s="144"/>
      <c r="AG48" s="144"/>
      <c r="AH48" s="144" t="s">
        <v>115</v>
      </c>
      <c r="AI48" s="144"/>
    </row>
    <row r="49" spans="1:40" ht="18.600000000000001" x14ac:dyDescent="0.3">
      <c r="C49" s="176" t="s">
        <v>171</v>
      </c>
      <c r="D49" s="176"/>
      <c r="E49" s="1">
        <f>SMALL(E47:E48,1)</f>
        <v>450</v>
      </c>
      <c r="F49" s="24" t="s">
        <v>41</v>
      </c>
      <c r="AD49" s="143"/>
      <c r="AE49" s="144"/>
      <c r="AF49" s="144"/>
      <c r="AG49" s="144"/>
      <c r="AH49" s="144"/>
      <c r="AI49" s="144"/>
    </row>
    <row r="50" spans="1:40" x14ac:dyDescent="0.3">
      <c r="AD50" s="5">
        <v>1</v>
      </c>
      <c r="AE50" s="141">
        <v>10</v>
      </c>
      <c r="AF50" s="141"/>
      <c r="AG50" s="141"/>
      <c r="AH50" s="141">
        <v>208</v>
      </c>
      <c r="AI50" s="141"/>
    </row>
    <row r="51" spans="1:40" ht="36.6" customHeight="1" x14ac:dyDescent="0.3">
      <c r="A51" s="2" t="s">
        <v>117</v>
      </c>
      <c r="B51" s="145" t="s">
        <v>118</v>
      </c>
      <c r="C51" s="145"/>
      <c r="D51" s="145"/>
      <c r="E51" s="37"/>
      <c r="F51" s="37"/>
      <c r="AD51" s="5">
        <v>2</v>
      </c>
      <c r="AE51" s="141">
        <v>20</v>
      </c>
      <c r="AF51" s="141"/>
      <c r="AG51" s="141"/>
      <c r="AH51" s="141">
        <v>186</v>
      </c>
      <c r="AI51" s="141"/>
    </row>
    <row r="52" spans="1:40" ht="18.600000000000001" customHeight="1" x14ac:dyDescent="0.3">
      <c r="B52" s="37"/>
      <c r="C52" s="37"/>
      <c r="D52" s="37"/>
      <c r="E52" s="37"/>
      <c r="F52" s="37"/>
      <c r="AD52" s="5">
        <v>3</v>
      </c>
      <c r="AE52" s="141">
        <v>40</v>
      </c>
      <c r="AF52" s="141"/>
      <c r="AG52" s="141"/>
      <c r="AH52" s="141">
        <v>165</v>
      </c>
      <c r="AI52" s="141"/>
    </row>
    <row r="53" spans="1:40" ht="15.6" customHeight="1" x14ac:dyDescent="0.3"/>
    <row r="54" spans="1:40" x14ac:dyDescent="0.3">
      <c r="B54" s="38"/>
      <c r="C54" s="38" t="s">
        <v>120</v>
      </c>
      <c r="D54" s="42">
        <f>AK60</f>
        <v>0.62</v>
      </c>
      <c r="AD54" s="142" t="s">
        <v>119</v>
      </c>
      <c r="AE54" s="142"/>
      <c r="AF54" s="142"/>
    </row>
    <row r="55" spans="1:40" x14ac:dyDescent="0.3">
      <c r="AH55" s="1">
        <v>0.5</v>
      </c>
    </row>
    <row r="56" spans="1:40" ht="48.6" customHeight="1" x14ac:dyDescent="0.3">
      <c r="B56" s="168" t="s">
        <v>122</v>
      </c>
      <c r="C56" s="168"/>
      <c r="D56" s="39">
        <f>D54+(0.5-E46)*(2/10)</f>
        <v>0.66</v>
      </c>
      <c r="AD56" s="143" t="s">
        <v>10</v>
      </c>
      <c r="AE56" s="151" t="s">
        <v>13</v>
      </c>
      <c r="AF56" s="151"/>
      <c r="AG56" s="151"/>
      <c r="AH56" s="151" t="s">
        <v>121</v>
      </c>
      <c r="AI56" s="151"/>
      <c r="AJ56" s="151"/>
      <c r="AK56" s="151"/>
      <c r="AL56" s="151"/>
      <c r="AM56" s="151"/>
    </row>
    <row r="57" spans="1:40" x14ac:dyDescent="0.3">
      <c r="B57" s="40"/>
      <c r="C57" s="40"/>
      <c r="D57" s="39"/>
      <c r="AD57" s="143"/>
      <c r="AE57" s="151"/>
      <c r="AF57" s="151"/>
      <c r="AG57" s="151"/>
      <c r="AH57" s="151"/>
      <c r="AI57" s="151"/>
      <c r="AJ57" s="151"/>
      <c r="AK57" s="151"/>
      <c r="AL57" s="151"/>
      <c r="AM57" s="151"/>
    </row>
    <row r="58" spans="1:40" ht="16.2" customHeight="1" x14ac:dyDescent="0.35">
      <c r="B58" s="148" t="s">
        <v>127</v>
      </c>
      <c r="C58" s="148"/>
      <c r="D58" s="149">
        <f>1-D56</f>
        <v>0.33999999999999997</v>
      </c>
      <c r="E58" s="150"/>
      <c r="AD58" s="152"/>
      <c r="AE58" s="152"/>
      <c r="AF58" s="152"/>
      <c r="AG58" s="152"/>
      <c r="AH58" s="20" t="s">
        <v>123</v>
      </c>
      <c r="AI58" s="153" t="s">
        <v>124</v>
      </c>
      <c r="AJ58" s="153"/>
      <c r="AK58" s="20" t="s">
        <v>125</v>
      </c>
      <c r="AL58" s="153" t="s">
        <v>126</v>
      </c>
      <c r="AM58" s="153"/>
    </row>
    <row r="59" spans="1:40" x14ac:dyDescent="0.3">
      <c r="B59" s="148"/>
      <c r="C59" s="148"/>
      <c r="D59" s="149"/>
      <c r="E59" s="150"/>
      <c r="AD59" s="5">
        <v>1</v>
      </c>
      <c r="AE59" s="141">
        <v>10</v>
      </c>
      <c r="AF59" s="141"/>
      <c r="AG59" s="141"/>
      <c r="AH59" s="5">
        <v>0.54</v>
      </c>
      <c r="AI59" s="141">
        <v>0.52</v>
      </c>
      <c r="AJ59" s="141"/>
      <c r="AK59" s="5">
        <v>0.5</v>
      </c>
      <c r="AL59" s="141">
        <v>0.48</v>
      </c>
      <c r="AM59" s="141"/>
      <c r="AN59" s="1">
        <f>AVERAGE(AH59:AM59)</f>
        <v>0.51</v>
      </c>
    </row>
    <row r="60" spans="1:40" ht="15.6" customHeight="1" x14ac:dyDescent="0.3">
      <c r="AD60" s="5">
        <v>2</v>
      </c>
      <c r="AE60" s="141">
        <v>20</v>
      </c>
      <c r="AF60" s="141"/>
      <c r="AG60" s="141"/>
      <c r="AH60" s="5">
        <v>0.66</v>
      </c>
      <c r="AI60" s="141">
        <v>0.64</v>
      </c>
      <c r="AJ60" s="141"/>
      <c r="AK60" s="5">
        <v>0.62</v>
      </c>
      <c r="AL60" s="141">
        <v>0.6</v>
      </c>
      <c r="AM60" s="141"/>
      <c r="AN60" s="1">
        <f>AVERAGE(AH60:AM60)</f>
        <v>0.63</v>
      </c>
    </row>
    <row r="61" spans="1:40" x14ac:dyDescent="0.3">
      <c r="B61" s="142" t="s">
        <v>133</v>
      </c>
      <c r="C61" s="142"/>
      <c r="D61" s="142"/>
      <c r="E61" s="142"/>
      <c r="AD61" s="5">
        <v>3</v>
      </c>
      <c r="AE61" s="141">
        <v>40</v>
      </c>
      <c r="AF61" s="141"/>
      <c r="AG61" s="141"/>
      <c r="AH61" s="5">
        <v>0.73</v>
      </c>
      <c r="AI61" s="141">
        <v>0.72</v>
      </c>
      <c r="AJ61" s="141"/>
      <c r="AK61" s="5">
        <v>0.71</v>
      </c>
      <c r="AL61" s="141">
        <v>0.69</v>
      </c>
      <c r="AM61" s="141"/>
      <c r="AN61" s="1">
        <f>AVERAGE(AH61:AM61)</f>
        <v>0.71250000000000002</v>
      </c>
    </row>
    <row r="62" spans="1:40" ht="18.600000000000001" x14ac:dyDescent="0.3">
      <c r="A62" s="24" t="s">
        <v>16</v>
      </c>
      <c r="B62" s="177" t="s">
        <v>131</v>
      </c>
      <c r="C62" s="177"/>
      <c r="D62" s="24">
        <v>1</v>
      </c>
      <c r="E62" s="24" t="s">
        <v>128</v>
      </c>
    </row>
    <row r="63" spans="1:40" ht="18.600000000000001" x14ac:dyDescent="0.3">
      <c r="A63" s="24" t="s">
        <v>22</v>
      </c>
      <c r="B63" s="177" t="s">
        <v>129</v>
      </c>
      <c r="C63" s="177"/>
      <c r="D63" s="24">
        <f>D32/100</f>
        <v>0.01</v>
      </c>
      <c r="E63" s="24" t="s">
        <v>128</v>
      </c>
    </row>
    <row r="64" spans="1:40" ht="18.600000000000001" x14ac:dyDescent="0.3">
      <c r="A64" s="24" t="s">
        <v>130</v>
      </c>
      <c r="B64" s="177" t="s">
        <v>132</v>
      </c>
      <c r="C64" s="177"/>
      <c r="D64" s="25">
        <f>(E49/H16)*(1/1000)</f>
        <v>0.15625</v>
      </c>
      <c r="E64" s="24" t="s">
        <v>128</v>
      </c>
    </row>
    <row r="65" spans="1:5" ht="18.600000000000001" x14ac:dyDescent="0.3">
      <c r="A65" s="24" t="s">
        <v>32</v>
      </c>
      <c r="B65" s="177" t="s">
        <v>134</v>
      </c>
      <c r="C65" s="177"/>
      <c r="D65" s="25">
        <f>(E43/1)*(1/1000)</f>
        <v>0.19716</v>
      </c>
      <c r="E65" s="24" t="s">
        <v>128</v>
      </c>
    </row>
    <row r="66" spans="1:5" ht="18.600000000000001" x14ac:dyDescent="0.3">
      <c r="A66" s="24" t="s">
        <v>36</v>
      </c>
      <c r="B66" s="177" t="s">
        <v>135</v>
      </c>
      <c r="C66" s="177"/>
      <c r="D66" s="25">
        <f>((D62-D63)-(D64+D65))</f>
        <v>0.63658999999999999</v>
      </c>
      <c r="E66" s="24" t="s">
        <v>128</v>
      </c>
    </row>
    <row r="67" spans="1:5" x14ac:dyDescent="0.3">
      <c r="A67" s="24" t="s">
        <v>39</v>
      </c>
      <c r="B67" s="177" t="s">
        <v>136</v>
      </c>
      <c r="C67" s="177"/>
      <c r="D67" s="24">
        <f>(D66*D56*H17*1000)</f>
        <v>1155.41085</v>
      </c>
      <c r="E67" s="24" t="s">
        <v>103</v>
      </c>
    </row>
    <row r="68" spans="1:5" x14ac:dyDescent="0.3">
      <c r="A68" s="24" t="s">
        <v>44</v>
      </c>
      <c r="B68" s="177" t="s">
        <v>137</v>
      </c>
      <c r="C68" s="177"/>
      <c r="D68" s="24">
        <f>(D66*H18*D58*1000)</f>
        <v>573.56758999999988</v>
      </c>
      <c r="E68" s="24" t="s">
        <v>103</v>
      </c>
    </row>
    <row r="69" spans="1:5" x14ac:dyDescent="0.3">
      <c r="A69" s="24"/>
      <c r="B69" s="24"/>
      <c r="C69" s="24"/>
      <c r="D69" s="24"/>
      <c r="E69" s="24"/>
    </row>
    <row r="70" spans="1:5" x14ac:dyDescent="0.3">
      <c r="A70" s="170" t="s">
        <v>138</v>
      </c>
      <c r="B70" s="171"/>
      <c r="C70" s="171"/>
      <c r="D70" s="171"/>
      <c r="E70" s="171"/>
    </row>
    <row r="71" spans="1:5" x14ac:dyDescent="0.3">
      <c r="A71" s="23"/>
      <c r="B71" s="24"/>
      <c r="C71" s="24"/>
      <c r="D71" s="24"/>
      <c r="E71" s="24"/>
    </row>
    <row r="72" spans="1:5" ht="18.600000000000001" x14ac:dyDescent="0.3">
      <c r="A72" s="23"/>
      <c r="B72" s="172" t="s">
        <v>139</v>
      </c>
      <c r="C72" s="173"/>
      <c r="D72" s="21">
        <f>E49</f>
        <v>450</v>
      </c>
      <c r="E72" s="22" t="s">
        <v>41</v>
      </c>
    </row>
    <row r="73" spans="1:5" ht="18.600000000000001" x14ac:dyDescent="0.3">
      <c r="A73" s="23"/>
      <c r="B73" s="172" t="s">
        <v>140</v>
      </c>
      <c r="C73" s="173"/>
      <c r="D73" s="21">
        <f>E43</f>
        <v>197.16</v>
      </c>
      <c r="E73" s="22" t="s">
        <v>41</v>
      </c>
    </row>
    <row r="74" spans="1:5" ht="18.600000000000001" x14ac:dyDescent="0.3">
      <c r="A74" s="23"/>
      <c r="B74" s="172" t="s">
        <v>141</v>
      </c>
      <c r="C74" s="173"/>
      <c r="D74" s="21">
        <f>D68</f>
        <v>573.56758999999988</v>
      </c>
      <c r="E74" s="22" t="s">
        <v>41</v>
      </c>
    </row>
    <row r="75" spans="1:5" ht="18.600000000000001" x14ac:dyDescent="0.3">
      <c r="A75" s="23"/>
      <c r="B75" s="172" t="s">
        <v>142</v>
      </c>
      <c r="C75" s="173"/>
      <c r="D75" s="21">
        <f>D67</f>
        <v>1155.41085</v>
      </c>
      <c r="E75" s="22" t="s">
        <v>41</v>
      </c>
    </row>
    <row r="76" spans="1:5" x14ac:dyDescent="0.3">
      <c r="A76" s="23"/>
      <c r="B76" s="174" t="s">
        <v>143</v>
      </c>
      <c r="C76" s="175"/>
      <c r="D76" s="178">
        <f>C36</f>
        <v>0.3</v>
      </c>
      <c r="E76" s="179"/>
    </row>
  </sheetData>
  <mergeCells count="139">
    <mergeCell ref="A70:E70"/>
    <mergeCell ref="B72:C72"/>
    <mergeCell ref="B73:C73"/>
    <mergeCell ref="B74:C74"/>
    <mergeCell ref="B75:C75"/>
    <mergeCell ref="B76:C76"/>
    <mergeCell ref="D36:E36"/>
    <mergeCell ref="C49:D49"/>
    <mergeCell ref="C47:D47"/>
    <mergeCell ref="B62:C62"/>
    <mergeCell ref="B63:C63"/>
    <mergeCell ref="B64:C64"/>
    <mergeCell ref="B65:C65"/>
    <mergeCell ref="B66:C66"/>
    <mergeCell ref="B67:C67"/>
    <mergeCell ref="B68:C68"/>
    <mergeCell ref="D76:E76"/>
    <mergeCell ref="B56:C56"/>
    <mergeCell ref="C43:D43"/>
    <mergeCell ref="C40:D41"/>
    <mergeCell ref="E40:E41"/>
    <mergeCell ref="AL4:AM5"/>
    <mergeCell ref="C5:F5"/>
    <mergeCell ref="AD5:AD6"/>
    <mergeCell ref="AF5:AF6"/>
    <mergeCell ref="C6:F6"/>
    <mergeCell ref="H6:I6"/>
    <mergeCell ref="AI6:AK6"/>
    <mergeCell ref="AL6:AM6"/>
    <mergeCell ref="A1:K1"/>
    <mergeCell ref="AD2:AF2"/>
    <mergeCell ref="AH2:AJ2"/>
    <mergeCell ref="B3:F3"/>
    <mergeCell ref="AH4:AH5"/>
    <mergeCell ref="AI4:AK5"/>
    <mergeCell ref="C7:F7"/>
    <mergeCell ref="AD7:AD8"/>
    <mergeCell ref="AF7:AF8"/>
    <mergeCell ref="AI7:AK7"/>
    <mergeCell ref="AL7:AM7"/>
    <mergeCell ref="C8:F8"/>
    <mergeCell ref="H8:I8"/>
    <mergeCell ref="AI8:AK8"/>
    <mergeCell ref="AL8:AM8"/>
    <mergeCell ref="C9:F9"/>
    <mergeCell ref="AD9:AD15"/>
    <mergeCell ref="AF9:AF15"/>
    <mergeCell ref="C10:F10"/>
    <mergeCell ref="C11:F11"/>
    <mergeCell ref="H11:I11"/>
    <mergeCell ref="C12:F12"/>
    <mergeCell ref="H12:I12"/>
    <mergeCell ref="B14:F14"/>
    <mergeCell ref="AD18:AF18"/>
    <mergeCell ref="C19:F19"/>
    <mergeCell ref="H19:I19"/>
    <mergeCell ref="C20:F20"/>
    <mergeCell ref="C21:F21"/>
    <mergeCell ref="AD21:AD22"/>
    <mergeCell ref="AF21:AF22"/>
    <mergeCell ref="C22:F22"/>
    <mergeCell ref="C16:F16"/>
    <mergeCell ref="H16:I16"/>
    <mergeCell ref="C17:F17"/>
    <mergeCell ref="H17:I17"/>
    <mergeCell ref="C18:F18"/>
    <mergeCell ref="H18:I18"/>
    <mergeCell ref="AH30:AM30"/>
    <mergeCell ref="AD31:AD34"/>
    <mergeCell ref="AF31:AF34"/>
    <mergeCell ref="B32:C32"/>
    <mergeCell ref="B34:F34"/>
    <mergeCell ref="AH34:AJ34"/>
    <mergeCell ref="C23:F23"/>
    <mergeCell ref="H23:I23"/>
    <mergeCell ref="AD23:AD24"/>
    <mergeCell ref="AF23:AF24"/>
    <mergeCell ref="AD25:AD30"/>
    <mergeCell ref="AF25:AF30"/>
    <mergeCell ref="B26:F26"/>
    <mergeCell ref="C29:D29"/>
    <mergeCell ref="B30:F30"/>
    <mergeCell ref="F40:F41"/>
    <mergeCell ref="AF40:AG40"/>
    <mergeCell ref="AJ40:AK40"/>
    <mergeCell ref="AF41:AG41"/>
    <mergeCell ref="AD46:AF46"/>
    <mergeCell ref="AF36:AI36"/>
    <mergeCell ref="AJ36:AM36"/>
    <mergeCell ref="D37:E37"/>
    <mergeCell ref="AD37:AE38"/>
    <mergeCell ref="AF37:AG38"/>
    <mergeCell ref="AH37:AH38"/>
    <mergeCell ref="AI37:AI38"/>
    <mergeCell ref="AJ37:AK38"/>
    <mergeCell ref="AL37:AL38"/>
    <mergeCell ref="AM37:AM38"/>
    <mergeCell ref="B38:F38"/>
    <mergeCell ref="B45:D45"/>
    <mergeCell ref="AJ41:AK41"/>
    <mergeCell ref="AF42:AG42"/>
    <mergeCell ref="AJ42:AK42"/>
    <mergeCell ref="AF43:AG43"/>
    <mergeCell ref="AJ43:AK43"/>
    <mergeCell ref="AF44:AG44"/>
    <mergeCell ref="AJ44:AK44"/>
    <mergeCell ref="AF39:AG39"/>
    <mergeCell ref="AJ39:AK39"/>
    <mergeCell ref="AL61:AM61"/>
    <mergeCell ref="B61:E61"/>
    <mergeCell ref="AI59:AJ59"/>
    <mergeCell ref="AL59:AM59"/>
    <mergeCell ref="B58:C59"/>
    <mergeCell ref="D58:D59"/>
    <mergeCell ref="E58:E59"/>
    <mergeCell ref="AE60:AG60"/>
    <mergeCell ref="AI60:AJ60"/>
    <mergeCell ref="AL60:AM60"/>
    <mergeCell ref="AE61:AG61"/>
    <mergeCell ref="AI61:AJ61"/>
    <mergeCell ref="AD56:AD57"/>
    <mergeCell ref="AE56:AG57"/>
    <mergeCell ref="AH56:AM57"/>
    <mergeCell ref="AD58:AG58"/>
    <mergeCell ref="AI58:AJ58"/>
    <mergeCell ref="AL58:AM58"/>
    <mergeCell ref="AE59:AG59"/>
    <mergeCell ref="C48:D48"/>
    <mergeCell ref="AE51:AG51"/>
    <mergeCell ref="AH51:AI51"/>
    <mergeCell ref="AE52:AG52"/>
    <mergeCell ref="AH52:AI52"/>
    <mergeCell ref="AD54:AF54"/>
    <mergeCell ref="AD48:AD49"/>
    <mergeCell ref="AE48:AG49"/>
    <mergeCell ref="AH48:AI49"/>
    <mergeCell ref="AE50:AG50"/>
    <mergeCell ref="AH50:AI50"/>
    <mergeCell ref="B51:D51"/>
  </mergeCells>
  <phoneticPr fontId="8" type="noConversion"/>
  <dataValidations disablePrompts="1" count="6">
    <dataValidation type="list" allowBlank="1" showInputMessage="1" showErrorMessage="1" sqref="H12:I12" xr:uid="{D59872CF-5B55-4CF0-BD54-E1714B1F5F64}">
      <formula1>$AA$11:$AA$12</formula1>
    </dataValidation>
    <dataValidation type="list" allowBlank="1" showInputMessage="1" showErrorMessage="1" sqref="H9" xr:uid="{A537D7C3-FDF9-49FA-AA3D-92F4C0E2DAD1}">
      <formula1>$AB$4:$AB$11</formula1>
    </dataValidation>
    <dataValidation type="list" allowBlank="1" showInputMessage="1" showErrorMessage="1" sqref="H8:I8" xr:uid="{D20CB643-49A4-44B1-9BCB-92FF7423A04F}">
      <formula1>$AA$4:$AA$8</formula1>
    </dataValidation>
    <dataValidation type="list" allowBlank="1" showInputMessage="1" showErrorMessage="1" sqref="H7" xr:uid="{B49BACE2-8DCB-446D-BDF3-44BC9CDC77A2}">
      <formula1>$Z$4:$Z$6</formula1>
    </dataValidation>
    <dataValidation type="list" allowBlank="1" showInputMessage="1" showErrorMessage="1" sqref="I5" xr:uid="{47539AA2-D161-4AF6-8020-C173C983FBEE}">
      <formula1>$Y$4:$Y$19</formula1>
    </dataValidation>
    <dataValidation type="list" allowBlank="1" showInputMessage="1" showErrorMessage="1" sqref="I22" xr:uid="{22A45F04-E2D6-4A16-BCFC-19862518302C}">
      <formula1>$AC$4:$AC$7</formula1>
    </dataValidation>
  </dataValidations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BAAE-E89D-431C-AD38-19DD2DA106C8}">
  <sheetPr codeName="Sheet2"/>
  <dimension ref="A1:AG36"/>
  <sheetViews>
    <sheetView showGridLines="0" tabSelected="1" zoomScale="83" zoomScaleNormal="90" workbookViewId="0">
      <selection activeCell="Q22" sqref="Q22"/>
    </sheetView>
  </sheetViews>
  <sheetFormatPr defaultRowHeight="14.4" x14ac:dyDescent="0.3"/>
  <cols>
    <col min="1" max="3" width="11.33203125" customWidth="1"/>
    <col min="4" max="4" width="10.109375" customWidth="1"/>
    <col min="5" max="5" width="11.6640625" style="46" customWidth="1"/>
    <col min="6" max="6" width="11.6640625" style="47" customWidth="1"/>
    <col min="7" max="7" width="2.21875" customWidth="1"/>
    <col min="8" max="8" width="9.109375" customWidth="1"/>
    <col min="9" max="9" width="2.21875" customWidth="1"/>
    <col min="12" max="12" width="14" customWidth="1"/>
    <col min="13" max="13" width="11.44140625" bestFit="1" customWidth="1"/>
    <col min="15" max="15" width="14.21875" bestFit="1" customWidth="1"/>
    <col min="21" max="21" width="8.88671875" hidden="1" customWidth="1"/>
    <col min="27" max="33" width="8.88671875" hidden="1" customWidth="1"/>
  </cols>
  <sheetData>
    <row r="1" spans="1:32" ht="22.8" customHeight="1" x14ac:dyDescent="0.3">
      <c r="A1" s="186" t="s">
        <v>194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5" t="s">
        <v>193</v>
      </c>
      <c r="N1" s="185"/>
      <c r="U1" s="122">
        <f>IF(F4&lt;=15,5,IF(F4&lt;26,5.5,IF(F4&gt;60,8,6.5)))</f>
        <v>5.5</v>
      </c>
      <c r="W1" s="61"/>
      <c r="X1" s="61"/>
      <c r="Y1" s="61"/>
      <c r="Z1" s="61"/>
      <c r="AA1" s="61" t="s">
        <v>9</v>
      </c>
      <c r="AB1" s="1" t="s">
        <v>43</v>
      </c>
      <c r="AC1" s="1" t="s">
        <v>7</v>
      </c>
      <c r="AD1" s="52" t="s">
        <v>5</v>
      </c>
      <c r="AE1" s="1" t="s">
        <v>6</v>
      </c>
      <c r="AF1" s="1" t="s">
        <v>8</v>
      </c>
    </row>
    <row r="2" spans="1:32" ht="15.6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U2" s="122">
        <f>IF(F4&lt;=15,3.5,IF(F4&lt;26,4,IF(F4&gt;60,6,5)))</f>
        <v>4</v>
      </c>
      <c r="W2" s="62"/>
      <c r="X2" s="62"/>
      <c r="Y2" s="62"/>
      <c r="Z2" s="62"/>
      <c r="AA2" s="62">
        <v>1</v>
      </c>
      <c r="AB2" s="1" t="s">
        <v>48</v>
      </c>
      <c r="AC2" s="1" t="s">
        <v>104</v>
      </c>
      <c r="AD2" s="52">
        <v>10</v>
      </c>
      <c r="AE2" s="1">
        <v>10</v>
      </c>
      <c r="AF2" s="1">
        <v>25</v>
      </c>
    </row>
    <row r="3" spans="1:32" ht="18.600000000000001" x14ac:dyDescent="0.3">
      <c r="A3" s="190" t="s">
        <v>4</v>
      </c>
      <c r="B3" s="190"/>
      <c r="C3" s="190"/>
      <c r="D3" s="190"/>
      <c r="E3" s="190"/>
      <c r="F3" s="190"/>
      <c r="G3" s="93"/>
      <c r="H3" s="97"/>
      <c r="I3" s="97"/>
      <c r="J3" s="191" t="s">
        <v>184</v>
      </c>
      <c r="K3" s="191"/>
      <c r="L3" s="191"/>
      <c r="M3" s="191"/>
      <c r="N3" s="191"/>
      <c r="U3" s="122">
        <f>IF(E5=10,208,IF(E5=20,186,IF(E5=40,165)))</f>
        <v>208</v>
      </c>
      <c r="W3" s="63"/>
      <c r="X3" s="64"/>
      <c r="Y3" s="63"/>
      <c r="Z3" s="63"/>
      <c r="AA3" s="64">
        <v>2</v>
      </c>
      <c r="AB3" s="1" t="s">
        <v>190</v>
      </c>
      <c r="AC3" s="1" t="s">
        <v>105</v>
      </c>
      <c r="AD3" s="52">
        <v>15</v>
      </c>
      <c r="AE3" s="1">
        <v>20</v>
      </c>
      <c r="AF3" s="1">
        <v>50</v>
      </c>
    </row>
    <row r="4" spans="1:32" ht="22.8" x14ac:dyDescent="0.3">
      <c r="A4" s="203" t="s">
        <v>17</v>
      </c>
      <c r="B4" s="203"/>
      <c r="C4" s="203"/>
      <c r="D4" s="203"/>
      <c r="E4" s="107" t="s">
        <v>19</v>
      </c>
      <c r="F4" s="114">
        <v>20</v>
      </c>
      <c r="G4" s="94"/>
      <c r="H4" s="97"/>
      <c r="I4" s="97"/>
      <c r="J4" s="194" t="s">
        <v>183</v>
      </c>
      <c r="K4" s="194"/>
      <c r="L4" s="194"/>
      <c r="M4" s="120">
        <f>MAX(F4+1.65*U2,F4+U1)</f>
        <v>26.6</v>
      </c>
      <c r="N4" s="109" t="s">
        <v>177</v>
      </c>
      <c r="U4" s="122">
        <f>M6/M7</f>
        <v>535.6</v>
      </c>
      <c r="W4" s="63"/>
      <c r="X4" s="64"/>
      <c r="Y4" s="63"/>
      <c r="Z4" s="63"/>
      <c r="AA4" s="64">
        <v>3</v>
      </c>
      <c r="AB4" s="63"/>
      <c r="AC4" s="1" t="s">
        <v>107</v>
      </c>
      <c r="AD4" s="52">
        <v>20</v>
      </c>
      <c r="AE4" s="1">
        <v>40</v>
      </c>
      <c r="AF4" s="1">
        <v>75</v>
      </c>
    </row>
    <row r="5" spans="1:32" ht="21.6" x14ac:dyDescent="0.3">
      <c r="A5" s="94" t="s">
        <v>28</v>
      </c>
      <c r="B5" s="94"/>
      <c r="C5" s="94"/>
      <c r="D5" s="94"/>
      <c r="E5" s="115">
        <v>10</v>
      </c>
      <c r="F5" s="108" t="s">
        <v>29</v>
      </c>
      <c r="G5" s="94"/>
      <c r="H5" s="97"/>
      <c r="I5" s="97"/>
      <c r="J5" s="194" t="s">
        <v>175</v>
      </c>
      <c r="K5" s="194"/>
      <c r="L5" s="194"/>
      <c r="M5" s="121">
        <f>IF(E5=10,1.5,IF(E5=20,1,IF(E5=40,0.8)))/100</f>
        <v>1.4999999999999999E-2</v>
      </c>
      <c r="N5" s="110" t="s">
        <v>182</v>
      </c>
      <c r="U5" s="122">
        <f>0.5-M7</f>
        <v>9.9999999999999978E-2</v>
      </c>
      <c r="W5" s="63"/>
      <c r="X5" s="64"/>
      <c r="Y5" s="63"/>
      <c r="Z5" s="63"/>
      <c r="AA5" s="64">
        <v>4</v>
      </c>
      <c r="AB5" s="63"/>
      <c r="AC5" s="1" t="s">
        <v>108</v>
      </c>
      <c r="AD5" s="52">
        <v>25</v>
      </c>
      <c r="AE5" s="1">
        <v>0</v>
      </c>
      <c r="AF5" s="1">
        <v>100</v>
      </c>
    </row>
    <row r="6" spans="1:32" ht="19.2" x14ac:dyDescent="0.3">
      <c r="A6" s="203" t="s">
        <v>33</v>
      </c>
      <c r="B6" s="203"/>
      <c r="C6" s="203"/>
      <c r="D6" s="203"/>
      <c r="E6" s="192" t="s">
        <v>107</v>
      </c>
      <c r="F6" s="192"/>
      <c r="G6" s="94"/>
      <c r="H6" s="97"/>
      <c r="I6" s="97"/>
      <c r="J6" s="202" t="s">
        <v>176</v>
      </c>
      <c r="K6" s="202"/>
      <c r="L6" s="202"/>
      <c r="M6" s="120">
        <f>IF(E7=0,U3-0.06*U3,IF(E7=25,U3-0.03*U3,IF(E7=50,U3,IF(E7=75,U3+0.03*U3,IF(E7=100,U3+0.06*U3,IF(E7=125,U3+0.09*U3,IF(E7=150,U3+0.12*U3,IF(E7=175,U3+0.15*U3))))))))</f>
        <v>214.24</v>
      </c>
      <c r="N6" s="111" t="s">
        <v>103</v>
      </c>
      <c r="U6" s="122">
        <f>(0.01*U5)/0.05</f>
        <v>1.9999999999999993E-2</v>
      </c>
      <c r="W6" s="63"/>
      <c r="X6" s="64"/>
      <c r="Y6" s="63"/>
      <c r="Z6" s="63"/>
      <c r="AA6" s="64"/>
      <c r="AB6" s="63"/>
      <c r="AC6" s="1" t="s">
        <v>111</v>
      </c>
      <c r="AD6" s="52">
        <v>30</v>
      </c>
      <c r="AE6" s="51"/>
      <c r="AF6" s="1">
        <v>125</v>
      </c>
    </row>
    <row r="7" spans="1:32" ht="19.2" x14ac:dyDescent="0.3">
      <c r="A7" s="203" t="s">
        <v>37</v>
      </c>
      <c r="B7" s="203"/>
      <c r="C7" s="203"/>
      <c r="D7" s="203"/>
      <c r="E7" s="115">
        <v>75</v>
      </c>
      <c r="F7" s="108" t="s">
        <v>29</v>
      </c>
      <c r="G7" s="94"/>
      <c r="H7" s="97"/>
      <c r="I7" s="97"/>
      <c r="J7" s="194" t="s">
        <v>179</v>
      </c>
      <c r="K7" s="194"/>
      <c r="L7" s="194"/>
      <c r="M7" s="195">
        <v>0.4</v>
      </c>
      <c r="N7" s="195"/>
      <c r="U7" s="122">
        <f>IF(E5=10,0.51,IF(E5=20,0.63,IF(E5=40,0.71)))</f>
        <v>0.51</v>
      </c>
      <c r="W7" s="63"/>
      <c r="X7" s="64"/>
      <c r="Y7" s="63"/>
      <c r="Z7" s="63"/>
      <c r="AA7" s="64"/>
      <c r="AB7" s="63"/>
      <c r="AC7" s="51"/>
      <c r="AD7" s="52">
        <v>35</v>
      </c>
      <c r="AE7" s="51"/>
      <c r="AF7" s="1">
        <v>150</v>
      </c>
    </row>
    <row r="8" spans="1:32" ht="21.6" x14ac:dyDescent="0.3">
      <c r="A8" s="203" t="s">
        <v>40</v>
      </c>
      <c r="B8" s="203"/>
      <c r="C8" s="203"/>
      <c r="D8" s="203"/>
      <c r="E8" s="107">
        <v>450</v>
      </c>
      <c r="F8" s="108" t="s">
        <v>173</v>
      </c>
      <c r="G8" s="94"/>
      <c r="H8" s="97"/>
      <c r="I8" s="97"/>
      <c r="J8" s="194" t="s">
        <v>178</v>
      </c>
      <c r="K8" s="194"/>
      <c r="L8" s="194"/>
      <c r="M8" s="125">
        <f>MIN(E8,U4)</f>
        <v>450</v>
      </c>
      <c r="N8" s="111" t="s">
        <v>173</v>
      </c>
      <c r="U8" s="122">
        <f>U7+U6</f>
        <v>0.53</v>
      </c>
      <c r="W8" s="63"/>
      <c r="X8" s="64"/>
      <c r="Y8" s="63"/>
      <c r="Z8" s="63"/>
      <c r="AA8" s="64"/>
      <c r="AB8" s="63"/>
      <c r="AC8" s="51"/>
      <c r="AD8" s="52">
        <v>40</v>
      </c>
      <c r="AE8" s="51"/>
      <c r="AF8" s="1">
        <v>175</v>
      </c>
    </row>
    <row r="9" spans="1:32" ht="19.2" x14ac:dyDescent="0.3">
      <c r="A9" s="203" t="s">
        <v>45</v>
      </c>
      <c r="B9" s="203"/>
      <c r="C9" s="203"/>
      <c r="D9" s="203"/>
      <c r="E9" s="115" t="s">
        <v>46</v>
      </c>
      <c r="F9" s="114"/>
      <c r="G9" s="94"/>
      <c r="H9" s="97"/>
      <c r="I9" s="97"/>
      <c r="J9" s="194" t="s">
        <v>180</v>
      </c>
      <c r="K9" s="194"/>
      <c r="L9" s="194"/>
      <c r="M9" s="196">
        <f>U8</f>
        <v>0.53</v>
      </c>
      <c r="N9" s="196"/>
      <c r="U9" s="123">
        <f>(M8/E13)*(1/1000)</f>
        <v>0.1465798045602606</v>
      </c>
      <c r="W9" s="63"/>
      <c r="X9" s="64"/>
      <c r="Y9" s="63"/>
      <c r="Z9" s="63"/>
      <c r="AA9" s="64"/>
      <c r="AB9" s="63"/>
      <c r="AC9" s="51"/>
      <c r="AD9" s="52">
        <v>45</v>
      </c>
      <c r="AE9" s="51"/>
      <c r="AF9" s="1">
        <v>200</v>
      </c>
    </row>
    <row r="10" spans="1:32" ht="19.2" x14ac:dyDescent="0.3">
      <c r="A10" s="203" t="s">
        <v>50</v>
      </c>
      <c r="B10" s="203"/>
      <c r="C10" s="203"/>
      <c r="D10" s="203"/>
      <c r="E10" s="192" t="s">
        <v>48</v>
      </c>
      <c r="F10" s="192"/>
      <c r="G10" s="94"/>
      <c r="H10" s="97"/>
      <c r="I10" s="97"/>
      <c r="J10" s="194" t="s">
        <v>181</v>
      </c>
      <c r="K10" s="194"/>
      <c r="L10" s="194"/>
      <c r="M10" s="196">
        <f>1-M9</f>
        <v>0.47</v>
      </c>
      <c r="N10" s="196"/>
      <c r="U10" s="123">
        <f>(M6/1000)</f>
        <v>0.21424000000000001</v>
      </c>
      <c r="W10" s="63"/>
      <c r="X10" s="64"/>
      <c r="Y10" s="63"/>
      <c r="Z10" s="63"/>
      <c r="AA10" s="64"/>
      <c r="AB10" s="63"/>
      <c r="AC10" s="51"/>
      <c r="AD10" s="52">
        <v>50</v>
      </c>
      <c r="AE10" s="51"/>
    </row>
    <row r="11" spans="1:32" ht="18.600000000000001" x14ac:dyDescent="0.3">
      <c r="A11" s="93"/>
      <c r="B11" s="93"/>
      <c r="C11" s="93"/>
      <c r="D11" s="93"/>
      <c r="E11" s="95"/>
      <c r="F11" s="96"/>
      <c r="G11" s="93"/>
      <c r="H11" s="97"/>
      <c r="I11" s="97"/>
      <c r="J11" s="97"/>
      <c r="K11" s="97"/>
      <c r="L11" s="97"/>
      <c r="M11" s="97"/>
      <c r="N11" s="98"/>
      <c r="S11" s="112"/>
      <c r="U11" s="123">
        <f>((1-M5)-(U9+U10))</f>
        <v>0.62418019543973935</v>
      </c>
      <c r="W11" s="63"/>
      <c r="X11" s="64"/>
      <c r="Y11" s="63"/>
      <c r="Z11" s="63"/>
      <c r="AA11" s="64"/>
      <c r="AB11" s="63"/>
      <c r="AC11" s="51"/>
      <c r="AD11" s="52">
        <v>55</v>
      </c>
      <c r="AE11" s="51"/>
    </row>
    <row r="12" spans="1:32" ht="18.600000000000001" x14ac:dyDescent="0.3">
      <c r="A12" s="190" t="s">
        <v>54</v>
      </c>
      <c r="B12" s="190"/>
      <c r="C12" s="190"/>
      <c r="D12" s="190"/>
      <c r="E12" s="190"/>
      <c r="F12" s="190"/>
      <c r="G12" s="93"/>
      <c r="H12" s="97"/>
      <c r="I12" s="97"/>
      <c r="J12" s="191" t="s">
        <v>185</v>
      </c>
      <c r="K12" s="191"/>
      <c r="L12" s="191"/>
      <c r="M12" s="191"/>
      <c r="N12" s="191"/>
      <c r="W12" s="63"/>
      <c r="X12" s="64"/>
      <c r="Y12" s="63"/>
      <c r="Z12" s="63"/>
      <c r="AA12" s="64"/>
      <c r="AB12" s="63"/>
      <c r="AC12" s="51"/>
      <c r="AD12" s="52">
        <v>60</v>
      </c>
      <c r="AE12" s="51"/>
    </row>
    <row r="13" spans="1:32" ht="21.6" x14ac:dyDescent="0.3">
      <c r="A13" s="203" t="s">
        <v>57</v>
      </c>
      <c r="B13" s="203"/>
      <c r="C13" s="203"/>
      <c r="D13" s="203"/>
      <c r="E13" s="192">
        <v>3.07</v>
      </c>
      <c r="F13" s="192"/>
      <c r="G13" s="94"/>
      <c r="H13" s="97"/>
      <c r="I13" s="97"/>
      <c r="J13" s="194" t="s">
        <v>161</v>
      </c>
      <c r="K13" s="194"/>
      <c r="L13" s="194"/>
      <c r="M13" s="125">
        <f>M8</f>
        <v>450</v>
      </c>
      <c r="N13" s="111" t="s">
        <v>173</v>
      </c>
      <c r="W13" s="64"/>
      <c r="X13" s="64"/>
      <c r="Y13" s="64"/>
      <c r="Z13" s="63"/>
      <c r="AA13" s="64"/>
      <c r="AB13" s="63"/>
      <c r="AC13" s="51"/>
      <c r="AD13" s="52">
        <v>65</v>
      </c>
      <c r="AE13" s="51"/>
    </row>
    <row r="14" spans="1:32" ht="21.6" x14ac:dyDescent="0.35">
      <c r="A14" s="94" t="s">
        <v>59</v>
      </c>
      <c r="B14" s="94"/>
      <c r="C14" s="94"/>
      <c r="D14" s="94"/>
      <c r="E14" s="192">
        <v>0.9</v>
      </c>
      <c r="F14" s="192"/>
      <c r="G14" s="94"/>
      <c r="H14" s="97"/>
      <c r="I14" s="97"/>
      <c r="J14" s="194" t="s">
        <v>186</v>
      </c>
      <c r="K14" s="194"/>
      <c r="L14" s="194"/>
      <c r="M14" s="124">
        <f>M6</f>
        <v>214.24</v>
      </c>
      <c r="N14" s="111" t="s">
        <v>173</v>
      </c>
      <c r="W14" s="65"/>
      <c r="X14" s="65"/>
      <c r="Y14" s="65"/>
      <c r="Z14" s="63"/>
      <c r="AA14" s="64"/>
      <c r="AB14" s="63"/>
      <c r="AC14" s="51"/>
      <c r="AD14" s="52">
        <v>70</v>
      </c>
      <c r="AE14" s="51"/>
    </row>
    <row r="15" spans="1:32" ht="21.6" x14ac:dyDescent="0.3">
      <c r="A15" s="94" t="s">
        <v>60</v>
      </c>
      <c r="B15" s="94"/>
      <c r="C15" s="94"/>
      <c r="D15" s="94"/>
      <c r="E15" s="192">
        <v>0.9</v>
      </c>
      <c r="F15" s="192"/>
      <c r="G15" s="94"/>
      <c r="H15" s="97"/>
      <c r="I15" s="97"/>
      <c r="J15" s="194" t="s">
        <v>187</v>
      </c>
      <c r="K15" s="194"/>
      <c r="L15" s="194"/>
      <c r="M15" s="125">
        <f>(E15*M10*U11*1000)</f>
        <v>264.0282226710097</v>
      </c>
      <c r="N15" s="111" t="s">
        <v>173</v>
      </c>
      <c r="W15" s="65"/>
      <c r="X15" s="65"/>
      <c r="Y15" s="65"/>
      <c r="Z15" s="63"/>
      <c r="AA15" s="64"/>
      <c r="AB15" s="63"/>
      <c r="AC15" s="51"/>
      <c r="AD15" s="52">
        <v>75</v>
      </c>
      <c r="AE15" s="51"/>
    </row>
    <row r="16" spans="1:32" ht="21.6" x14ac:dyDescent="0.35">
      <c r="A16" s="94" t="s">
        <v>62</v>
      </c>
      <c r="B16" s="94"/>
      <c r="C16" s="94"/>
      <c r="D16" s="94"/>
      <c r="E16" s="115" t="s">
        <v>46</v>
      </c>
      <c r="F16" s="114"/>
      <c r="G16" s="94"/>
      <c r="H16" s="97"/>
      <c r="I16" s="97"/>
      <c r="J16" s="194" t="s">
        <v>188</v>
      </c>
      <c r="K16" s="194"/>
      <c r="L16" s="194"/>
      <c r="M16" s="135">
        <f>(M9*U11*E14*1000)</f>
        <v>297.73395322475574</v>
      </c>
      <c r="N16" s="111" t="s">
        <v>173</v>
      </c>
      <c r="W16" s="65"/>
      <c r="X16" s="65"/>
      <c r="Y16" s="65"/>
      <c r="Z16" s="63"/>
      <c r="AA16" s="64"/>
      <c r="AB16" s="63"/>
      <c r="AC16" s="51"/>
      <c r="AD16" s="52">
        <v>80</v>
      </c>
      <c r="AE16" s="51"/>
    </row>
    <row r="17" spans="1:28" ht="19.2" x14ac:dyDescent="0.35">
      <c r="A17" s="94" t="s">
        <v>63</v>
      </c>
      <c r="B17" s="94"/>
      <c r="C17" s="94"/>
      <c r="D17" s="94"/>
      <c r="E17" s="115">
        <v>1</v>
      </c>
      <c r="F17" s="108" t="s">
        <v>64</v>
      </c>
      <c r="G17" s="94"/>
      <c r="H17" s="97"/>
      <c r="I17" s="97"/>
      <c r="J17" s="194" t="s">
        <v>189</v>
      </c>
      <c r="K17" s="194"/>
      <c r="L17" s="194"/>
      <c r="M17" s="193">
        <f>M7</f>
        <v>0.4</v>
      </c>
      <c r="N17" s="193"/>
      <c r="W17" s="66"/>
      <c r="X17" s="66"/>
      <c r="Y17" s="66"/>
      <c r="Z17" s="67"/>
      <c r="AA17" s="67"/>
      <c r="AB17" s="67"/>
    </row>
    <row r="18" spans="1:28" ht="19.2" x14ac:dyDescent="0.35">
      <c r="A18" s="94" t="s">
        <v>66</v>
      </c>
      <c r="B18" s="94"/>
      <c r="C18" s="94"/>
      <c r="D18" s="94"/>
      <c r="E18" s="115">
        <v>0.5</v>
      </c>
      <c r="F18" s="108" t="s">
        <v>64</v>
      </c>
      <c r="G18" s="94"/>
      <c r="H18" s="97"/>
      <c r="I18" s="97"/>
      <c r="J18" s="100"/>
      <c r="K18" s="100"/>
      <c r="L18" s="100"/>
      <c r="M18" s="102"/>
      <c r="N18" s="102"/>
      <c r="W18" s="68"/>
      <c r="X18" s="69"/>
      <c r="Y18" s="69"/>
      <c r="Z18" s="69"/>
      <c r="AA18" s="69"/>
      <c r="AB18" s="69"/>
    </row>
    <row r="19" spans="1:28" ht="19.2" x14ac:dyDescent="0.35">
      <c r="A19" s="203" t="s">
        <v>174</v>
      </c>
      <c r="B19" s="203"/>
      <c r="C19" s="203"/>
      <c r="D19" s="203"/>
      <c r="E19" s="192">
        <v>2</v>
      </c>
      <c r="F19" s="192"/>
      <c r="G19" s="94"/>
      <c r="H19" s="97"/>
      <c r="I19" s="97"/>
      <c r="J19" s="100"/>
      <c r="K19" s="100"/>
      <c r="L19" s="100"/>
      <c r="M19" s="102"/>
      <c r="N19" s="102"/>
      <c r="W19" s="68"/>
      <c r="X19" s="69"/>
      <c r="Y19" s="69"/>
      <c r="Z19" s="69"/>
      <c r="AA19" s="69"/>
      <c r="AB19" s="69"/>
    </row>
    <row r="20" spans="1:28" ht="19.2" x14ac:dyDescent="0.3">
      <c r="A20" s="100"/>
      <c r="B20" s="100"/>
      <c r="C20" s="100"/>
      <c r="D20" s="100"/>
      <c r="E20" s="103"/>
      <c r="F20" s="101"/>
      <c r="G20" s="97"/>
      <c r="H20" s="97"/>
      <c r="I20" s="97"/>
      <c r="J20" s="104"/>
      <c r="K20" s="104"/>
      <c r="L20" s="104"/>
      <c r="M20" s="104"/>
      <c r="N20" s="104"/>
      <c r="W20" s="70"/>
      <c r="X20" s="71"/>
      <c r="Y20" s="71"/>
      <c r="Z20" s="71"/>
      <c r="AA20" s="71"/>
      <c r="AB20" s="71"/>
    </row>
    <row r="21" spans="1:28" ht="19.2" x14ac:dyDescent="0.35">
      <c r="A21" s="102"/>
      <c r="B21" s="105"/>
      <c r="C21" s="181" t="s">
        <v>161</v>
      </c>
      <c r="D21" s="182"/>
      <c r="E21" s="181" t="s">
        <v>187</v>
      </c>
      <c r="F21" s="182"/>
      <c r="G21" s="137" t="s">
        <v>188</v>
      </c>
      <c r="H21" s="138"/>
      <c r="I21" s="139"/>
      <c r="J21" s="140"/>
      <c r="K21" s="197" t="s">
        <v>202</v>
      </c>
      <c r="L21" s="198"/>
      <c r="M21" s="102"/>
      <c r="N21" s="102"/>
      <c r="W21" s="70"/>
      <c r="X21" s="71"/>
      <c r="Y21" s="71"/>
      <c r="Z21" s="71"/>
      <c r="AA21" s="71"/>
      <c r="AB21" s="71"/>
    </row>
    <row r="22" spans="1:28" ht="19.2" x14ac:dyDescent="0.35">
      <c r="A22" s="102"/>
      <c r="B22" s="102"/>
      <c r="C22" s="188">
        <f>(M13/M13)</f>
        <v>1</v>
      </c>
      <c r="D22" s="189"/>
      <c r="E22" s="183">
        <f>(M15/M13)</f>
        <v>0.58672938371335492</v>
      </c>
      <c r="F22" s="184"/>
      <c r="G22" s="183">
        <f>M16/M13</f>
        <v>0.66163100716612389</v>
      </c>
      <c r="H22" s="199"/>
      <c r="I22" s="199"/>
      <c r="J22" s="184"/>
      <c r="K22" s="200">
        <f>M17</f>
        <v>0.4</v>
      </c>
      <c r="L22" s="201"/>
      <c r="M22" s="102"/>
      <c r="N22" s="102"/>
      <c r="W22" s="70"/>
      <c r="X22" s="71"/>
      <c r="Y22" s="71"/>
      <c r="Z22" s="71"/>
      <c r="AA22" s="71"/>
      <c r="AB22" s="71"/>
    </row>
    <row r="23" spans="1:28" ht="19.2" x14ac:dyDescent="0.35">
      <c r="A23" s="102"/>
      <c r="B23" s="102"/>
      <c r="C23" s="102"/>
      <c r="D23" s="102"/>
      <c r="E23" s="106"/>
      <c r="F23" s="101"/>
      <c r="G23" s="100"/>
      <c r="H23" s="100"/>
      <c r="I23" s="100"/>
      <c r="J23" s="102"/>
      <c r="K23" s="102"/>
      <c r="L23" s="102"/>
      <c r="M23" s="102"/>
      <c r="N23" s="102"/>
      <c r="W23" s="67"/>
      <c r="X23" s="67"/>
      <c r="Y23" s="67"/>
      <c r="Z23" s="67"/>
      <c r="AA23" s="67"/>
      <c r="AB23" s="67"/>
    </row>
    <row r="24" spans="1:28" ht="24.6" x14ac:dyDescent="0.8">
      <c r="A24" s="102"/>
      <c r="B24" s="102"/>
      <c r="C24" s="102"/>
      <c r="D24" s="102"/>
      <c r="E24" s="102"/>
      <c r="F24" s="102"/>
      <c r="G24" s="102"/>
      <c r="H24" s="102"/>
      <c r="I24" s="106"/>
      <c r="J24" s="106"/>
      <c r="K24" s="101"/>
      <c r="L24" s="113"/>
      <c r="M24" s="187" t="s">
        <v>191</v>
      </c>
      <c r="N24" s="187"/>
      <c r="W24" s="66"/>
      <c r="X24" s="66"/>
      <c r="Y24" s="66"/>
      <c r="Z24" s="67"/>
      <c r="AA24" s="67"/>
      <c r="AB24" s="67"/>
    </row>
    <row r="25" spans="1:28" ht="14.4" customHeight="1" x14ac:dyDescent="0.35">
      <c r="A25" s="56"/>
      <c r="B25" s="56"/>
      <c r="C25" s="56"/>
      <c r="D25" s="56"/>
      <c r="E25" s="89"/>
      <c r="F25" s="58"/>
      <c r="G25" s="57"/>
      <c r="H25" s="57"/>
      <c r="I25" s="57"/>
      <c r="J25" s="56"/>
      <c r="K25" s="56"/>
      <c r="L25" s="56"/>
      <c r="M25" s="56"/>
      <c r="N25" s="56"/>
      <c r="W25" s="68"/>
      <c r="X25" s="69"/>
      <c r="Y25" s="69"/>
      <c r="Z25" s="69"/>
      <c r="AA25" s="69"/>
      <c r="AB25" s="69"/>
    </row>
    <row r="26" spans="1:28" ht="14.4" customHeight="1" x14ac:dyDescent="0.3">
      <c r="F26" s="55"/>
      <c r="G26" s="53"/>
      <c r="H26" s="53"/>
      <c r="I26" s="53"/>
      <c r="W26" s="68"/>
      <c r="X26" s="69"/>
      <c r="Y26" s="69"/>
      <c r="Z26" s="69"/>
      <c r="AA26" s="69"/>
      <c r="AB26" s="69"/>
    </row>
    <row r="27" spans="1:28" ht="19.2" x14ac:dyDescent="0.3">
      <c r="F27" s="55"/>
      <c r="G27" s="53"/>
      <c r="H27" s="53"/>
      <c r="I27" s="53"/>
      <c r="V27" s="84"/>
      <c r="W27" s="85"/>
      <c r="X27" s="73"/>
      <c r="Y27" s="73"/>
      <c r="Z27" s="73"/>
      <c r="AA27" s="73"/>
      <c r="AB27" s="73"/>
    </row>
    <row r="28" spans="1:28" ht="18.600000000000001" x14ac:dyDescent="0.3">
      <c r="F28" s="55"/>
      <c r="G28" s="53"/>
      <c r="H28" s="53"/>
      <c r="I28" s="53"/>
      <c r="V28" s="74"/>
      <c r="W28" s="74"/>
      <c r="X28" s="73"/>
      <c r="Y28" s="73"/>
      <c r="Z28" s="73"/>
      <c r="AA28" s="73"/>
      <c r="AB28" s="73"/>
    </row>
    <row r="29" spans="1:28" ht="15.6" x14ac:dyDescent="0.3">
      <c r="F29" s="55"/>
      <c r="G29" s="53"/>
      <c r="H29" s="53"/>
      <c r="I29" s="53"/>
      <c r="W29" s="72"/>
      <c r="X29" s="73"/>
      <c r="Y29" s="73"/>
      <c r="Z29" s="73"/>
      <c r="AA29" s="73"/>
      <c r="AB29" s="73"/>
    </row>
    <row r="30" spans="1:28" x14ac:dyDescent="0.3">
      <c r="F30" s="55"/>
      <c r="G30" s="53"/>
      <c r="H30" s="53"/>
      <c r="I30" s="53"/>
    </row>
    <row r="31" spans="1:28" x14ac:dyDescent="0.3">
      <c r="F31" s="55"/>
      <c r="G31" s="53"/>
      <c r="H31" s="53"/>
      <c r="I31" s="53"/>
    </row>
    <row r="32" spans="1:28" x14ac:dyDescent="0.3">
      <c r="F32" s="55"/>
      <c r="G32" s="53"/>
      <c r="H32" s="53"/>
      <c r="I32" s="53"/>
    </row>
    <row r="33" spans="1:9" x14ac:dyDescent="0.3">
      <c r="F33" s="55"/>
      <c r="G33" s="53"/>
      <c r="H33" s="53"/>
      <c r="I33" s="53"/>
    </row>
    <row r="34" spans="1:9" x14ac:dyDescent="0.3">
      <c r="A34" s="53"/>
      <c r="B34" s="53"/>
      <c r="C34" s="53"/>
      <c r="D34" s="53"/>
      <c r="E34" s="54"/>
      <c r="F34" s="55"/>
      <c r="G34" s="53"/>
      <c r="H34" s="53"/>
      <c r="I34" s="53"/>
    </row>
    <row r="35" spans="1:9" x14ac:dyDescent="0.3">
      <c r="A35" s="53"/>
      <c r="B35" s="53"/>
      <c r="C35" s="53"/>
      <c r="D35" s="53"/>
      <c r="E35" s="54"/>
      <c r="F35" s="55"/>
      <c r="G35" s="53"/>
      <c r="H35" s="53"/>
      <c r="I35" s="53"/>
    </row>
    <row r="36" spans="1:9" x14ac:dyDescent="0.3">
      <c r="A36" s="53"/>
      <c r="B36" s="53"/>
      <c r="C36" s="53"/>
      <c r="D36" s="53"/>
      <c r="E36" s="54"/>
      <c r="F36" s="55"/>
      <c r="G36" s="53"/>
      <c r="H36" s="53"/>
      <c r="I36" s="53"/>
    </row>
  </sheetData>
  <sheetProtection algorithmName="SHA-512" hashValue="eqkdxPqpGtm6vCUeRff9+QQ6kbaJTYl8dJpw5CkW1k2xgch08eiVGR0GuSZn25cmkDMzjSLvYfBClTK06QTbbg==" saltValue="7/8pbJ/1MFcNfU7w3yD+6A==" spinCount="100000" sheet="1" objects="1" scenarios="1"/>
  <mergeCells count="44">
    <mergeCell ref="A4:D4"/>
    <mergeCell ref="A6:D6"/>
    <mergeCell ref="E6:F6"/>
    <mergeCell ref="A19:D19"/>
    <mergeCell ref="E14:F14"/>
    <mergeCell ref="E15:F15"/>
    <mergeCell ref="A13:D13"/>
    <mergeCell ref="A7:D7"/>
    <mergeCell ref="A8:D8"/>
    <mergeCell ref="A9:D9"/>
    <mergeCell ref="A10:D10"/>
    <mergeCell ref="E10:F10"/>
    <mergeCell ref="J5:L5"/>
    <mergeCell ref="J4:L4"/>
    <mergeCell ref="K21:L21"/>
    <mergeCell ref="G22:J22"/>
    <mergeCell ref="K22:L22"/>
    <mergeCell ref="J6:L6"/>
    <mergeCell ref="J16:L16"/>
    <mergeCell ref="J17:L17"/>
    <mergeCell ref="M7:N7"/>
    <mergeCell ref="M9:N9"/>
    <mergeCell ref="M10:N10"/>
    <mergeCell ref="J8:L8"/>
    <mergeCell ref="J15:L15"/>
    <mergeCell ref="J7:L7"/>
    <mergeCell ref="J9:L9"/>
    <mergeCell ref="J10:L10"/>
    <mergeCell ref="E21:F21"/>
    <mergeCell ref="E22:F22"/>
    <mergeCell ref="M1:N1"/>
    <mergeCell ref="A1:L1"/>
    <mergeCell ref="M24:N24"/>
    <mergeCell ref="C22:D22"/>
    <mergeCell ref="C21:D21"/>
    <mergeCell ref="A3:F3"/>
    <mergeCell ref="A12:F12"/>
    <mergeCell ref="J3:N3"/>
    <mergeCell ref="J12:N12"/>
    <mergeCell ref="E19:F19"/>
    <mergeCell ref="E13:F13"/>
    <mergeCell ref="M17:N17"/>
    <mergeCell ref="J13:L13"/>
    <mergeCell ref="J14:L14"/>
  </mergeCells>
  <dataValidations count="6">
    <dataValidation type="list" allowBlank="1" showInputMessage="1" showErrorMessage="1" sqref="E5" xr:uid="{20FB4B99-965D-49E8-A62F-F183B1B70FCD}">
      <formula1>$AE$2:$AE$5</formula1>
    </dataValidation>
    <dataValidation type="list" allowBlank="1" showInputMessage="1" showErrorMessage="1" sqref="E7" xr:uid="{AA07FD7E-8D00-4F3C-A5B8-208D4925CCF3}">
      <formula1>$AF$2:$AF$9</formula1>
    </dataValidation>
    <dataValidation type="list" allowBlank="1" showInputMessage="1" showErrorMessage="1" sqref="F4" xr:uid="{549EC5B1-B5A5-469B-B97E-F4B6B75517AA}">
      <formula1>$AD$1:$AD$16</formula1>
    </dataValidation>
    <dataValidation type="list" allowBlank="1" showInputMessage="1" showErrorMessage="1" sqref="E6" xr:uid="{AF137584-CCD8-4AAE-8215-92936CFE35BB}">
      <formula1>$AC$2:$AC$6</formula1>
    </dataValidation>
    <dataValidation type="list" allowBlank="1" showInputMessage="1" showErrorMessage="1" sqref="E10" xr:uid="{AA5B2D81-70E6-4004-9BDF-BB0FECA7EE78}">
      <formula1>$AB$2:$AB$3</formula1>
    </dataValidation>
    <dataValidation type="list" allowBlank="1" showInputMessage="1" showErrorMessage="1" sqref="E19:F19" xr:uid="{5956984D-C4EC-45BB-B287-A6356AE4584E}">
      <formula1>$AA$2:$AA$5</formula1>
    </dataValidation>
  </dataValidations>
  <pageMargins left="0.7" right="0.7" top="0.75" bottom="0.75" header="0.3" footer="0.3"/>
  <pageSetup paperSize="9" orientation="landscape" horizontalDpi="4294967293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0C7A-B1B3-4698-AFAD-D7C77C3F860B}">
  <sheetPr codeName="Sheet3"/>
  <dimension ref="A2:G19"/>
  <sheetViews>
    <sheetView showGridLines="0" zoomScale="110" zoomScaleNormal="100" workbookViewId="0">
      <selection activeCell="I22" sqref="I22"/>
    </sheetView>
  </sheetViews>
  <sheetFormatPr defaultRowHeight="15.6" x14ac:dyDescent="0.3"/>
  <cols>
    <col min="1" max="1" width="16.5546875" style="1" customWidth="1"/>
    <col min="2" max="2" width="9.88671875" style="1" bestFit="1" customWidth="1"/>
    <col min="3" max="4" width="8.88671875" style="1"/>
    <col min="5" max="5" width="16.77734375" style="1" bestFit="1" customWidth="1"/>
    <col min="6" max="16384" width="8.88671875" style="1"/>
  </cols>
  <sheetData>
    <row r="2" spans="1:7" x14ac:dyDescent="0.3">
      <c r="A2" s="156" t="s">
        <v>196</v>
      </c>
      <c r="B2" s="206"/>
      <c r="C2" s="206"/>
      <c r="E2" s="156" t="s">
        <v>197</v>
      </c>
      <c r="F2" s="206"/>
      <c r="G2" s="206"/>
    </row>
    <row r="3" spans="1:7" ht="18.600000000000001" x14ac:dyDescent="0.3">
      <c r="A3" s="117" t="s">
        <v>195</v>
      </c>
      <c r="B3" s="119">
        <f>(0.15*0.15*0.15)</f>
        <v>3.375E-3</v>
      </c>
      <c r="C3" s="22" t="s">
        <v>128</v>
      </c>
      <c r="E3" s="117" t="s">
        <v>195</v>
      </c>
      <c r="F3" s="119">
        <f>((1/3)*(3.14*0.15*0.15*0.3))</f>
        <v>7.0649999999999984E-3</v>
      </c>
      <c r="G3" s="22" t="s">
        <v>128</v>
      </c>
    </row>
    <row r="4" spans="1:7" x14ac:dyDescent="0.3">
      <c r="A4" s="116" t="s">
        <v>165</v>
      </c>
      <c r="B4" s="204">
        <v>9</v>
      </c>
      <c r="C4" s="205"/>
      <c r="E4" s="116" t="s">
        <v>199</v>
      </c>
      <c r="F4" s="204">
        <v>3</v>
      </c>
      <c r="G4" s="205"/>
    </row>
    <row r="5" spans="1:7" x14ac:dyDescent="0.3">
      <c r="A5" s="117" t="s">
        <v>167</v>
      </c>
      <c r="B5" s="119">
        <v>20</v>
      </c>
      <c r="C5" s="22" t="s">
        <v>64</v>
      </c>
      <c r="E5" s="117" t="s">
        <v>167</v>
      </c>
      <c r="F5" s="119">
        <v>20</v>
      </c>
      <c r="G5" s="22" t="s">
        <v>64</v>
      </c>
    </row>
    <row r="6" spans="1:7" x14ac:dyDescent="0.3">
      <c r="A6" s="117" t="s">
        <v>161</v>
      </c>
      <c r="B6" s="126">
        <f>((B3*'MIX DESIGN '!M13)*(B5/100)+(B3*'MIX DESIGN '!M13))*B4</f>
        <v>16.4025</v>
      </c>
      <c r="C6" s="118" t="s">
        <v>160</v>
      </c>
      <c r="E6" s="117" t="s">
        <v>161</v>
      </c>
      <c r="F6" s="126">
        <f>((F3*'MIX DESIGN '!M13)*(F5/100)+(F3*'MIX DESIGN '!M13))*F4</f>
        <v>11.445299999999998</v>
      </c>
      <c r="G6" s="118" t="s">
        <v>160</v>
      </c>
    </row>
    <row r="7" spans="1:7" x14ac:dyDescent="0.3">
      <c r="A7" s="117" t="s">
        <v>192</v>
      </c>
      <c r="B7" s="127">
        <f>((B3*'MIX DESIGN '!M14)*(B5/100)+(B3*'MIX DESIGN '!M14))*B4</f>
        <v>7.8090479999999998</v>
      </c>
      <c r="C7" s="22" t="s">
        <v>160</v>
      </c>
      <c r="E7" s="117" t="s">
        <v>192</v>
      </c>
      <c r="F7" s="128">
        <f>((F3*'MIX DESIGN '!M14)*(F5/100)+(F3*'MIX DESIGN '!M14))*F4</f>
        <v>5.4489801599999996</v>
      </c>
      <c r="G7" s="22" t="s">
        <v>160</v>
      </c>
    </row>
    <row r="8" spans="1:7" x14ac:dyDescent="0.3">
      <c r="A8" s="117" t="s">
        <v>187</v>
      </c>
      <c r="B8" s="127">
        <f>(('MIX DESIGN '!M15*'MOULD CALCULATION'!B3)*('MOULD CALCULATION'!B5/100)+('MIX DESIGN '!M15*'MOULD CALCULATION'!B3))*B4</f>
        <v>9.6238287163583038</v>
      </c>
      <c r="C8" s="22" t="s">
        <v>160</v>
      </c>
      <c r="E8" s="117" t="s">
        <v>187</v>
      </c>
      <c r="F8" s="128">
        <f>((F3*'MIX DESIGN '!M15)*(F5/100)+(F3*'MIX DESIGN '!M15))*F4</f>
        <v>6.7152938154144595</v>
      </c>
      <c r="G8" s="22" t="s">
        <v>160</v>
      </c>
    </row>
    <row r="9" spans="1:7" x14ac:dyDescent="0.3">
      <c r="A9" s="117" t="s">
        <v>188</v>
      </c>
      <c r="B9" s="127">
        <f>((B3*'MIX DESIGN '!M16)*(B5/100)+(B3*'MIX DESIGN '!M16))*B4</f>
        <v>10.852402595042346</v>
      </c>
      <c r="C9" s="22" t="s">
        <v>160</v>
      </c>
      <c r="E9" s="117" t="s">
        <v>188</v>
      </c>
      <c r="F9" s="128">
        <f>((F3*'MIX DESIGN '!M16)*(F5/100)+F3*'MIX DESIGN '!M16)*F4</f>
        <v>7.572565366318436</v>
      </c>
      <c r="G9" s="22" t="s">
        <v>160</v>
      </c>
    </row>
    <row r="12" spans="1:7" x14ac:dyDescent="0.3">
      <c r="A12" s="156" t="s">
        <v>198</v>
      </c>
      <c r="B12" s="206"/>
      <c r="C12" s="206"/>
      <c r="E12" s="156"/>
      <c r="F12" s="206"/>
      <c r="G12" s="206"/>
    </row>
    <row r="13" spans="1:7" ht="18.600000000000001" x14ac:dyDescent="0.3">
      <c r="A13" s="117" t="s">
        <v>195</v>
      </c>
      <c r="B13" s="119">
        <f>0.7*0.15*0.15</f>
        <v>1.575E-2</v>
      </c>
      <c r="C13" s="22" t="s">
        <v>128</v>
      </c>
      <c r="E13" s="117" t="s">
        <v>195</v>
      </c>
      <c r="F13" s="119">
        <f>(0.1*0.1*0.1)</f>
        <v>1.0000000000000002E-3</v>
      </c>
      <c r="G13" s="22" t="s">
        <v>128</v>
      </c>
    </row>
    <row r="14" spans="1:7" x14ac:dyDescent="0.3">
      <c r="A14" s="116" t="s">
        <v>200</v>
      </c>
      <c r="B14" s="204">
        <v>2</v>
      </c>
      <c r="C14" s="205"/>
      <c r="E14" s="116" t="s">
        <v>201</v>
      </c>
      <c r="F14" s="204">
        <v>6</v>
      </c>
      <c r="G14" s="205"/>
    </row>
    <row r="15" spans="1:7" x14ac:dyDescent="0.3">
      <c r="A15" s="117" t="s">
        <v>167</v>
      </c>
      <c r="B15" s="119">
        <v>20</v>
      </c>
      <c r="C15" s="22" t="s">
        <v>64</v>
      </c>
      <c r="E15" s="117" t="s">
        <v>167</v>
      </c>
      <c r="F15" s="119">
        <v>20</v>
      </c>
      <c r="G15" s="22" t="s">
        <v>64</v>
      </c>
    </row>
    <row r="16" spans="1:7" x14ac:dyDescent="0.3">
      <c r="A16" s="117" t="s">
        <v>161</v>
      </c>
      <c r="B16" s="126">
        <f>((B13*'MIX DESIGN '!M13)*(B15/100)+(B13*'MIX DESIGN '!M13))*B14</f>
        <v>17.010000000000002</v>
      </c>
      <c r="C16" s="118" t="s">
        <v>160</v>
      </c>
      <c r="E16" s="117" t="s">
        <v>161</v>
      </c>
      <c r="F16" s="126">
        <f>((F13*'MIX DESIGN '!M13)*(F15/100)+(F13*'MIX DESIGN '!M13))*F14</f>
        <v>3.2400000000000011</v>
      </c>
      <c r="G16" s="118" t="s">
        <v>160</v>
      </c>
    </row>
    <row r="17" spans="1:7" x14ac:dyDescent="0.3">
      <c r="A17" s="117" t="s">
        <v>192</v>
      </c>
      <c r="B17" s="127">
        <f>((B13*'MIX DESIGN '!M14)*(B15/100)+(B13*'MIX DESIGN '!M14))*B14</f>
        <v>8.0982720000000015</v>
      </c>
      <c r="C17" s="22" t="s">
        <v>160</v>
      </c>
      <c r="E17" s="117" t="s">
        <v>192</v>
      </c>
      <c r="F17" s="128">
        <f>((F13*'MIX DESIGN '!M14)*(F15/100)+(F13*'MIX DESIGN '!M14))*F14</f>
        <v>1.5425280000000006</v>
      </c>
      <c r="G17" s="22" t="s">
        <v>160</v>
      </c>
    </row>
    <row r="18" spans="1:7" x14ac:dyDescent="0.3">
      <c r="A18" s="117" t="s">
        <v>187</v>
      </c>
      <c r="B18" s="127">
        <f>(('MIX DESIGN '!M15*'MOULD CALCULATION'!B13)*('MOULD CALCULATION'!B15/100)+('MIX DESIGN '!M15*'MOULD CALCULATION'!B13))*B14</f>
        <v>9.980266816964166</v>
      </c>
      <c r="C18" s="22" t="s">
        <v>160</v>
      </c>
      <c r="E18" s="117" t="s">
        <v>187</v>
      </c>
      <c r="F18" s="128">
        <f>((F13*'MIX DESIGN '!M15)*(F15/100)+(F13*'MIX DESIGN '!M15))*F14</f>
        <v>1.9010032032312703</v>
      </c>
      <c r="G18" s="22" t="s">
        <v>160</v>
      </c>
    </row>
    <row r="19" spans="1:7" x14ac:dyDescent="0.3">
      <c r="A19" s="117" t="s">
        <v>188</v>
      </c>
      <c r="B19" s="127">
        <f>((B13*'MIX DESIGN '!M16)*(B15/100)+(B13*'MIX DESIGN '!M16))*B14</f>
        <v>11.254343431895768</v>
      </c>
      <c r="C19" s="22" t="s">
        <v>160</v>
      </c>
      <c r="E19" s="117" t="s">
        <v>188</v>
      </c>
      <c r="F19" s="128">
        <f>((F13*'MIX DESIGN '!M16)*(F15/100)+F13*'MIX DESIGN '!M16)*F14</f>
        <v>2.1436844632182419</v>
      </c>
      <c r="G19" s="22" t="s">
        <v>160</v>
      </c>
    </row>
  </sheetData>
  <sheetProtection algorithmName="SHA-512" hashValue="Ezd3cAMy/2sdEBgklwdh2g6VgdNMBgD9r5cUIyxF+vs9PnxJoR3KFSp5Q2WQsk9CpR4WGi9jMegTy+peYZL2aQ==" saltValue="QQOCrcR2RqGiyywkFStPnw==" spinCount="100000" sheet="1" objects="1" scenarios="1"/>
  <mergeCells count="8">
    <mergeCell ref="B14:C14"/>
    <mergeCell ref="F14:G14"/>
    <mergeCell ref="A2:C2"/>
    <mergeCell ref="B4:C4"/>
    <mergeCell ref="E2:G2"/>
    <mergeCell ref="F4:G4"/>
    <mergeCell ref="A12:C12"/>
    <mergeCell ref="E12:G1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7712-5AE0-4421-B9B5-583F2BDDADD0}">
  <sheetPr codeName="Sheet4"/>
  <dimension ref="A1:AE36"/>
  <sheetViews>
    <sheetView showGridLines="0" zoomScale="81" zoomScaleNormal="81" workbookViewId="0">
      <selection activeCell="M7" sqref="M7:N7"/>
    </sheetView>
  </sheetViews>
  <sheetFormatPr defaultRowHeight="14.4" x14ac:dyDescent="0.3"/>
  <cols>
    <col min="1" max="3" width="11.33203125" customWidth="1"/>
    <col min="4" max="4" width="9" customWidth="1"/>
    <col min="5" max="5" width="10" style="46" customWidth="1"/>
    <col min="6" max="6" width="10.77734375" style="47" customWidth="1"/>
    <col min="7" max="7" width="2.21875" customWidth="1"/>
    <col min="8" max="8" width="9.109375" customWidth="1"/>
    <col min="9" max="9" width="2.21875" customWidth="1"/>
    <col min="12" max="12" width="14" customWidth="1"/>
    <col min="13" max="13" width="11.44140625" bestFit="1" customWidth="1"/>
    <col min="27" max="32" width="8.88671875" customWidth="1"/>
  </cols>
  <sheetData>
    <row r="1" spans="1:31" ht="22.8" customHeight="1" x14ac:dyDescent="0.3">
      <c r="A1" s="235" t="s">
        <v>146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7"/>
      <c r="V1" s="61"/>
      <c r="W1" s="61"/>
      <c r="X1" s="61"/>
      <c r="Y1" s="61"/>
      <c r="Z1" s="61"/>
      <c r="AA1" s="1"/>
      <c r="AB1" s="1"/>
      <c r="AC1" s="52"/>
      <c r="AD1" s="1"/>
      <c r="AE1" s="1"/>
    </row>
    <row r="2" spans="1:31" ht="15.6" x14ac:dyDescent="0.3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V2" s="62"/>
      <c r="W2" s="62"/>
      <c r="X2" s="62"/>
      <c r="Y2" s="62"/>
      <c r="Z2" s="62"/>
      <c r="AA2" s="1"/>
      <c r="AB2" s="1"/>
      <c r="AC2" s="52"/>
      <c r="AD2" s="1"/>
      <c r="AE2" s="1"/>
    </row>
    <row r="3" spans="1:31" ht="18.600000000000001" x14ac:dyDescent="0.3">
      <c r="A3" s="221" t="s">
        <v>4</v>
      </c>
      <c r="B3" s="221"/>
      <c r="C3" s="221"/>
      <c r="D3" s="221"/>
      <c r="E3" s="221"/>
      <c r="F3" s="221"/>
      <c r="G3" s="74"/>
      <c r="H3" s="59"/>
      <c r="I3" s="59"/>
      <c r="J3" s="222" t="s">
        <v>184</v>
      </c>
      <c r="K3" s="222"/>
      <c r="L3" s="222"/>
      <c r="M3" s="223"/>
      <c r="N3" s="223"/>
      <c r="V3" s="63"/>
      <c r="W3" s="64"/>
      <c r="X3" s="63"/>
      <c r="Y3" s="63"/>
      <c r="Z3" s="64"/>
      <c r="AA3" s="1"/>
      <c r="AB3" s="1"/>
      <c r="AC3" s="52"/>
      <c r="AD3" s="1"/>
      <c r="AE3" s="1"/>
    </row>
    <row r="4" spans="1:31" ht="22.8" x14ac:dyDescent="0.3">
      <c r="A4" s="230" t="s">
        <v>17</v>
      </c>
      <c r="B4" s="231"/>
      <c r="C4" s="231"/>
      <c r="D4" s="231"/>
      <c r="E4" s="80" t="s">
        <v>19</v>
      </c>
      <c r="F4" s="129">
        <f>'MIX DESIGN '!F4</f>
        <v>20</v>
      </c>
      <c r="G4" s="77"/>
      <c r="H4" s="59"/>
      <c r="I4" s="59"/>
      <c r="J4" s="225" t="s">
        <v>183</v>
      </c>
      <c r="K4" s="225"/>
      <c r="L4" s="226"/>
      <c r="M4" s="131">
        <f>'MIX DESIGN '!M4</f>
        <v>26.6</v>
      </c>
      <c r="N4" s="86" t="s">
        <v>177</v>
      </c>
      <c r="V4" s="63"/>
      <c r="W4" s="64"/>
      <c r="X4" s="63"/>
      <c r="Y4" s="63"/>
      <c r="Z4" s="64"/>
      <c r="AA4" s="63"/>
      <c r="AB4" s="1"/>
      <c r="AC4" s="52"/>
      <c r="AD4" s="1"/>
      <c r="AE4" s="1"/>
    </row>
    <row r="5" spans="1:31" ht="21.6" x14ac:dyDescent="0.3">
      <c r="A5" s="78" t="s">
        <v>203</v>
      </c>
      <c r="B5" s="78"/>
      <c r="C5" s="78"/>
      <c r="D5" s="79"/>
      <c r="E5" s="130">
        <f>'MIX DESIGN '!E5</f>
        <v>10</v>
      </c>
      <c r="F5" s="81" t="s">
        <v>29</v>
      </c>
      <c r="G5" s="77"/>
      <c r="H5" s="59"/>
      <c r="I5" s="59"/>
      <c r="J5" s="225" t="s">
        <v>175</v>
      </c>
      <c r="K5" s="225"/>
      <c r="L5" s="226"/>
      <c r="M5" s="132">
        <f>'MIX DESIGN '!M5</f>
        <v>1.4999999999999999E-2</v>
      </c>
      <c r="N5" s="87" t="s">
        <v>182</v>
      </c>
      <c r="V5" s="63"/>
      <c r="W5" s="64"/>
      <c r="X5" s="63"/>
      <c r="Y5" s="63"/>
      <c r="Z5" s="64"/>
      <c r="AA5" s="63"/>
      <c r="AB5" s="1"/>
      <c r="AC5" s="52"/>
      <c r="AD5" s="51"/>
      <c r="AE5" s="1"/>
    </row>
    <row r="6" spans="1:31" ht="19.2" x14ac:dyDescent="0.3">
      <c r="A6" s="230" t="s">
        <v>33</v>
      </c>
      <c r="B6" s="231"/>
      <c r="C6" s="231"/>
      <c r="D6" s="231"/>
      <c r="E6" s="238" t="str">
        <f>'MIX DESIGN '!E6:F6</f>
        <v>Severe</v>
      </c>
      <c r="F6" s="239"/>
      <c r="G6" s="77"/>
      <c r="H6" s="59"/>
      <c r="I6" s="59"/>
      <c r="J6" s="240" t="s">
        <v>176</v>
      </c>
      <c r="K6" s="240"/>
      <c r="L6" s="241"/>
      <c r="M6" s="131">
        <f>'MIX DESIGN '!M6</f>
        <v>214.24</v>
      </c>
      <c r="N6" s="88" t="s">
        <v>103</v>
      </c>
      <c r="V6" s="63"/>
      <c r="W6" s="64"/>
      <c r="X6" s="63"/>
      <c r="Y6" s="63"/>
      <c r="Z6" s="64"/>
      <c r="AA6" s="63"/>
      <c r="AB6" s="1"/>
      <c r="AC6" s="52"/>
      <c r="AD6" s="51"/>
      <c r="AE6" s="1"/>
    </row>
    <row r="7" spans="1:31" ht="19.2" x14ac:dyDescent="0.3">
      <c r="A7" s="230" t="s">
        <v>37</v>
      </c>
      <c r="B7" s="231"/>
      <c r="C7" s="231"/>
      <c r="D7" s="231"/>
      <c r="E7" s="130">
        <f>'MIX DESIGN '!E7</f>
        <v>75</v>
      </c>
      <c r="F7" s="81" t="s">
        <v>29</v>
      </c>
      <c r="G7" s="77"/>
      <c r="H7" s="59"/>
      <c r="I7" s="59"/>
      <c r="J7" s="225" t="s">
        <v>179</v>
      </c>
      <c r="K7" s="225"/>
      <c r="L7" s="226"/>
      <c r="M7" s="228">
        <f>'MIX DESIGN '!M7:N7</f>
        <v>0.4</v>
      </c>
      <c r="N7" s="229"/>
      <c r="V7" s="63"/>
      <c r="W7" s="64"/>
      <c r="X7" s="63"/>
      <c r="Y7" s="63"/>
      <c r="Z7" s="64"/>
      <c r="AA7" s="63"/>
      <c r="AB7" s="51"/>
      <c r="AC7" s="52"/>
      <c r="AD7" s="51"/>
      <c r="AE7" s="1"/>
    </row>
    <row r="8" spans="1:31" ht="21.6" x14ac:dyDescent="0.3">
      <c r="A8" s="230" t="s">
        <v>40</v>
      </c>
      <c r="B8" s="231"/>
      <c r="C8" s="231"/>
      <c r="D8" s="231"/>
      <c r="E8" s="80">
        <v>450</v>
      </c>
      <c r="F8" s="81" t="s">
        <v>173</v>
      </c>
      <c r="G8" s="77"/>
      <c r="H8" s="59"/>
      <c r="I8" s="59"/>
      <c r="J8" s="225" t="s">
        <v>178</v>
      </c>
      <c r="K8" s="225"/>
      <c r="L8" s="226"/>
      <c r="M8" s="134">
        <f>'MIX DESIGN '!M8</f>
        <v>450</v>
      </c>
      <c r="N8" s="88" t="s">
        <v>173</v>
      </c>
      <c r="V8" s="63"/>
      <c r="W8" s="64"/>
      <c r="X8" s="63"/>
      <c r="Y8" s="63"/>
      <c r="Z8" s="64"/>
      <c r="AA8" s="63"/>
      <c r="AB8" s="51"/>
      <c r="AC8" s="52"/>
      <c r="AD8" s="51"/>
      <c r="AE8" s="1"/>
    </row>
    <row r="9" spans="1:31" ht="19.2" x14ac:dyDescent="0.3">
      <c r="A9" s="230" t="s">
        <v>45</v>
      </c>
      <c r="B9" s="231"/>
      <c r="C9" s="231"/>
      <c r="D9" s="231"/>
      <c r="E9" s="82" t="s">
        <v>46</v>
      </c>
      <c r="F9" s="83"/>
      <c r="G9" s="77"/>
      <c r="H9" s="59"/>
      <c r="I9" s="59"/>
      <c r="J9" s="225" t="s">
        <v>180</v>
      </c>
      <c r="K9" s="225"/>
      <c r="L9" s="225"/>
      <c r="M9" s="232">
        <f>'MIX DESIGN '!M9:N9</f>
        <v>0.53</v>
      </c>
      <c r="N9" s="232"/>
      <c r="V9" s="63"/>
      <c r="W9" s="64"/>
      <c r="X9" s="63"/>
      <c r="Y9" s="63"/>
      <c r="Z9" s="64"/>
      <c r="AA9" s="63"/>
      <c r="AB9" s="51"/>
      <c r="AC9" s="52"/>
      <c r="AD9" s="51"/>
      <c r="AE9" s="1"/>
    </row>
    <row r="10" spans="1:31" ht="19.2" x14ac:dyDescent="0.3">
      <c r="A10" s="230" t="s">
        <v>50</v>
      </c>
      <c r="B10" s="231"/>
      <c r="C10" s="231"/>
      <c r="D10" s="231"/>
      <c r="E10" s="238" t="str">
        <f>'MIX DESIGN '!E10:F10</f>
        <v>Plain</v>
      </c>
      <c r="F10" s="239"/>
      <c r="G10" s="77"/>
      <c r="H10" s="59"/>
      <c r="I10" s="59"/>
      <c r="J10" s="225" t="s">
        <v>181</v>
      </c>
      <c r="K10" s="225"/>
      <c r="L10" s="225"/>
      <c r="M10" s="232">
        <f>'MIX DESIGN '!M10:N10</f>
        <v>0.47</v>
      </c>
      <c r="N10" s="232"/>
      <c r="V10" s="63"/>
      <c r="W10" s="64"/>
      <c r="X10" s="63"/>
      <c r="Y10" s="63"/>
      <c r="Z10" s="64"/>
      <c r="AA10" s="63"/>
      <c r="AB10" s="51"/>
      <c r="AC10" s="52"/>
      <c r="AD10" s="51"/>
    </row>
    <row r="11" spans="1:31" ht="18.600000000000001" x14ac:dyDescent="0.3">
      <c r="A11" s="74"/>
      <c r="B11" s="74"/>
      <c r="C11" s="74"/>
      <c r="D11" s="74"/>
      <c r="E11" s="75"/>
      <c r="F11" s="76"/>
      <c r="G11" s="74"/>
      <c r="H11" s="59"/>
      <c r="I11" s="59"/>
      <c r="J11" s="63"/>
      <c r="K11" s="63"/>
      <c r="L11" s="63"/>
      <c r="M11" s="63"/>
      <c r="N11" s="91"/>
      <c r="V11" s="63"/>
      <c r="W11" s="64"/>
      <c r="X11" s="63"/>
      <c r="Y11" s="63"/>
      <c r="Z11" s="64"/>
      <c r="AA11" s="63"/>
      <c r="AB11" s="51"/>
      <c r="AC11" s="52"/>
      <c r="AD11" s="51"/>
    </row>
    <row r="12" spans="1:31" ht="18.600000000000001" x14ac:dyDescent="0.3">
      <c r="A12" s="221" t="s">
        <v>54</v>
      </c>
      <c r="B12" s="221"/>
      <c r="C12" s="221"/>
      <c r="D12" s="221"/>
      <c r="E12" s="221"/>
      <c r="F12" s="221"/>
      <c r="G12" s="74"/>
      <c r="H12" s="59"/>
      <c r="I12" s="59"/>
      <c r="J12" s="222" t="s">
        <v>185</v>
      </c>
      <c r="K12" s="222"/>
      <c r="L12" s="222"/>
      <c r="M12" s="223"/>
      <c r="N12" s="223"/>
      <c r="V12" s="63"/>
      <c r="W12" s="64"/>
      <c r="X12" s="63"/>
      <c r="Y12" s="63"/>
      <c r="Z12" s="64"/>
      <c r="AA12" s="63"/>
      <c r="AB12" s="51"/>
      <c r="AC12" s="52"/>
      <c r="AD12" s="51"/>
    </row>
    <row r="13" spans="1:31" ht="21.6" x14ac:dyDescent="0.3">
      <c r="A13" s="219" t="s">
        <v>57</v>
      </c>
      <c r="B13" s="219"/>
      <c r="C13" s="219"/>
      <c r="D13" s="219"/>
      <c r="E13" s="224">
        <f>'MIX DESIGN '!E13:F13</f>
        <v>3.07</v>
      </c>
      <c r="F13" s="224"/>
      <c r="G13" s="77"/>
      <c r="H13" s="59"/>
      <c r="I13" s="59"/>
      <c r="J13" s="225" t="s">
        <v>161</v>
      </c>
      <c r="K13" s="225"/>
      <c r="L13" s="226"/>
      <c r="M13" s="134">
        <f>'MIX DESIGN '!M13</f>
        <v>450</v>
      </c>
      <c r="N13" s="88" t="s">
        <v>173</v>
      </c>
      <c r="V13" s="64"/>
      <c r="W13" s="64"/>
      <c r="X13" s="64"/>
      <c r="Y13" s="63"/>
      <c r="Z13" s="64"/>
      <c r="AA13" s="63"/>
      <c r="AB13" s="51"/>
      <c r="AC13" s="52"/>
      <c r="AD13" s="51"/>
    </row>
    <row r="14" spans="1:31" ht="21.6" x14ac:dyDescent="0.35">
      <c r="A14" s="78" t="s">
        <v>59</v>
      </c>
      <c r="B14" s="78"/>
      <c r="C14" s="78"/>
      <c r="D14" s="78"/>
      <c r="E14" s="224">
        <f>'MIX DESIGN '!E14:F14</f>
        <v>0.9</v>
      </c>
      <c r="F14" s="224"/>
      <c r="G14" s="77"/>
      <c r="H14" s="59"/>
      <c r="I14" s="59"/>
      <c r="J14" s="225" t="s">
        <v>186</v>
      </c>
      <c r="K14" s="225"/>
      <c r="L14" s="226"/>
      <c r="M14" s="133">
        <f>'MIX DESIGN '!M14</f>
        <v>214.24</v>
      </c>
      <c r="N14" s="88" t="s">
        <v>173</v>
      </c>
      <c r="V14" s="65"/>
      <c r="W14" s="65"/>
      <c r="X14" s="65"/>
      <c r="Y14" s="63"/>
      <c r="Z14" s="64"/>
      <c r="AA14" s="63"/>
      <c r="AB14" s="51"/>
      <c r="AC14" s="52"/>
      <c r="AD14" s="51"/>
    </row>
    <row r="15" spans="1:31" ht="21.6" x14ac:dyDescent="0.3">
      <c r="A15" s="78" t="s">
        <v>60</v>
      </c>
      <c r="B15" s="78"/>
      <c r="C15" s="78"/>
      <c r="D15" s="78"/>
      <c r="E15" s="224">
        <f>'MIX DESIGN '!E15:F15</f>
        <v>0.9</v>
      </c>
      <c r="F15" s="224"/>
      <c r="G15" s="77"/>
      <c r="H15" s="59"/>
      <c r="I15" s="59"/>
      <c r="J15" s="225" t="s">
        <v>187</v>
      </c>
      <c r="K15" s="225"/>
      <c r="L15" s="226"/>
      <c r="M15" s="134">
        <f>'MIX DESIGN '!M15</f>
        <v>264.0282226710097</v>
      </c>
      <c r="N15" s="88" t="s">
        <v>173</v>
      </c>
      <c r="V15" s="65"/>
      <c r="W15" s="65"/>
      <c r="X15" s="65"/>
      <c r="Y15" s="63"/>
      <c r="Z15" s="64"/>
      <c r="AA15" s="63"/>
      <c r="AB15" s="51"/>
      <c r="AC15" s="52"/>
      <c r="AD15" s="51"/>
    </row>
    <row r="16" spans="1:31" ht="21.6" x14ac:dyDescent="0.35">
      <c r="A16" s="78" t="s">
        <v>62</v>
      </c>
      <c r="B16" s="78"/>
      <c r="C16" s="78"/>
      <c r="D16" s="79"/>
      <c r="E16" s="130" t="str">
        <f>'MIX DESIGN '!E16</f>
        <v>-</v>
      </c>
      <c r="F16" s="81"/>
      <c r="G16" s="77"/>
      <c r="H16" s="59"/>
      <c r="I16" s="59"/>
      <c r="J16" s="225" t="s">
        <v>188</v>
      </c>
      <c r="K16" s="225"/>
      <c r="L16" s="226"/>
      <c r="M16" s="136">
        <f>'MIX DESIGN '!M16</f>
        <v>297.73395322475574</v>
      </c>
      <c r="N16" s="88" t="s">
        <v>173</v>
      </c>
      <c r="V16" s="65"/>
      <c r="W16" s="65"/>
      <c r="X16" s="65"/>
      <c r="Y16" s="63"/>
      <c r="Z16" s="64"/>
      <c r="AA16" s="63"/>
      <c r="AB16" s="51"/>
      <c r="AC16" s="52"/>
      <c r="AD16" s="51"/>
    </row>
    <row r="17" spans="1:27" ht="19.2" x14ac:dyDescent="0.35">
      <c r="A17" s="78" t="s">
        <v>63</v>
      </c>
      <c r="B17" s="78"/>
      <c r="C17" s="78"/>
      <c r="D17" s="79"/>
      <c r="E17" s="130">
        <f>'MIX DESIGN '!E17</f>
        <v>1</v>
      </c>
      <c r="F17" s="81" t="s">
        <v>64</v>
      </c>
      <c r="G17" s="77"/>
      <c r="H17" s="59"/>
      <c r="I17" s="59"/>
      <c r="J17" s="225" t="s">
        <v>189</v>
      </c>
      <c r="K17" s="225"/>
      <c r="L17" s="225"/>
      <c r="M17" s="227">
        <f>'MIX DESIGN '!M17:N17</f>
        <v>0.4</v>
      </c>
      <c r="N17" s="227"/>
      <c r="V17" s="66"/>
      <c r="W17" s="66"/>
      <c r="X17" s="66"/>
      <c r="Y17" s="67"/>
      <c r="Z17" s="67"/>
      <c r="AA17" s="67"/>
    </row>
    <row r="18" spans="1:27" ht="19.2" x14ac:dyDescent="0.35">
      <c r="A18" s="78" t="s">
        <v>66</v>
      </c>
      <c r="B18" s="78"/>
      <c r="C18" s="78"/>
      <c r="D18" s="79"/>
      <c r="E18" s="130">
        <f>'MIX DESIGN '!E18</f>
        <v>0.5</v>
      </c>
      <c r="F18" s="81" t="s">
        <v>64</v>
      </c>
      <c r="G18" s="77"/>
      <c r="H18" s="59"/>
      <c r="I18" s="59"/>
      <c r="J18" s="57"/>
      <c r="K18" s="57"/>
      <c r="L18" s="57"/>
      <c r="M18" s="56"/>
      <c r="N18" s="56"/>
      <c r="V18" s="68"/>
      <c r="W18" s="69"/>
      <c r="X18" s="69"/>
      <c r="Y18" s="69"/>
      <c r="Z18" s="69"/>
      <c r="AA18" s="69"/>
    </row>
    <row r="19" spans="1:27" ht="19.2" x14ac:dyDescent="0.35">
      <c r="A19" s="219" t="s">
        <v>174</v>
      </c>
      <c r="B19" s="219"/>
      <c r="C19" s="219"/>
      <c r="D19" s="219"/>
      <c r="E19" s="220">
        <f>'MIX DESIGN '!E19:F19</f>
        <v>2</v>
      </c>
      <c r="F19" s="220"/>
      <c r="G19" s="77"/>
      <c r="H19" s="59"/>
      <c r="I19" s="59"/>
      <c r="J19" s="57"/>
      <c r="K19" s="57"/>
      <c r="L19" s="57"/>
      <c r="M19" s="56"/>
      <c r="N19" s="56"/>
      <c r="V19" s="68"/>
      <c r="W19" s="69"/>
      <c r="X19" s="69"/>
      <c r="Y19" s="69"/>
      <c r="Z19" s="69"/>
      <c r="AA19" s="69"/>
    </row>
    <row r="20" spans="1:27" ht="19.2" x14ac:dyDescent="0.3">
      <c r="A20" s="57"/>
      <c r="B20" s="57"/>
      <c r="C20" s="57"/>
      <c r="D20" s="57"/>
      <c r="E20" s="60"/>
      <c r="F20" s="58"/>
      <c r="G20" s="59"/>
      <c r="H20" s="59"/>
      <c r="I20" s="59"/>
      <c r="J20" s="52"/>
      <c r="K20" s="52"/>
      <c r="L20" s="52"/>
      <c r="M20" s="52"/>
      <c r="N20" s="52"/>
      <c r="V20" s="70"/>
      <c r="W20" s="71"/>
      <c r="X20" s="71"/>
      <c r="Y20" s="71"/>
      <c r="Z20" s="71"/>
      <c r="AA20" s="71"/>
    </row>
    <row r="21" spans="1:27" ht="19.2" x14ac:dyDescent="0.35">
      <c r="A21" s="56"/>
      <c r="B21" s="92"/>
      <c r="C21" s="207" t="s">
        <v>161</v>
      </c>
      <c r="D21" s="208"/>
      <c r="E21" s="210" t="s">
        <v>187</v>
      </c>
      <c r="F21" s="211"/>
      <c r="G21" s="207" t="s">
        <v>188</v>
      </c>
      <c r="H21" s="209"/>
      <c r="I21" s="209"/>
      <c r="J21" s="208"/>
      <c r="K21" s="210" t="s">
        <v>202</v>
      </c>
      <c r="L21" s="211"/>
      <c r="M21" s="56"/>
      <c r="N21" s="56"/>
      <c r="V21" s="70"/>
      <c r="W21" s="71"/>
      <c r="X21" s="71"/>
      <c r="Y21" s="71"/>
      <c r="Z21" s="71"/>
      <c r="AA21" s="71"/>
    </row>
    <row r="22" spans="1:27" ht="19.2" x14ac:dyDescent="0.35">
      <c r="A22" s="56"/>
      <c r="B22" s="56"/>
      <c r="C22" s="212">
        <f>'MIX DESIGN '!C22:D22</f>
        <v>1</v>
      </c>
      <c r="D22" s="213"/>
      <c r="E22" s="217">
        <f>'MIX DESIGN '!E22:F22</f>
        <v>0.58672938371335492</v>
      </c>
      <c r="F22" s="218"/>
      <c r="G22" s="214">
        <f>'MIX DESIGN '!G22:J22</f>
        <v>0.66163100716612389</v>
      </c>
      <c r="H22" s="215"/>
      <c r="I22" s="215"/>
      <c r="J22" s="216"/>
      <c r="K22" s="233">
        <f>M17</f>
        <v>0.4</v>
      </c>
      <c r="L22" s="234"/>
      <c r="M22" s="56"/>
      <c r="N22" s="56"/>
      <c r="V22" s="70"/>
      <c r="W22" s="71"/>
      <c r="X22" s="71"/>
      <c r="Y22" s="71"/>
      <c r="Z22" s="71"/>
      <c r="AA22" s="71"/>
    </row>
    <row r="23" spans="1:27" ht="19.2" x14ac:dyDescent="0.35">
      <c r="A23" s="56"/>
      <c r="B23" s="56"/>
      <c r="C23" s="56"/>
      <c r="D23" s="56"/>
      <c r="E23" s="89"/>
      <c r="F23" s="58"/>
      <c r="G23" s="57"/>
      <c r="H23" s="57"/>
      <c r="I23" s="57"/>
      <c r="J23" s="56"/>
      <c r="K23" s="56"/>
      <c r="L23" s="56"/>
      <c r="M23" s="56"/>
      <c r="N23" s="56"/>
      <c r="V23" s="67"/>
      <c r="W23" s="67"/>
      <c r="X23" s="67"/>
      <c r="Y23" s="67"/>
      <c r="Z23" s="67"/>
      <c r="AA23" s="67"/>
    </row>
    <row r="24" spans="1:27" ht="19.2" x14ac:dyDescent="0.35">
      <c r="A24" s="56"/>
      <c r="B24" s="56"/>
      <c r="C24" s="56"/>
      <c r="D24" s="56"/>
      <c r="E24" s="89"/>
      <c r="F24" s="58"/>
      <c r="G24" s="57"/>
      <c r="V24" s="66"/>
      <c r="W24" s="66"/>
      <c r="X24" s="66"/>
      <c r="Y24" s="67"/>
      <c r="Z24" s="67"/>
      <c r="AA24" s="67"/>
    </row>
    <row r="25" spans="1:27" ht="14.4" customHeight="1" x14ac:dyDescent="0.35">
      <c r="A25" s="56"/>
      <c r="B25" s="56"/>
      <c r="C25" s="56"/>
      <c r="D25" s="56"/>
      <c r="E25" s="89"/>
      <c r="F25" s="58"/>
      <c r="G25" s="57"/>
      <c r="H25" s="57"/>
      <c r="I25" s="57"/>
      <c r="J25" s="56"/>
      <c r="K25" s="56"/>
      <c r="L25" s="56"/>
      <c r="M25" s="56"/>
      <c r="N25" s="56"/>
      <c r="V25" s="68"/>
      <c r="W25" s="69"/>
      <c r="X25" s="69"/>
      <c r="Y25" s="69"/>
      <c r="Z25" s="69"/>
      <c r="AA25" s="69"/>
    </row>
    <row r="26" spans="1:27" ht="14.4" customHeight="1" x14ac:dyDescent="0.3">
      <c r="F26" s="55"/>
      <c r="G26" s="53"/>
      <c r="H26" s="53"/>
      <c r="I26" s="53"/>
      <c r="V26" s="68"/>
      <c r="W26" s="69"/>
      <c r="X26" s="69"/>
      <c r="Y26" s="69"/>
      <c r="Z26" s="69"/>
      <c r="AA26" s="69"/>
    </row>
    <row r="27" spans="1:27" ht="19.2" x14ac:dyDescent="0.3">
      <c r="F27" s="55"/>
      <c r="G27" s="53"/>
      <c r="H27" s="53"/>
      <c r="I27" s="53"/>
      <c r="U27" s="84"/>
      <c r="V27" s="85"/>
      <c r="W27" s="73"/>
      <c r="X27" s="73"/>
      <c r="Y27" s="73"/>
      <c r="Z27" s="73"/>
      <c r="AA27" s="73"/>
    </row>
    <row r="28" spans="1:27" ht="18.600000000000001" x14ac:dyDescent="0.3">
      <c r="F28" s="55"/>
      <c r="G28" s="53"/>
      <c r="H28" s="53"/>
      <c r="I28" s="53"/>
      <c r="U28" s="74"/>
      <c r="V28" s="74"/>
      <c r="W28" s="73"/>
      <c r="X28" s="73"/>
      <c r="Y28" s="73"/>
      <c r="Z28" s="73"/>
      <c r="AA28" s="73"/>
    </row>
    <row r="29" spans="1:27" ht="15.6" x14ac:dyDescent="0.3">
      <c r="F29" s="55"/>
      <c r="G29" s="53"/>
      <c r="H29" s="53"/>
      <c r="I29" s="53"/>
      <c r="V29" s="72"/>
      <c r="W29" s="73"/>
      <c r="X29" s="73"/>
      <c r="Y29" s="73"/>
      <c r="Z29" s="73"/>
      <c r="AA29" s="73"/>
    </row>
    <row r="30" spans="1:27" x14ac:dyDescent="0.3">
      <c r="F30" s="55"/>
      <c r="G30" s="53"/>
      <c r="H30" s="53"/>
      <c r="I30" s="53"/>
    </row>
    <row r="31" spans="1:27" x14ac:dyDescent="0.3">
      <c r="F31" s="55"/>
      <c r="G31" s="53"/>
      <c r="H31" s="53"/>
      <c r="I31" s="53"/>
    </row>
    <row r="32" spans="1:27" x14ac:dyDescent="0.3">
      <c r="F32" s="55"/>
      <c r="G32" s="53"/>
      <c r="H32" s="53"/>
      <c r="I32" s="53"/>
    </row>
    <row r="33" spans="1:9" x14ac:dyDescent="0.3">
      <c r="F33" s="55"/>
      <c r="G33" s="53"/>
      <c r="H33" s="53"/>
      <c r="I33" s="53"/>
    </row>
    <row r="34" spans="1:9" x14ac:dyDescent="0.3">
      <c r="A34" s="53"/>
      <c r="B34" s="53"/>
      <c r="C34" s="53"/>
      <c r="D34" s="53"/>
      <c r="E34" s="54"/>
      <c r="F34" s="55"/>
      <c r="G34" s="53"/>
      <c r="H34" s="53"/>
      <c r="I34" s="53"/>
    </row>
    <row r="35" spans="1:9" x14ac:dyDescent="0.3">
      <c r="A35" s="53"/>
      <c r="B35" s="53"/>
      <c r="C35" s="53"/>
      <c r="D35" s="53"/>
      <c r="E35" s="54"/>
      <c r="F35" s="55"/>
      <c r="G35" s="53"/>
      <c r="H35" s="53"/>
      <c r="I35" s="53"/>
    </row>
    <row r="36" spans="1:9" x14ac:dyDescent="0.3">
      <c r="A36" s="53"/>
      <c r="B36" s="53"/>
      <c r="C36" s="53"/>
      <c r="D36" s="53"/>
      <c r="E36" s="54"/>
      <c r="F36" s="55"/>
      <c r="G36" s="53"/>
      <c r="H36" s="53"/>
      <c r="I36" s="53"/>
    </row>
  </sheetData>
  <sheetProtection algorithmName="SHA-512" hashValue="L+BTB34pmti5Xb+6kdTbHZ9HVzeyJvV7jhn/2ylmcjs+RxxxMwGHrPM6lTTt+BdUMOabwRqQUPMQqRuigyEbHQ==" saltValue="H2Lk9X1idf/NYL2hs68dMw==" spinCount="100000" sheet="1" objects="1" scenarios="1"/>
  <mergeCells count="43">
    <mergeCell ref="K21:L21"/>
    <mergeCell ref="K22:L22"/>
    <mergeCell ref="J5:L5"/>
    <mergeCell ref="A1:N1"/>
    <mergeCell ref="A3:F3"/>
    <mergeCell ref="J3:N3"/>
    <mergeCell ref="A4:D4"/>
    <mergeCell ref="J4:L4"/>
    <mergeCell ref="A10:D10"/>
    <mergeCell ref="E10:F10"/>
    <mergeCell ref="J10:L10"/>
    <mergeCell ref="M10:N10"/>
    <mergeCell ref="A6:D6"/>
    <mergeCell ref="E6:F6"/>
    <mergeCell ref="J6:L6"/>
    <mergeCell ref="A7:D7"/>
    <mergeCell ref="J7:L7"/>
    <mergeCell ref="M7:N7"/>
    <mergeCell ref="A8:D8"/>
    <mergeCell ref="J8:L8"/>
    <mergeCell ref="A9:D9"/>
    <mergeCell ref="J9:L9"/>
    <mergeCell ref="M9:N9"/>
    <mergeCell ref="A19:D19"/>
    <mergeCell ref="E19:F19"/>
    <mergeCell ref="A12:F12"/>
    <mergeCell ref="J12:N12"/>
    <mergeCell ref="A13:D13"/>
    <mergeCell ref="E13:F13"/>
    <mergeCell ref="J13:L13"/>
    <mergeCell ref="E14:F14"/>
    <mergeCell ref="J14:L14"/>
    <mergeCell ref="E15:F15"/>
    <mergeCell ref="J15:L15"/>
    <mergeCell ref="J16:L16"/>
    <mergeCell ref="J17:L17"/>
    <mergeCell ref="M17:N17"/>
    <mergeCell ref="C21:D21"/>
    <mergeCell ref="G21:J21"/>
    <mergeCell ref="E21:F21"/>
    <mergeCell ref="C22:D22"/>
    <mergeCell ref="G22:J22"/>
    <mergeCell ref="E22:F22"/>
  </mergeCells>
  <pageMargins left="0.70866141732283472" right="0.70866141732283472" top="0.74803149606299213" bottom="0.74803149606299213" header="0.31496062992125984" footer="0.31496062992125984"/>
  <pageSetup paperSize="9" orientation="landscape" cellComments="atEnd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99ED-3108-4989-A9E9-8BAC6E0E9E5E}">
  <sheetPr codeName="Sheet5"/>
  <dimension ref="A1:K33"/>
  <sheetViews>
    <sheetView zoomScale="87" zoomScaleNormal="100" workbookViewId="0">
      <selection activeCell="M12" sqref="M12"/>
    </sheetView>
  </sheetViews>
  <sheetFormatPr defaultRowHeight="15.6" x14ac:dyDescent="0.3"/>
  <cols>
    <col min="1" max="1" width="2.77734375" style="18" bestFit="1" customWidth="1"/>
    <col min="2" max="2" width="12.21875" style="18" customWidth="1"/>
    <col min="3" max="3" width="12.88671875" style="18" customWidth="1"/>
    <col min="4" max="4" width="1.6640625" style="18" bestFit="1" customWidth="1"/>
    <col min="5" max="5" width="9.33203125" style="15" customWidth="1"/>
    <col min="6" max="6" width="9.33203125" style="16" customWidth="1"/>
    <col min="7" max="7" width="8.88671875" style="18"/>
    <col min="8" max="8" width="12.77734375" style="18" customWidth="1"/>
    <col min="9" max="9" width="12" style="18" customWidth="1"/>
    <col min="10" max="10" width="7.88671875" style="18" customWidth="1"/>
    <col min="11" max="16384" width="8.88671875" style="18"/>
  </cols>
  <sheetData>
    <row r="1" spans="1:11" x14ac:dyDescent="0.3">
      <c r="A1" s="242" t="s">
        <v>146</v>
      </c>
      <c r="B1" s="242"/>
      <c r="C1" s="242"/>
      <c r="D1" s="242"/>
      <c r="E1" s="242"/>
      <c r="F1" s="242"/>
      <c r="G1" s="242"/>
      <c r="H1" s="242"/>
      <c r="I1" s="242"/>
      <c r="J1" s="242"/>
    </row>
    <row r="3" spans="1:11" ht="20.399999999999999" customHeight="1" x14ac:dyDescent="0.3">
      <c r="A3" s="243" t="s">
        <v>144</v>
      </c>
      <c r="B3" s="243"/>
      <c r="C3" s="243"/>
      <c r="D3" s="243"/>
      <c r="E3" s="243"/>
    </row>
    <row r="4" spans="1:11" ht="20.399999999999999" customHeight="1" x14ac:dyDescent="0.3">
      <c r="A4" s="18" t="s">
        <v>16</v>
      </c>
      <c r="B4" s="155" t="s">
        <v>147</v>
      </c>
      <c r="C4" s="155"/>
      <c r="D4" s="16" t="s">
        <v>18</v>
      </c>
      <c r="E4" s="15">
        <f>CALCULATIONS!I5</f>
        <v>30</v>
      </c>
      <c r="F4" s="16" t="s">
        <v>145</v>
      </c>
      <c r="G4" s="13" t="s">
        <v>161</v>
      </c>
      <c r="H4" s="32" t="s">
        <v>162</v>
      </c>
      <c r="I4" s="32" t="s">
        <v>163</v>
      </c>
      <c r="J4" s="14" t="s">
        <v>143</v>
      </c>
    </row>
    <row r="5" spans="1:11" ht="20.399999999999999" customHeight="1" x14ac:dyDescent="0.3">
      <c r="A5" s="18" t="s">
        <v>22</v>
      </c>
      <c r="B5" s="155" t="s">
        <v>148</v>
      </c>
      <c r="C5" s="155"/>
      <c r="D5" s="16" t="s">
        <v>18</v>
      </c>
      <c r="E5" s="149" t="str">
        <f>CALCULATIONS!H6</f>
        <v>OPC 53 Grade</v>
      </c>
      <c r="F5" s="149"/>
      <c r="G5" s="30">
        <f>C22/C22</f>
        <v>1</v>
      </c>
      <c r="H5" s="31">
        <f>C24/C22</f>
        <v>1.2745946444444443</v>
      </c>
      <c r="I5" s="31">
        <f>C25/C22</f>
        <v>2.5675796666666666</v>
      </c>
      <c r="J5" s="45">
        <f>C23/C22</f>
        <v>0.43813333333333332</v>
      </c>
    </row>
    <row r="6" spans="1:11" ht="20.399999999999999" customHeight="1" x14ac:dyDescent="0.3">
      <c r="A6" s="18" t="s">
        <v>27</v>
      </c>
      <c r="B6" s="155" t="s">
        <v>149</v>
      </c>
      <c r="C6" s="155"/>
      <c r="D6" s="16" t="s">
        <v>18</v>
      </c>
      <c r="E6" s="149">
        <f>CALCULATIONS!H16</f>
        <v>2.88</v>
      </c>
      <c r="F6" s="149"/>
    </row>
    <row r="7" spans="1:11" ht="20.399999999999999" customHeight="1" x14ac:dyDescent="0.3">
      <c r="A7" s="18" t="s">
        <v>32</v>
      </c>
      <c r="B7" s="155" t="s">
        <v>150</v>
      </c>
      <c r="C7" s="155"/>
      <c r="D7" s="16" t="s">
        <v>18</v>
      </c>
      <c r="E7" s="149" t="str">
        <f>CALCULATIONS!H12</f>
        <v>Plain</v>
      </c>
      <c r="F7" s="149"/>
      <c r="G7" s="248" t="s">
        <v>168</v>
      </c>
      <c r="H7" s="249"/>
      <c r="I7" s="248" t="s">
        <v>169</v>
      </c>
      <c r="J7" s="249"/>
      <c r="K7" s="33">
        <v>1</v>
      </c>
    </row>
    <row r="8" spans="1:11" ht="20.399999999999999" customHeight="1" x14ac:dyDescent="0.3">
      <c r="G8" s="245" t="s">
        <v>167</v>
      </c>
      <c r="H8" s="252"/>
      <c r="I8" s="35">
        <v>20</v>
      </c>
      <c r="J8" s="253" t="s">
        <v>64</v>
      </c>
      <c r="K8" s="254"/>
    </row>
    <row r="9" spans="1:11" ht="20.399999999999999" customHeight="1" x14ac:dyDescent="0.3">
      <c r="A9" s="243" t="s">
        <v>151</v>
      </c>
      <c r="B9" s="243"/>
      <c r="C9" s="243"/>
      <c r="D9" s="243"/>
      <c r="E9" s="243"/>
      <c r="G9" s="146" t="s">
        <v>170</v>
      </c>
      <c r="H9" s="147"/>
      <c r="I9" s="28">
        <v>5.3014376029328E-3</v>
      </c>
      <c r="J9" s="250" t="s">
        <v>128</v>
      </c>
      <c r="K9" s="251"/>
    </row>
    <row r="10" spans="1:11" ht="20.399999999999999" customHeight="1" x14ac:dyDescent="0.3">
      <c r="A10" s="18" t="s">
        <v>16</v>
      </c>
      <c r="B10" s="155" t="s">
        <v>33</v>
      </c>
      <c r="C10" s="155"/>
      <c r="D10" s="16" t="s">
        <v>18</v>
      </c>
      <c r="E10" s="149" t="str">
        <f>CALCULATIONS!H8</f>
        <v>SEVERE</v>
      </c>
      <c r="F10" s="149"/>
      <c r="G10" s="141" t="str">
        <f>A22</f>
        <v>CEMENT</v>
      </c>
      <c r="H10" s="146"/>
      <c r="I10" s="29">
        <f>((I$9*C22)*(I$8/100)+(C22*I$9))*K$7</f>
        <v>2.8627763055837119</v>
      </c>
      <c r="J10" s="246" t="s">
        <v>160</v>
      </c>
      <c r="K10" s="247"/>
    </row>
    <row r="11" spans="1:11" ht="20.399999999999999" customHeight="1" x14ac:dyDescent="0.3">
      <c r="A11" s="18" t="s">
        <v>22</v>
      </c>
      <c r="B11" s="155" t="s">
        <v>37</v>
      </c>
      <c r="C11" s="155"/>
      <c r="D11" s="16" t="s">
        <v>18</v>
      </c>
      <c r="E11" s="15">
        <f>CALCULATIONS!H9</f>
        <v>100</v>
      </c>
      <c r="F11" s="16" t="s">
        <v>29</v>
      </c>
      <c r="G11" s="141" t="str">
        <f t="shared" ref="G11:G13" si="0">A23</f>
        <v>WATER</v>
      </c>
      <c r="H11" s="146"/>
      <c r="I11" s="29">
        <f t="shared" ref="I11:I12" si="1">((I$9*C23)*(I$8/100)+(C23*I$9))*K$7</f>
        <v>1.254277725353077</v>
      </c>
      <c r="J11" s="246" t="s">
        <v>160</v>
      </c>
      <c r="K11" s="247"/>
    </row>
    <row r="12" spans="1:11" ht="20.399999999999999" customHeight="1" x14ac:dyDescent="0.3">
      <c r="G12" s="141" t="str">
        <f t="shared" si="0"/>
        <v>FINE AGGREGATE</v>
      </c>
      <c r="H12" s="146"/>
      <c r="I12" s="29">
        <f t="shared" si="1"/>
        <v>3.648879347339451</v>
      </c>
      <c r="J12" s="246" t="s">
        <v>160</v>
      </c>
      <c r="K12" s="247"/>
    </row>
    <row r="13" spans="1:11" ht="20.399999999999999" customHeight="1" x14ac:dyDescent="0.3">
      <c r="A13" s="243" t="s">
        <v>152</v>
      </c>
      <c r="B13" s="243"/>
      <c r="C13" s="243"/>
      <c r="D13" s="16" t="s">
        <v>18</v>
      </c>
      <c r="G13" s="141" t="str">
        <f t="shared" si="0"/>
        <v>COARSE AGGREGATE</v>
      </c>
      <c r="H13" s="146"/>
      <c r="I13" s="29">
        <f>((I$9*C25)*(I$8/100)+(C25*I$9))*K$7</f>
        <v>7.3504062324318582</v>
      </c>
      <c r="J13" s="246" t="s">
        <v>160</v>
      </c>
      <c r="K13" s="247"/>
    </row>
    <row r="14" spans="1:11" ht="20.399999999999999" customHeight="1" x14ac:dyDescent="0.3">
      <c r="A14" s="18" t="s">
        <v>16</v>
      </c>
      <c r="B14" s="244" t="s">
        <v>153</v>
      </c>
      <c r="C14" s="244"/>
      <c r="D14" s="16" t="s">
        <v>18</v>
      </c>
      <c r="E14" s="15" t="s">
        <v>9</v>
      </c>
      <c r="F14" s="16">
        <f>CALCULATIONS!I22</f>
        <v>2</v>
      </c>
    </row>
    <row r="15" spans="1:11" ht="36.6" customHeight="1" x14ac:dyDescent="0.3">
      <c r="A15" s="18" t="s">
        <v>22</v>
      </c>
      <c r="B15" s="244" t="s">
        <v>154</v>
      </c>
      <c r="C15" s="244"/>
      <c r="D15" s="16" t="s">
        <v>18</v>
      </c>
      <c r="E15" s="149">
        <f>CALCULATIONS!H17</f>
        <v>2.75</v>
      </c>
      <c r="F15" s="149"/>
      <c r="G15" s="248" t="s">
        <v>168</v>
      </c>
      <c r="H15" s="249"/>
      <c r="I15" s="248" t="s">
        <v>169</v>
      </c>
      <c r="J15" s="249"/>
      <c r="K15" s="33">
        <v>1</v>
      </c>
    </row>
    <row r="16" spans="1:11" ht="36.6" customHeight="1" x14ac:dyDescent="0.3">
      <c r="A16" s="18" t="s">
        <v>27</v>
      </c>
      <c r="B16" s="244" t="s">
        <v>155</v>
      </c>
      <c r="C16" s="244"/>
      <c r="D16" s="16" t="s">
        <v>18</v>
      </c>
      <c r="E16" s="149">
        <f>CALCULATIONS!H18</f>
        <v>2.65</v>
      </c>
      <c r="F16" s="149"/>
      <c r="G16" s="245" t="s">
        <v>167</v>
      </c>
      <c r="H16" s="252"/>
      <c r="I16" s="35">
        <v>20</v>
      </c>
      <c r="J16" s="253" t="s">
        <v>64</v>
      </c>
      <c r="K16" s="254"/>
    </row>
    <row r="17" spans="1:11" ht="20.399999999999999" customHeight="1" x14ac:dyDescent="0.3">
      <c r="A17" s="18" t="s">
        <v>32</v>
      </c>
      <c r="B17" s="244" t="s">
        <v>156</v>
      </c>
      <c r="C17" s="244"/>
      <c r="D17" s="16" t="s">
        <v>18</v>
      </c>
      <c r="E17" s="15">
        <f>CALCULATIONS!H7</f>
        <v>20</v>
      </c>
      <c r="F17" s="16" t="s">
        <v>29</v>
      </c>
      <c r="G17" s="146" t="s">
        <v>170</v>
      </c>
      <c r="H17" s="147"/>
      <c r="I17" s="28"/>
      <c r="J17" s="250" t="s">
        <v>128</v>
      </c>
      <c r="K17" s="251"/>
    </row>
    <row r="18" spans="1:11" ht="20.399999999999999" customHeight="1" x14ac:dyDescent="0.3">
      <c r="G18" s="141" t="str">
        <f>A30</f>
        <v>CEMENT</v>
      </c>
      <c r="H18" s="146"/>
      <c r="I18" s="29"/>
      <c r="J18" s="246" t="s">
        <v>160</v>
      </c>
      <c r="K18" s="247"/>
    </row>
    <row r="19" spans="1:11" ht="20.399999999999999" customHeight="1" x14ac:dyDescent="0.3">
      <c r="A19" s="243" t="s">
        <v>158</v>
      </c>
      <c r="B19" s="243"/>
      <c r="C19" s="243"/>
      <c r="G19" s="141" t="str">
        <f t="shared" ref="G19:G21" si="2">A31</f>
        <v>WATER</v>
      </c>
      <c r="H19" s="146"/>
      <c r="I19" s="29"/>
      <c r="J19" s="246" t="s">
        <v>160</v>
      </c>
      <c r="K19" s="247"/>
    </row>
    <row r="20" spans="1:11" x14ac:dyDescent="0.3">
      <c r="A20" s="27"/>
      <c r="B20" s="27"/>
      <c r="C20" s="27"/>
      <c r="G20" s="141" t="str">
        <f t="shared" si="2"/>
        <v>FINE AGGREGATE</v>
      </c>
      <c r="H20" s="146"/>
      <c r="I20" s="29"/>
      <c r="J20" s="246" t="s">
        <v>160</v>
      </c>
      <c r="K20" s="247"/>
    </row>
    <row r="21" spans="1:11" ht="18" x14ac:dyDescent="0.3">
      <c r="A21" s="143" t="s">
        <v>159</v>
      </c>
      <c r="B21" s="143"/>
      <c r="C21" s="143"/>
      <c r="D21" s="143"/>
      <c r="E21" s="143"/>
      <c r="F21" s="18"/>
      <c r="G21" s="141" t="str">
        <f t="shared" si="2"/>
        <v>COARSE AGGREGATE</v>
      </c>
      <c r="H21" s="146"/>
      <c r="I21" s="29"/>
      <c r="J21" s="246" t="s">
        <v>160</v>
      </c>
      <c r="K21" s="247"/>
    </row>
    <row r="22" spans="1:11" x14ac:dyDescent="0.3">
      <c r="A22" s="141" t="str">
        <f>CALCULATIONS!B72</f>
        <v>CEMENT</v>
      </c>
      <c r="B22" s="146"/>
      <c r="C22" s="29">
        <f>CALCULATIONS!D72</f>
        <v>450</v>
      </c>
      <c r="D22" s="246" t="s">
        <v>160</v>
      </c>
      <c r="E22" s="247"/>
      <c r="F22" s="18"/>
    </row>
    <row r="23" spans="1:11" x14ac:dyDescent="0.3">
      <c r="A23" s="141" t="str">
        <f>CALCULATIONS!B73</f>
        <v>WATER</v>
      </c>
      <c r="B23" s="146"/>
      <c r="C23" s="29">
        <f>CALCULATIONS!D73</f>
        <v>197.16</v>
      </c>
      <c r="D23" s="246" t="s">
        <v>160</v>
      </c>
      <c r="E23" s="247"/>
    </row>
    <row r="24" spans="1:11" ht="31.8" customHeight="1" x14ac:dyDescent="0.3">
      <c r="A24" s="162" t="str">
        <f>CALCULATIONS!B74</f>
        <v>FINE AGGREGATE</v>
      </c>
      <c r="B24" s="245"/>
      <c r="C24" s="29">
        <f>CALCULATIONS!D74</f>
        <v>573.56758999999988</v>
      </c>
      <c r="D24" s="246" t="s">
        <v>160</v>
      </c>
      <c r="E24" s="247"/>
    </row>
    <row r="25" spans="1:11" ht="31.8" customHeight="1" x14ac:dyDescent="0.3">
      <c r="A25" s="162" t="str">
        <f>CALCULATIONS!B75</f>
        <v>COARSE AGGREGATE</v>
      </c>
      <c r="B25" s="245"/>
      <c r="C25" s="29">
        <f>CALCULATIONS!D75</f>
        <v>1155.41085</v>
      </c>
      <c r="D25" s="246" t="s">
        <v>160</v>
      </c>
      <c r="E25" s="247"/>
    </row>
    <row r="27" spans="1:11" s="10" customFormat="1" ht="30" customHeight="1" x14ac:dyDescent="0.3">
      <c r="A27" s="248" t="s">
        <v>164</v>
      </c>
      <c r="B27" s="249"/>
      <c r="C27" s="248" t="s">
        <v>165</v>
      </c>
      <c r="D27" s="249"/>
      <c r="E27" s="33">
        <v>2</v>
      </c>
      <c r="F27" s="26"/>
    </row>
    <row r="28" spans="1:11" s="10" customFormat="1" x14ac:dyDescent="0.3">
      <c r="A28" s="245" t="s">
        <v>167</v>
      </c>
      <c r="B28" s="252"/>
      <c r="C28" s="35">
        <v>20</v>
      </c>
      <c r="D28" s="253" t="s">
        <v>64</v>
      </c>
      <c r="E28" s="254"/>
      <c r="F28" s="26"/>
    </row>
    <row r="29" spans="1:11" s="10" customFormat="1" ht="18.600000000000001" x14ac:dyDescent="0.3">
      <c r="A29" s="146" t="s">
        <v>166</v>
      </c>
      <c r="B29" s="147"/>
      <c r="C29" s="34">
        <f>0.15*0.15*0.15</f>
        <v>3.375E-3</v>
      </c>
      <c r="D29" s="250" t="s">
        <v>128</v>
      </c>
      <c r="E29" s="251"/>
      <c r="F29" s="26"/>
    </row>
    <row r="30" spans="1:11" x14ac:dyDescent="0.3">
      <c r="A30" s="141" t="str">
        <f>A22</f>
        <v>CEMENT</v>
      </c>
      <c r="B30" s="146"/>
      <c r="C30" s="29">
        <f>((C22*C$29)*(C$28/100)+(C22*C$29))*E$27</f>
        <v>3.645</v>
      </c>
      <c r="D30" s="246" t="s">
        <v>160</v>
      </c>
      <c r="E30" s="247"/>
    </row>
    <row r="31" spans="1:11" x14ac:dyDescent="0.3">
      <c r="A31" s="141" t="str">
        <f t="shared" ref="A31:A33" si="3">A23</f>
        <v>WATER</v>
      </c>
      <c r="B31" s="146"/>
      <c r="C31" s="29">
        <f t="shared" ref="C31:C33" si="4">((C23*C$29)*(C$28/100)+(C23*C$29))*E$27</f>
        <v>1.5969959999999999</v>
      </c>
      <c r="D31" s="246" t="s">
        <v>160</v>
      </c>
      <c r="E31" s="247"/>
    </row>
    <row r="32" spans="1:11" ht="30.6" customHeight="1" x14ac:dyDescent="0.3">
      <c r="A32" s="162" t="str">
        <f t="shared" si="3"/>
        <v>FINE AGGREGATE</v>
      </c>
      <c r="B32" s="245"/>
      <c r="C32" s="29">
        <f t="shared" si="4"/>
        <v>4.6458974789999994</v>
      </c>
      <c r="D32" s="246" t="s">
        <v>160</v>
      </c>
      <c r="E32" s="247"/>
    </row>
    <row r="33" spans="1:5" ht="30.6" customHeight="1" x14ac:dyDescent="0.3">
      <c r="A33" s="162" t="str">
        <f t="shared" si="3"/>
        <v>COARSE AGGREGATE</v>
      </c>
      <c r="B33" s="245"/>
      <c r="C33" s="29">
        <f t="shared" si="4"/>
        <v>9.3588278850000002</v>
      </c>
      <c r="D33" s="246" t="s">
        <v>160</v>
      </c>
      <c r="E33" s="247"/>
    </row>
  </sheetData>
  <mergeCells count="72">
    <mergeCell ref="G19:H19"/>
    <mergeCell ref="J19:K19"/>
    <mergeCell ref="G20:H20"/>
    <mergeCell ref="J20:K20"/>
    <mergeCell ref="G21:H21"/>
    <mergeCell ref="J21:K21"/>
    <mergeCell ref="G16:H16"/>
    <mergeCell ref="J16:K16"/>
    <mergeCell ref="G17:H17"/>
    <mergeCell ref="J17:K17"/>
    <mergeCell ref="G18:H18"/>
    <mergeCell ref="J18:K18"/>
    <mergeCell ref="G15:H15"/>
    <mergeCell ref="I15:J15"/>
    <mergeCell ref="G7:H7"/>
    <mergeCell ref="I7:J7"/>
    <mergeCell ref="G8:H8"/>
    <mergeCell ref="J8:K8"/>
    <mergeCell ref="G9:H9"/>
    <mergeCell ref="J9:K9"/>
    <mergeCell ref="G10:H10"/>
    <mergeCell ref="J10:K10"/>
    <mergeCell ref="G11:H11"/>
    <mergeCell ref="J11:K11"/>
    <mergeCell ref="G12:H12"/>
    <mergeCell ref="J12:K12"/>
    <mergeCell ref="G13:H13"/>
    <mergeCell ref="J13:K13"/>
    <mergeCell ref="A32:B32"/>
    <mergeCell ref="D32:E32"/>
    <mergeCell ref="A33:B33"/>
    <mergeCell ref="D33:E33"/>
    <mergeCell ref="A27:B27"/>
    <mergeCell ref="C27:D27"/>
    <mergeCell ref="A29:B29"/>
    <mergeCell ref="D29:E29"/>
    <mergeCell ref="A28:B28"/>
    <mergeCell ref="A30:B30"/>
    <mergeCell ref="D30:E30"/>
    <mergeCell ref="A31:B31"/>
    <mergeCell ref="D31:E31"/>
    <mergeCell ref="D28:E28"/>
    <mergeCell ref="A23:B23"/>
    <mergeCell ref="A24:B24"/>
    <mergeCell ref="A25:B25"/>
    <mergeCell ref="D22:E22"/>
    <mergeCell ref="D23:E23"/>
    <mergeCell ref="D24:E24"/>
    <mergeCell ref="D25:E25"/>
    <mergeCell ref="A22:B22"/>
    <mergeCell ref="E10:F10"/>
    <mergeCell ref="E15:F15"/>
    <mergeCell ref="E16:F16"/>
    <mergeCell ref="A19:C19"/>
    <mergeCell ref="E6:F6"/>
    <mergeCell ref="B7:C7"/>
    <mergeCell ref="E7:F7"/>
    <mergeCell ref="A9:E9"/>
    <mergeCell ref="B10:C10"/>
    <mergeCell ref="B11:C11"/>
    <mergeCell ref="A21:E21"/>
    <mergeCell ref="A13:C13"/>
    <mergeCell ref="B14:C14"/>
    <mergeCell ref="B15:C15"/>
    <mergeCell ref="B16:C16"/>
    <mergeCell ref="B17:C17"/>
    <mergeCell ref="A1:J1"/>
    <mergeCell ref="A3:E3"/>
    <mergeCell ref="B4:C4"/>
    <mergeCell ref="B5:C5"/>
    <mergeCell ref="B6:C6"/>
    <mergeCell ref="E5:F5"/>
  </mergeCells>
  <dataValidations count="1">
    <dataValidation type="list" allowBlank="1" showInputMessage="1" showErrorMessage="1" sqref="E27 K7 K15" xr:uid="{86165334-AB7F-4741-ABC0-1E5B45639D52}">
      <formula1>"1,2,3,4,5,6,7,8,9"</formula1>
    </dataValidation>
  </dataValidations>
  <pageMargins left="0.25" right="0.25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CALCULATIONS</vt:lpstr>
      <vt:lpstr>MIX DESIGN </vt:lpstr>
      <vt:lpstr>MOULD CALCULATION</vt:lpstr>
      <vt:lpstr>MIX DESIGN - PRINT 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theertha giri</dc:creator>
  <cp:lastModifiedBy>theertha giri</cp:lastModifiedBy>
  <cp:lastPrinted>2022-10-20T18:36:35Z</cp:lastPrinted>
  <dcterms:created xsi:type="dcterms:W3CDTF">2022-09-28T14:38:16Z</dcterms:created>
  <dcterms:modified xsi:type="dcterms:W3CDTF">2022-11-30T13:31:44Z</dcterms:modified>
</cp:coreProperties>
</file>