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ETU\METU 5th Semester\IE347\Case Study\"/>
    </mc:Choice>
  </mc:AlternateContent>
  <xr:revisionPtr revIDLastSave="0" documentId="13_ncr:1_{0A96EC4A-3F7C-4BF5-A726-D870D475CA14}" xr6:coauthVersionLast="47" xr6:coauthVersionMax="47" xr10:uidLastSave="{00000000-0000-0000-0000-000000000000}"/>
  <bookViews>
    <workbookView xWindow="-108" yWindow="-108" windowWidth="23256" windowHeight="12576" firstSheet="6" activeTab="6" xr2:uid="{00000000-000D-0000-FFFF-FFFF00000000}"/>
  </bookViews>
  <sheets>
    <sheet name="Global Parameters" sheetId="1" r:id="rId1"/>
    <sheet name="DN" sheetId="2" r:id="rId2"/>
    <sheet name="Well 17 at Year 0" sheetId="5" r:id="rId3"/>
    <sheet name="Well 17 at Year 1" sheetId="6" r:id="rId4"/>
    <sheet name="Well 17 at Year 2" sheetId="7" r:id="rId5"/>
    <sheet name="Well 18 at Year 0" sheetId="8" r:id="rId6"/>
    <sheet name="Well 18 at Year 1" sheetId="14" r:id="rId7"/>
    <sheet name="Well 19 at Year 0" sheetId="10" r:id="rId8"/>
    <sheet name="Well 19 at Year 1" sheetId="13" r:id="rId9"/>
    <sheet name="Well 20 at Year 0" sheetId="11" r:id="rId10"/>
    <sheet name="Well 20 at Year 1" sheetId="16" r:id="rId11"/>
    <sheet name="DN with Inflation" sheetId="19" r:id="rId12"/>
    <sheet name="Well 17 Year 0 with Inflation" sheetId="12" r:id="rId13"/>
    <sheet name="Well 17 Year 1 with Inflation" sheetId="17" r:id="rId14"/>
    <sheet name="Well 17 Year 2 with Inflation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9" l="1" a="1"/>
  <c r="G39" i="19" s="1"/>
  <c r="I32" i="19"/>
  <c r="I33" i="19"/>
  <c r="I34" i="19"/>
  <c r="I35" i="19"/>
  <c r="I37" i="19" s="1"/>
  <c r="I36" i="19"/>
  <c r="I31" i="19"/>
  <c r="I19" i="19"/>
  <c r="I20" i="19"/>
  <c r="I21" i="19"/>
  <c r="I22" i="19" s="1"/>
  <c r="I23" i="19" s="1"/>
  <c r="I24" i="19" s="1"/>
  <c r="I25" i="19" s="1"/>
  <c r="I26" i="19" s="1"/>
  <c r="I27" i="19" s="1"/>
  <c r="I28" i="19" s="1"/>
  <c r="I29" i="19" s="1"/>
  <c r="I30" i="19" s="1"/>
  <c r="I18" i="19"/>
  <c r="I17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D26" i="19"/>
  <c r="D25" i="19"/>
  <c r="D23" i="19"/>
  <c r="D22" i="19"/>
  <c r="D21" i="19"/>
  <c r="D19" i="19"/>
  <c r="D18" i="19"/>
  <c r="D17" i="19"/>
  <c r="D15" i="19"/>
  <c r="D14" i="19"/>
  <c r="D13" i="19"/>
  <c r="D11" i="19"/>
  <c r="D10" i="19"/>
  <c r="D9" i="19"/>
  <c r="G4" i="19" s="1"/>
  <c r="D8" i="19"/>
  <c r="D7" i="19"/>
  <c r="D6" i="19"/>
  <c r="D5" i="19"/>
  <c r="H17" i="19" s="1"/>
  <c r="D4" i="19"/>
  <c r="O6" i="18"/>
  <c r="O7" i="18"/>
  <c r="O8" i="18"/>
  <c r="O9" i="18"/>
  <c r="O10" i="18"/>
  <c r="O11" i="18"/>
  <c r="O12" i="18"/>
  <c r="O13" i="18"/>
  <c r="O14" i="18"/>
  <c r="O15" i="18"/>
  <c r="O16" i="18"/>
  <c r="O17" i="18"/>
  <c r="O5" i="18"/>
  <c r="O6" i="17"/>
  <c r="O7" i="17"/>
  <c r="O8" i="17"/>
  <c r="O9" i="17"/>
  <c r="O10" i="17"/>
  <c r="O11" i="17"/>
  <c r="O12" i="17"/>
  <c r="O13" i="17"/>
  <c r="O14" i="17"/>
  <c r="O15" i="17"/>
  <c r="O16" i="17"/>
  <c r="O17" i="17"/>
  <c r="O5" i="17"/>
  <c r="G21" i="18"/>
  <c r="G20" i="18"/>
  <c r="G19" i="18"/>
  <c r="H29" i="18"/>
  <c r="H28" i="18"/>
  <c r="H27" i="18"/>
  <c r="G4" i="18"/>
  <c r="G5" i="18" s="1"/>
  <c r="G5" i="17"/>
  <c r="G20" i="17" s="1"/>
  <c r="D26" i="18"/>
  <c r="D25" i="18"/>
  <c r="D23" i="18"/>
  <c r="I26" i="18" s="1"/>
  <c r="I27" i="18" s="1"/>
  <c r="D22" i="18"/>
  <c r="D21" i="18"/>
  <c r="D19" i="18"/>
  <c r="D18" i="18"/>
  <c r="D17" i="18"/>
  <c r="D15" i="18"/>
  <c r="D14" i="18"/>
  <c r="D13" i="18"/>
  <c r="D11" i="18"/>
  <c r="D10" i="18"/>
  <c r="D9" i="18"/>
  <c r="D8" i="18"/>
  <c r="D7" i="18"/>
  <c r="D6" i="18"/>
  <c r="D5" i="18"/>
  <c r="H26" i="18" s="1"/>
  <c r="F26" i="18" s="1"/>
  <c r="D4" i="18"/>
  <c r="M26" i="14"/>
  <c r="L26" i="14" s="1"/>
  <c r="N26" i="14"/>
  <c r="L27" i="14"/>
  <c r="L28" i="14"/>
  <c r="L29" i="14"/>
  <c r="G21" i="17"/>
  <c r="L14" i="16"/>
  <c r="L7" i="13"/>
  <c r="H20" i="6"/>
  <c r="H19" i="6"/>
  <c r="G19" i="6" s="1"/>
  <c r="H19" i="7"/>
  <c r="G19" i="7" s="1"/>
  <c r="H20" i="7"/>
  <c r="G20" i="7" s="1"/>
  <c r="H21" i="7"/>
  <c r="G21" i="7"/>
  <c r="I18" i="7"/>
  <c r="H18" i="7"/>
  <c r="G18" i="7"/>
  <c r="G20" i="6"/>
  <c r="G21" i="6"/>
  <c r="H27" i="17"/>
  <c r="G4" i="17"/>
  <c r="H26" i="17"/>
  <c r="D26" i="17"/>
  <c r="D25" i="17"/>
  <c r="D23" i="17"/>
  <c r="I26" i="17" s="1"/>
  <c r="I27" i="17" s="1"/>
  <c r="D22" i="17"/>
  <c r="D21" i="17"/>
  <c r="D19" i="17"/>
  <c r="D18" i="17"/>
  <c r="D17" i="17"/>
  <c r="D15" i="17"/>
  <c r="D14" i="17"/>
  <c r="D13" i="17"/>
  <c r="D11" i="17"/>
  <c r="D10" i="17"/>
  <c r="D9" i="17"/>
  <c r="D8" i="17"/>
  <c r="D7" i="17"/>
  <c r="D6" i="17"/>
  <c r="D5" i="17"/>
  <c r="D4" i="17"/>
  <c r="L15" i="16"/>
  <c r="L13" i="16"/>
  <c r="L8" i="13"/>
  <c r="L6" i="13"/>
  <c r="G5" i="16"/>
  <c r="H35" i="16"/>
  <c r="H34" i="16"/>
  <c r="G4" i="16"/>
  <c r="D26" i="16"/>
  <c r="D25" i="16"/>
  <c r="D23" i="16"/>
  <c r="D22" i="16"/>
  <c r="D21" i="16"/>
  <c r="D19" i="16"/>
  <c r="D18" i="16"/>
  <c r="D17" i="16"/>
  <c r="D15" i="16"/>
  <c r="D14" i="16"/>
  <c r="D13" i="16"/>
  <c r="G21" i="16" s="1"/>
  <c r="D11" i="16"/>
  <c r="D10" i="16"/>
  <c r="D9" i="16"/>
  <c r="D8" i="16"/>
  <c r="G7" i="16"/>
  <c r="D7" i="16"/>
  <c r="D6" i="16"/>
  <c r="D5" i="16"/>
  <c r="D4" i="16"/>
  <c r="L55" i="14" a="1"/>
  <c r="L55" i="14" s="1"/>
  <c r="M53" i="14"/>
  <c r="K53" i="14" s="1"/>
  <c r="G5" i="13"/>
  <c r="H35" i="13"/>
  <c r="G4" i="13"/>
  <c r="H34" i="13"/>
  <c r="K34" i="14"/>
  <c r="M35" i="14"/>
  <c r="M34" i="14"/>
  <c r="L11" i="14"/>
  <c r="G11" i="14"/>
  <c r="L27" i="8"/>
  <c r="L11" i="8"/>
  <c r="G11" i="8"/>
  <c r="G11" i="7"/>
  <c r="G11" i="6"/>
  <c r="G11" i="5"/>
  <c r="L5" i="14"/>
  <c r="L4" i="14"/>
  <c r="G4" i="14"/>
  <c r="H26" i="14"/>
  <c r="H27" i="14" s="1"/>
  <c r="G4" i="8"/>
  <c r="H26" i="8"/>
  <c r="F26" i="14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G5" i="14"/>
  <c r="D26" i="14"/>
  <c r="D25" i="14"/>
  <c r="D23" i="14"/>
  <c r="D22" i="14"/>
  <c r="D21" i="14"/>
  <c r="D19" i="14"/>
  <c r="G7" i="14" s="1"/>
  <c r="D18" i="14"/>
  <c r="D17" i="14"/>
  <c r="D15" i="14"/>
  <c r="D14" i="14"/>
  <c r="D13" i="14"/>
  <c r="D11" i="14"/>
  <c r="D10" i="14"/>
  <c r="D9" i="14"/>
  <c r="D8" i="14"/>
  <c r="D7" i="14"/>
  <c r="D6" i="14"/>
  <c r="D5" i="14"/>
  <c r="D4" i="14"/>
  <c r="D26" i="13"/>
  <c r="D25" i="13"/>
  <c r="D23" i="13"/>
  <c r="D22" i="13"/>
  <c r="D21" i="13"/>
  <c r="D19" i="13"/>
  <c r="D18" i="13"/>
  <c r="D17" i="13"/>
  <c r="D15" i="13"/>
  <c r="D14" i="13"/>
  <c r="G29" i="13" s="1"/>
  <c r="D13" i="13"/>
  <c r="G21" i="13" s="1"/>
  <c r="D11" i="13"/>
  <c r="D10" i="13"/>
  <c r="D9" i="13"/>
  <c r="D8" i="13"/>
  <c r="D7" i="13"/>
  <c r="D6" i="13"/>
  <c r="D5" i="13"/>
  <c r="D4" i="13"/>
  <c r="I28" i="12"/>
  <c r="I29" i="12" s="1"/>
  <c r="I30" i="12" s="1"/>
  <c r="I31" i="12" s="1"/>
  <c r="I32" i="12" s="1"/>
  <c r="I33" i="12" s="1"/>
  <c r="I34" i="12" s="1"/>
  <c r="I35" i="12" s="1"/>
  <c r="I36" i="12" s="1"/>
  <c r="I37" i="12" s="1"/>
  <c r="I27" i="12"/>
  <c r="I26" i="12"/>
  <c r="O6" i="12"/>
  <c r="O5" i="12"/>
  <c r="D26" i="12"/>
  <c r="D25" i="12"/>
  <c r="G7" i="12" s="1"/>
  <c r="D23" i="12"/>
  <c r="D22" i="12"/>
  <c r="D21" i="12"/>
  <c r="D19" i="12"/>
  <c r="D18" i="12"/>
  <c r="D17" i="12"/>
  <c r="D15" i="12"/>
  <c r="D14" i="12"/>
  <c r="D13" i="12"/>
  <c r="G21" i="12" s="1"/>
  <c r="D11" i="12"/>
  <c r="D10" i="12"/>
  <c r="D9" i="12"/>
  <c r="G5" i="12" s="1"/>
  <c r="D8" i="12"/>
  <c r="D7" i="12"/>
  <c r="D6" i="12"/>
  <c r="D5" i="12"/>
  <c r="G4" i="12"/>
  <c r="H26" i="12" s="1"/>
  <c r="D4" i="12"/>
  <c r="L15" i="11"/>
  <c r="D26" i="11"/>
  <c r="D25" i="11"/>
  <c r="D23" i="11"/>
  <c r="D22" i="11"/>
  <c r="D21" i="11"/>
  <c r="D19" i="11"/>
  <c r="D18" i="11"/>
  <c r="D17" i="11"/>
  <c r="D15" i="11"/>
  <c r="D14" i="11"/>
  <c r="D13" i="11"/>
  <c r="L7" i="11" s="1"/>
  <c r="D11" i="11"/>
  <c r="D10" i="11"/>
  <c r="D9" i="11"/>
  <c r="D8" i="11"/>
  <c r="D7" i="11"/>
  <c r="D6" i="11"/>
  <c r="D5" i="11"/>
  <c r="D4" i="11"/>
  <c r="L5" i="10"/>
  <c r="L10" i="10" s="1"/>
  <c r="G56" i="10" s="1"/>
  <c r="N5" i="10"/>
  <c r="L8" i="10"/>
  <c r="L7" i="10"/>
  <c r="L6" i="10"/>
  <c r="G19" i="10"/>
  <c r="M5" i="10"/>
  <c r="H10" i="10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26" i="5"/>
  <c r="H31" i="5"/>
  <c r="H27" i="5"/>
  <c r="G5" i="5"/>
  <c r="F34" i="10"/>
  <c r="H36" i="10"/>
  <c r="H37" i="10"/>
  <c r="H38" i="10"/>
  <c r="H39" i="10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35" i="10"/>
  <c r="G31" i="10"/>
  <c r="G29" i="10"/>
  <c r="G28" i="10"/>
  <c r="G27" i="10"/>
  <c r="G26" i="10"/>
  <c r="G15" i="10"/>
  <c r="G12" i="10"/>
  <c r="G11" i="10"/>
  <c r="G5" i="10"/>
  <c r="G21" i="8"/>
  <c r="D26" i="10"/>
  <c r="D25" i="10"/>
  <c r="D23" i="10"/>
  <c r="D22" i="10"/>
  <c r="D21" i="10"/>
  <c r="D19" i="10"/>
  <c r="G7" i="10" s="1"/>
  <c r="D18" i="10"/>
  <c r="D17" i="10"/>
  <c r="D15" i="10"/>
  <c r="D14" i="10"/>
  <c r="D13" i="10"/>
  <c r="D11" i="10"/>
  <c r="D10" i="10"/>
  <c r="D9" i="10"/>
  <c r="D8" i="10"/>
  <c r="D7" i="10"/>
  <c r="D6" i="10"/>
  <c r="D5" i="10"/>
  <c r="D4" i="10"/>
  <c r="H26" i="5"/>
  <c r="G4" i="5"/>
  <c r="D26" i="8"/>
  <c r="D25" i="8"/>
  <c r="D23" i="8"/>
  <c r="D22" i="8"/>
  <c r="D21" i="8"/>
  <c r="D19" i="8"/>
  <c r="D18" i="8"/>
  <c r="D17" i="8"/>
  <c r="D15" i="8"/>
  <c r="D14" i="8"/>
  <c r="D13" i="8"/>
  <c r="D11" i="8"/>
  <c r="D10" i="8"/>
  <c r="D9" i="8"/>
  <c r="D8" i="8"/>
  <c r="D7" i="8"/>
  <c r="D6" i="8"/>
  <c r="D5" i="8"/>
  <c r="D4" i="8"/>
  <c r="H29" i="6"/>
  <c r="G47" i="6" a="1"/>
  <c r="G47" i="6"/>
  <c r="G47" i="7" a="1"/>
  <c r="G47" i="7" s="1"/>
  <c r="H21" i="6"/>
  <c r="G4" i="6"/>
  <c r="D26" i="7"/>
  <c r="D25" i="7"/>
  <c r="D23" i="7"/>
  <c r="D22" i="7"/>
  <c r="D21" i="7"/>
  <c r="D19" i="7"/>
  <c r="D18" i="7"/>
  <c r="D17" i="7"/>
  <c r="D15" i="7"/>
  <c r="D14" i="7"/>
  <c r="D13" i="7"/>
  <c r="D11" i="7"/>
  <c r="D10" i="7"/>
  <c r="D9" i="7"/>
  <c r="D8" i="7"/>
  <c r="D7" i="7"/>
  <c r="D6" i="7"/>
  <c r="D5" i="7"/>
  <c r="H26" i="7" s="1"/>
  <c r="D4" i="7"/>
  <c r="D26" i="6"/>
  <c r="D25" i="6"/>
  <c r="D23" i="6"/>
  <c r="D22" i="6"/>
  <c r="D21" i="6"/>
  <c r="D19" i="6"/>
  <c r="D18" i="6"/>
  <c r="D17" i="6"/>
  <c r="D15" i="6"/>
  <c r="D14" i="6"/>
  <c r="D13" i="6"/>
  <c r="D11" i="6"/>
  <c r="D10" i="6"/>
  <c r="D9" i="6"/>
  <c r="D8" i="6"/>
  <c r="D7" i="6"/>
  <c r="D6" i="6"/>
  <c r="D5" i="6"/>
  <c r="H26" i="6" s="1"/>
  <c r="H27" i="6" s="1"/>
  <c r="H28" i="6" s="1"/>
  <c r="D4" i="6"/>
  <c r="D6" i="5"/>
  <c r="D7" i="5"/>
  <c r="D8" i="5"/>
  <c r="D9" i="5"/>
  <c r="D10" i="5"/>
  <c r="D11" i="5"/>
  <c r="D13" i="5"/>
  <c r="D14" i="5"/>
  <c r="D15" i="5"/>
  <c r="D17" i="5"/>
  <c r="D18" i="5"/>
  <c r="D19" i="5"/>
  <c r="D21" i="5"/>
  <c r="D22" i="5"/>
  <c r="D23" i="5"/>
  <c r="D25" i="5"/>
  <c r="D26" i="5"/>
  <c r="D5" i="5"/>
  <c r="D6" i="2"/>
  <c r="D7" i="2"/>
  <c r="D8" i="2"/>
  <c r="D9" i="2"/>
  <c r="D10" i="2"/>
  <c r="D11" i="2"/>
  <c r="D13" i="2"/>
  <c r="D14" i="2"/>
  <c r="D15" i="2"/>
  <c r="D17" i="2"/>
  <c r="D18" i="2"/>
  <c r="D19" i="2"/>
  <c r="D21" i="2"/>
  <c r="D22" i="2"/>
  <c r="D23" i="2"/>
  <c r="D25" i="2"/>
  <c r="D26" i="2"/>
  <c r="D5" i="2"/>
  <c r="H17" i="2" s="1"/>
  <c r="D4" i="5"/>
  <c r="D4" i="2"/>
  <c r="H9" i="19" l="1"/>
  <c r="G9" i="19" s="1"/>
  <c r="H18" i="19"/>
  <c r="F17" i="19"/>
  <c r="I9" i="19"/>
  <c r="G11" i="19"/>
  <c r="G5" i="19"/>
  <c r="G6" i="19"/>
  <c r="G10" i="19" s="1"/>
  <c r="I28" i="18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28" i="17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G19" i="17"/>
  <c r="G7" i="18"/>
  <c r="G23" i="7"/>
  <c r="G23" i="6"/>
  <c r="I10" i="17"/>
  <c r="I18" i="17" s="1"/>
  <c r="G12" i="17"/>
  <c r="G6" i="17"/>
  <c r="H10" i="17" s="1"/>
  <c r="H18" i="17" s="1"/>
  <c r="G18" i="17" s="1"/>
  <c r="G23" i="17" s="1"/>
  <c r="F26" i="17"/>
  <c r="G7" i="17"/>
  <c r="L7" i="16"/>
  <c r="G29" i="16"/>
  <c r="G6" i="13"/>
  <c r="H10" i="13" s="1"/>
  <c r="I10" i="14"/>
  <c r="I18" i="14" s="1"/>
  <c r="L21" i="14"/>
  <c r="G6" i="14"/>
  <c r="H27" i="8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L7" i="14"/>
  <c r="G21" i="14"/>
  <c r="F34" i="13"/>
  <c r="G7" i="13"/>
  <c r="I38" i="12"/>
  <c r="I39" i="12" s="1"/>
  <c r="H10" i="12"/>
  <c r="H18" i="12" s="1"/>
  <c r="G18" i="12" s="1"/>
  <c r="G23" i="12" s="1"/>
  <c r="H27" i="12"/>
  <c r="F26" i="12"/>
  <c r="G6" i="12"/>
  <c r="I10" i="12"/>
  <c r="I18" i="12" s="1"/>
  <c r="G19" i="12"/>
  <c r="G12" i="12"/>
  <c r="G20" i="12"/>
  <c r="G10" i="12"/>
  <c r="G11" i="12"/>
  <c r="G29" i="11"/>
  <c r="G4" i="1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G21" i="11"/>
  <c r="G7" i="11"/>
  <c r="G4" i="10"/>
  <c r="G5" i="8"/>
  <c r="G20" i="8" s="1"/>
  <c r="G7" i="8"/>
  <c r="L29" i="8"/>
  <c r="L21" i="8"/>
  <c r="G21" i="10"/>
  <c r="L7" i="8"/>
  <c r="G21" i="5"/>
  <c r="G5" i="6"/>
  <c r="G4" i="7"/>
  <c r="H27" i="7"/>
  <c r="H28" i="7" s="1"/>
  <c r="G7" i="7"/>
  <c r="G7" i="6"/>
  <c r="H18" i="2"/>
  <c r="F17" i="2"/>
  <c r="G7" i="5"/>
  <c r="G4" i="2"/>
  <c r="G5" i="2" s="1"/>
  <c r="H9" i="2" s="1"/>
  <c r="G6" i="2"/>
  <c r="G13" i="19" l="1"/>
  <c r="G14" i="19" s="1"/>
  <c r="F18" i="19"/>
  <c r="H19" i="19"/>
  <c r="G47" i="18" a="1"/>
  <c r="G47" i="18" s="1"/>
  <c r="F27" i="18"/>
  <c r="G11" i="17"/>
  <c r="H28" i="17"/>
  <c r="F27" i="17"/>
  <c r="G10" i="17"/>
  <c r="G27" i="16"/>
  <c r="G19" i="16"/>
  <c r="G28" i="16"/>
  <c r="G12" i="16"/>
  <c r="G20" i="16"/>
  <c r="L6" i="16"/>
  <c r="N4" i="16"/>
  <c r="G6" i="16"/>
  <c r="I10" i="16"/>
  <c r="I18" i="16" s="1"/>
  <c r="I26" i="16" s="1"/>
  <c r="N12" i="16"/>
  <c r="F34" i="16"/>
  <c r="L5" i="16"/>
  <c r="G28" i="13"/>
  <c r="G20" i="13"/>
  <c r="G12" i="13"/>
  <c r="I10" i="13"/>
  <c r="I18" i="13" s="1"/>
  <c r="I26" i="13" s="1"/>
  <c r="N5" i="13"/>
  <c r="L5" i="13" s="1"/>
  <c r="H28" i="14"/>
  <c r="G12" i="14"/>
  <c r="G19" i="14"/>
  <c r="G20" i="14"/>
  <c r="G19" i="8"/>
  <c r="H10" i="14"/>
  <c r="H18" i="14" s="1"/>
  <c r="G18" i="14" s="1"/>
  <c r="L19" i="14"/>
  <c r="M5" i="13"/>
  <c r="H18" i="13"/>
  <c r="G10" i="13"/>
  <c r="F35" i="13"/>
  <c r="H36" i="13"/>
  <c r="G27" i="13"/>
  <c r="G19" i="13"/>
  <c r="G11" i="13"/>
  <c r="I40" i="12"/>
  <c r="I41" i="12" s="1"/>
  <c r="I42" i="12" s="1"/>
  <c r="I43" i="12" s="1"/>
  <c r="I44" i="12" s="1"/>
  <c r="I45" i="12" s="1"/>
  <c r="G47" i="12" a="1"/>
  <c r="G47" i="12" s="1"/>
  <c r="G14" i="12"/>
  <c r="G15" i="12" s="1"/>
  <c r="H28" i="12"/>
  <c r="F27" i="12"/>
  <c r="G5" i="11"/>
  <c r="L13" i="11"/>
  <c r="L5" i="11"/>
  <c r="F34" i="11"/>
  <c r="F35" i="11"/>
  <c r="G27" i="11"/>
  <c r="G19" i="11"/>
  <c r="N4" i="11"/>
  <c r="L6" i="11"/>
  <c r="G6" i="11"/>
  <c r="H10" i="11" s="1"/>
  <c r="I10" i="11"/>
  <c r="I18" i="11" s="1"/>
  <c r="I26" i="11" s="1"/>
  <c r="G28" i="11"/>
  <c r="G20" i="11"/>
  <c r="G12" i="11"/>
  <c r="I10" i="8"/>
  <c r="I18" i="8" s="1"/>
  <c r="G6" i="8"/>
  <c r="H10" i="8" s="1"/>
  <c r="G12" i="8"/>
  <c r="F26" i="8"/>
  <c r="L4" i="8"/>
  <c r="M34" i="8" s="1"/>
  <c r="H34" i="10"/>
  <c r="G6" i="6"/>
  <c r="G12" i="6"/>
  <c r="H30" i="6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F26" i="6"/>
  <c r="F27" i="6" s="1"/>
  <c r="I10" i="6"/>
  <c r="I18" i="6" s="1"/>
  <c r="H19" i="2"/>
  <c r="F18" i="2"/>
  <c r="G20" i="5"/>
  <c r="G10" i="2"/>
  <c r="I9" i="2"/>
  <c r="G11" i="2"/>
  <c r="G9" i="2"/>
  <c r="H20" i="19" l="1"/>
  <c r="F19" i="19"/>
  <c r="I10" i="18"/>
  <c r="I18" i="18" s="1"/>
  <c r="G6" i="18"/>
  <c r="G12" i="18"/>
  <c r="F28" i="18"/>
  <c r="G14" i="17"/>
  <c r="G15" i="17" s="1"/>
  <c r="H29" i="17"/>
  <c r="F28" i="17"/>
  <c r="F35" i="16"/>
  <c r="H36" i="16"/>
  <c r="H10" i="16"/>
  <c r="G11" i="16"/>
  <c r="G23" i="14"/>
  <c r="H29" i="14"/>
  <c r="G10" i="14"/>
  <c r="G14" i="14" s="1"/>
  <c r="G15" i="14" s="1"/>
  <c r="L5" i="8"/>
  <c r="L12" i="8" s="1"/>
  <c r="N10" i="14"/>
  <c r="N18" i="14" s="1"/>
  <c r="L6" i="14"/>
  <c r="M10" i="14" s="1"/>
  <c r="M18" i="14" s="1"/>
  <c r="L12" i="14"/>
  <c r="L20" i="14"/>
  <c r="F36" i="13"/>
  <c r="H37" i="13"/>
  <c r="L10" i="13"/>
  <c r="H26" i="13"/>
  <c r="G26" i="13" s="1"/>
  <c r="G31" i="13" s="1"/>
  <c r="G18" i="13"/>
  <c r="G23" i="13" s="1"/>
  <c r="G14" i="13"/>
  <c r="G15" i="13" s="1"/>
  <c r="F28" i="12"/>
  <c r="H29" i="12"/>
  <c r="L14" i="11"/>
  <c r="N12" i="11"/>
  <c r="L12" i="11" s="1"/>
  <c r="L17" i="11" s="1"/>
  <c r="G11" i="11"/>
  <c r="F36" i="11"/>
  <c r="M4" i="11"/>
  <c r="L4" i="11" s="1"/>
  <c r="L9" i="11" s="1"/>
  <c r="H18" i="11"/>
  <c r="M12" i="11" s="1"/>
  <c r="G10" i="11"/>
  <c r="F27" i="8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H18" i="8"/>
  <c r="G18" i="8" s="1"/>
  <c r="G23" i="8" s="1"/>
  <c r="G10" i="8"/>
  <c r="G20" i="10"/>
  <c r="I10" i="10"/>
  <c r="I18" i="10" s="1"/>
  <c r="I26" i="10" s="1"/>
  <c r="G6" i="10"/>
  <c r="H18" i="10" s="1"/>
  <c r="H26" i="10" s="1"/>
  <c r="M35" i="8"/>
  <c r="K34" i="8"/>
  <c r="H28" i="5"/>
  <c r="H29" i="5" s="1"/>
  <c r="H30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F28" i="6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H29" i="7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G5" i="7"/>
  <c r="G12" i="7" s="1"/>
  <c r="F26" i="7"/>
  <c r="F27" i="7" s="1"/>
  <c r="H10" i="6"/>
  <c r="H20" i="2"/>
  <c r="F19" i="2"/>
  <c r="G12" i="5"/>
  <c r="I10" i="5"/>
  <c r="I18" i="5" s="1"/>
  <c r="G19" i="5"/>
  <c r="G6" i="5"/>
  <c r="G13" i="2"/>
  <c r="G14" i="2" s="1"/>
  <c r="H21" i="19" l="1"/>
  <c r="F20" i="19"/>
  <c r="H10" i="18"/>
  <c r="G11" i="18"/>
  <c r="H30" i="18"/>
  <c r="F29" i="18"/>
  <c r="H30" i="17"/>
  <c r="F29" i="17"/>
  <c r="H37" i="16"/>
  <c r="F36" i="16"/>
  <c r="H18" i="16"/>
  <c r="M4" i="16"/>
  <c r="L4" i="16" s="1"/>
  <c r="L9" i="16" s="1"/>
  <c r="G10" i="16"/>
  <c r="G14" i="16" s="1"/>
  <c r="G15" i="16" s="1"/>
  <c r="H30" i="14"/>
  <c r="L31" i="14"/>
  <c r="L6" i="8"/>
  <c r="M10" i="8" s="1"/>
  <c r="L10" i="8" s="1"/>
  <c r="L14" i="8" s="1"/>
  <c r="L15" i="8" s="1"/>
  <c r="N10" i="8"/>
  <c r="N18" i="8" s="1"/>
  <c r="N26" i="8" s="1"/>
  <c r="L20" i="8"/>
  <c r="L28" i="8"/>
  <c r="L19" i="8"/>
  <c r="L18" i="14"/>
  <c r="L23" i="14" s="1"/>
  <c r="K35" i="14"/>
  <c r="M36" i="14"/>
  <c r="L10" i="14"/>
  <c r="L14" i="14" s="1"/>
  <c r="L15" i="14" s="1"/>
  <c r="H38" i="13"/>
  <c r="F37" i="13"/>
  <c r="F29" i="12"/>
  <c r="H30" i="12"/>
  <c r="G14" i="11"/>
  <c r="G15" i="11" s="1"/>
  <c r="H26" i="11"/>
  <c r="G26" i="11" s="1"/>
  <c r="G31" i="11" s="1"/>
  <c r="G18" i="11"/>
  <c r="G23" i="11" s="1"/>
  <c r="F37" i="11"/>
  <c r="G14" i="8"/>
  <c r="G15" i="8" s="1"/>
  <c r="G47" i="8" a="1"/>
  <c r="G47" i="8" s="1"/>
  <c r="G49" i="8" s="1"/>
  <c r="G18" i="10"/>
  <c r="G23" i="10" s="1"/>
  <c r="F35" i="10"/>
  <c r="G10" i="10"/>
  <c r="G14" i="10" s="1"/>
  <c r="K35" i="8"/>
  <c r="M36" i="8"/>
  <c r="M18" i="8"/>
  <c r="H10" i="5"/>
  <c r="G10" i="5" s="1"/>
  <c r="G14" i="5" s="1"/>
  <c r="G15" i="5" s="1"/>
  <c r="F28" i="7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I10" i="7"/>
  <c r="G6" i="7"/>
  <c r="H18" i="6"/>
  <c r="G18" i="6" s="1"/>
  <c r="G10" i="6"/>
  <c r="G14" i="6" s="1"/>
  <c r="G15" i="6" s="1"/>
  <c r="G49" i="6" s="1"/>
  <c r="H21" i="2"/>
  <c r="F20" i="2"/>
  <c r="H22" i="19" l="1"/>
  <c r="F21" i="19"/>
  <c r="F30" i="18"/>
  <c r="H31" i="18"/>
  <c r="H18" i="18"/>
  <c r="G18" i="18" s="1"/>
  <c r="G23" i="18" s="1"/>
  <c r="G10" i="18"/>
  <c r="G14" i="18" s="1"/>
  <c r="G15" i="18" s="1"/>
  <c r="F30" i="17"/>
  <c r="H31" i="17"/>
  <c r="F37" i="16"/>
  <c r="H38" i="16"/>
  <c r="H26" i="16"/>
  <c r="G26" i="16" s="1"/>
  <c r="G31" i="16" s="1"/>
  <c r="M12" i="16"/>
  <c r="L12" i="16" s="1"/>
  <c r="L17" i="16" s="1"/>
  <c r="G18" i="16"/>
  <c r="G23" i="16" s="1"/>
  <c r="H31" i="14"/>
  <c r="M37" i="14"/>
  <c r="K36" i="14"/>
  <c r="H39" i="13"/>
  <c r="F38" i="13"/>
  <c r="F30" i="12"/>
  <c r="H31" i="12"/>
  <c r="F38" i="11"/>
  <c r="G47" i="5" a="1"/>
  <c r="G47" i="5" s="1"/>
  <c r="F36" i="10"/>
  <c r="M37" i="8"/>
  <c r="K36" i="8"/>
  <c r="M26" i="8"/>
  <c r="L26" i="8" s="1"/>
  <c r="L31" i="8" s="1"/>
  <c r="L18" i="8"/>
  <c r="L23" i="8" s="1"/>
  <c r="H18" i="5"/>
  <c r="G18" i="5" s="1"/>
  <c r="G23" i="5" s="1"/>
  <c r="H10" i="7"/>
  <c r="H22" i="2"/>
  <c r="F21" i="2"/>
  <c r="F22" i="19" l="1"/>
  <c r="H23" i="19"/>
  <c r="H32" i="18"/>
  <c r="F31" i="18"/>
  <c r="H32" i="17"/>
  <c r="F31" i="17"/>
  <c r="H39" i="16"/>
  <c r="F38" i="16"/>
  <c r="H32" i="14"/>
  <c r="K37" i="14"/>
  <c r="M38" i="14"/>
  <c r="H40" i="13"/>
  <c r="F39" i="13"/>
  <c r="H32" i="12"/>
  <c r="F31" i="12"/>
  <c r="F39" i="11"/>
  <c r="G49" i="5"/>
  <c r="F37" i="10"/>
  <c r="M38" i="8"/>
  <c r="K37" i="8"/>
  <c r="G10" i="7"/>
  <c r="G14" i="7" s="1"/>
  <c r="H23" i="2"/>
  <c r="F22" i="2"/>
  <c r="H24" i="19" l="1"/>
  <c r="F23" i="19"/>
  <c r="H33" i="18"/>
  <c r="F32" i="18"/>
  <c r="H33" i="17"/>
  <c r="F32" i="17"/>
  <c r="H40" i="16"/>
  <c r="F39" i="16"/>
  <c r="G15" i="7"/>
  <c r="G49" i="7" s="1"/>
  <c r="H33" i="14"/>
  <c r="K38" i="14"/>
  <c r="M39" i="14"/>
  <c r="H41" i="13"/>
  <c r="F40" i="13"/>
  <c r="H33" i="12"/>
  <c r="F32" i="12"/>
  <c r="F40" i="11"/>
  <c r="F38" i="10"/>
  <c r="M39" i="8"/>
  <c r="K38" i="8"/>
  <c r="H24" i="2"/>
  <c r="F23" i="2"/>
  <c r="H25" i="19" l="1"/>
  <c r="F24" i="19"/>
  <c r="H34" i="18"/>
  <c r="F33" i="18"/>
  <c r="F33" i="17"/>
  <c r="H34" i="17"/>
  <c r="F40" i="16"/>
  <c r="H41" i="16"/>
  <c r="H34" i="14"/>
  <c r="M40" i="14"/>
  <c r="K39" i="14"/>
  <c r="F41" i="13"/>
  <c r="H42" i="13"/>
  <c r="F33" i="12"/>
  <c r="H34" i="12"/>
  <c r="F41" i="11"/>
  <c r="F39" i="10"/>
  <c r="M40" i="8"/>
  <c r="K39" i="8"/>
  <c r="H25" i="2"/>
  <c r="F24" i="2"/>
  <c r="H26" i="19" l="1"/>
  <c r="F25" i="19"/>
  <c r="F34" i="18"/>
  <c r="H35" i="18"/>
  <c r="F34" i="17"/>
  <c r="H35" i="17"/>
  <c r="F41" i="16"/>
  <c r="H42" i="16"/>
  <c r="H35" i="14"/>
  <c r="M41" i="14"/>
  <c r="K40" i="14"/>
  <c r="F42" i="13"/>
  <c r="H43" i="13"/>
  <c r="H35" i="12"/>
  <c r="F34" i="12"/>
  <c r="F42" i="11"/>
  <c r="F40" i="10"/>
  <c r="M41" i="8"/>
  <c r="K40" i="8"/>
  <c r="H26" i="2"/>
  <c r="F25" i="2"/>
  <c r="F26" i="19" l="1"/>
  <c r="H27" i="19"/>
  <c r="H36" i="18"/>
  <c r="F35" i="18"/>
  <c r="H36" i="17"/>
  <c r="F35" i="17"/>
  <c r="H43" i="16"/>
  <c r="F42" i="16"/>
  <c r="H36" i="14"/>
  <c r="K41" i="14"/>
  <c r="M42" i="14"/>
  <c r="H44" i="13"/>
  <c r="F43" i="13"/>
  <c r="F35" i="12"/>
  <c r="H36" i="12"/>
  <c r="F43" i="11"/>
  <c r="F41" i="10"/>
  <c r="M42" i="8"/>
  <c r="K41" i="8"/>
  <c r="H27" i="2"/>
  <c r="F26" i="2"/>
  <c r="F27" i="19" l="1"/>
  <c r="H28" i="19"/>
  <c r="H37" i="18"/>
  <c r="F36" i="18"/>
  <c r="H37" i="17"/>
  <c r="F36" i="17"/>
  <c r="F43" i="16"/>
  <c r="H44" i="16"/>
  <c r="H37" i="14"/>
  <c r="M43" i="14"/>
  <c r="K42" i="14"/>
  <c r="H45" i="13"/>
  <c r="F44" i="13"/>
  <c r="F36" i="12"/>
  <c r="H37" i="12"/>
  <c r="F44" i="11"/>
  <c r="F42" i="10"/>
  <c r="M43" i="8"/>
  <c r="K42" i="8"/>
  <c r="H28" i="2"/>
  <c r="F27" i="2"/>
  <c r="H29" i="19" l="1"/>
  <c r="F28" i="19"/>
  <c r="H38" i="18"/>
  <c r="F37" i="18"/>
  <c r="F37" i="17"/>
  <c r="H38" i="17"/>
  <c r="H45" i="16"/>
  <c r="F44" i="16"/>
  <c r="H38" i="14"/>
  <c r="K43" i="14"/>
  <c r="M44" i="14"/>
  <c r="H46" i="13"/>
  <c r="F45" i="13"/>
  <c r="H38" i="12"/>
  <c r="F37" i="12"/>
  <c r="F45" i="11"/>
  <c r="F43" i="10"/>
  <c r="M44" i="8"/>
  <c r="K43" i="8"/>
  <c r="H29" i="2"/>
  <c r="F28" i="2"/>
  <c r="H30" i="19" l="1"/>
  <c r="F29" i="19"/>
  <c r="H39" i="18"/>
  <c r="F38" i="18"/>
  <c r="F38" i="17"/>
  <c r="H39" i="17"/>
  <c r="H46" i="16"/>
  <c r="F45" i="16"/>
  <c r="H39" i="14"/>
  <c r="K44" i="14"/>
  <c r="M45" i="14"/>
  <c r="H47" i="13"/>
  <c r="F46" i="13"/>
  <c r="H39" i="12"/>
  <c r="F38" i="12"/>
  <c r="F46" i="11"/>
  <c r="F44" i="10"/>
  <c r="M45" i="8"/>
  <c r="K44" i="8"/>
  <c r="H30" i="2"/>
  <c r="F29" i="2"/>
  <c r="H31" i="19" l="1"/>
  <c r="F30" i="19"/>
  <c r="H40" i="18"/>
  <c r="F39" i="18"/>
  <c r="H40" i="17"/>
  <c r="F39" i="17"/>
  <c r="F46" i="16"/>
  <c r="H47" i="16"/>
  <c r="H40" i="14"/>
  <c r="M46" i="14"/>
  <c r="K45" i="14"/>
  <c r="F47" i="13"/>
  <c r="H48" i="13"/>
  <c r="H40" i="12"/>
  <c r="F39" i="12"/>
  <c r="F47" i="11"/>
  <c r="F45" i="10"/>
  <c r="M46" i="8"/>
  <c r="K45" i="8"/>
  <c r="H31" i="2"/>
  <c r="F30" i="2"/>
  <c r="H32" i="19" l="1"/>
  <c r="F31" i="19"/>
  <c r="H41" i="18"/>
  <c r="F40" i="18"/>
  <c r="H41" i="17"/>
  <c r="F40" i="17"/>
  <c r="F47" i="16"/>
  <c r="H48" i="16"/>
  <c r="H41" i="14"/>
  <c r="M47" i="14"/>
  <c r="K46" i="14"/>
  <c r="F48" i="13"/>
  <c r="H49" i="13"/>
  <c r="F40" i="12"/>
  <c r="H41" i="12"/>
  <c r="F48" i="11"/>
  <c r="F46" i="10"/>
  <c r="M47" i="8"/>
  <c r="K46" i="8"/>
  <c r="H32" i="2"/>
  <c r="F31" i="2"/>
  <c r="F32" i="19" l="1"/>
  <c r="H33" i="19"/>
  <c r="H42" i="18"/>
  <c r="F41" i="18"/>
  <c r="F41" i="17"/>
  <c r="H42" i="17"/>
  <c r="H49" i="16"/>
  <c r="F48" i="16"/>
  <c r="H42" i="14"/>
  <c r="K47" i="14"/>
  <c r="M48" i="14"/>
  <c r="H50" i="13"/>
  <c r="F49" i="13"/>
  <c r="F41" i="12"/>
  <c r="H42" i="12"/>
  <c r="F49" i="11"/>
  <c r="F47" i="10"/>
  <c r="M48" i="8"/>
  <c r="K47" i="8"/>
  <c r="H33" i="2"/>
  <c r="F32" i="2"/>
  <c r="F33" i="19" l="1"/>
  <c r="H34" i="19"/>
  <c r="F42" i="18"/>
  <c r="H43" i="18"/>
  <c r="F42" i="17"/>
  <c r="H43" i="17"/>
  <c r="F49" i="16"/>
  <c r="H50" i="16"/>
  <c r="H43" i="14"/>
  <c r="K48" i="14"/>
  <c r="M49" i="14"/>
  <c r="H51" i="13"/>
  <c r="F50" i="13"/>
  <c r="F42" i="12"/>
  <c r="H43" i="12"/>
  <c r="F50" i="11"/>
  <c r="G53" i="11" s="1" a="1"/>
  <c r="G53" i="11" s="1"/>
  <c r="G55" i="11" s="1"/>
  <c r="F48" i="10"/>
  <c r="M49" i="8"/>
  <c r="K48" i="8"/>
  <c r="H34" i="2"/>
  <c r="F33" i="2"/>
  <c r="H35" i="19" l="1"/>
  <c r="F34" i="19"/>
  <c r="H44" i="18"/>
  <c r="F43" i="18"/>
  <c r="H44" i="17"/>
  <c r="F43" i="17"/>
  <c r="H51" i="16"/>
  <c r="F51" i="16" s="1"/>
  <c r="F50" i="16"/>
  <c r="G53" i="16" s="1" a="1"/>
  <c r="G53" i="16" s="1"/>
  <c r="G55" i="16" s="1"/>
  <c r="H44" i="14"/>
  <c r="M50" i="14"/>
  <c r="K49" i="14"/>
  <c r="H52" i="13"/>
  <c r="F52" i="13" s="1"/>
  <c r="F51" i="13"/>
  <c r="G54" i="13" s="1" a="1"/>
  <c r="G54" i="13" s="1"/>
  <c r="G56" i="13" s="1"/>
  <c r="H44" i="12"/>
  <c r="F43" i="12"/>
  <c r="F51" i="11"/>
  <c r="F49" i="10"/>
  <c r="M50" i="8"/>
  <c r="K49" i="8"/>
  <c r="H35" i="2"/>
  <c r="F34" i="2"/>
  <c r="H36" i="19" l="1"/>
  <c r="F35" i="19"/>
  <c r="H45" i="18"/>
  <c r="F45" i="18" s="1"/>
  <c r="F44" i="18"/>
  <c r="G49" i="18" s="1"/>
  <c r="H45" i="17"/>
  <c r="F45" i="17" s="1"/>
  <c r="F44" i="17"/>
  <c r="G47" i="17" s="1" a="1"/>
  <c r="G47" i="17" s="1"/>
  <c r="G49" i="17" s="1"/>
  <c r="H45" i="14"/>
  <c r="K50" i="14"/>
  <c r="M51" i="14"/>
  <c r="H45" i="12"/>
  <c r="F45" i="12" s="1"/>
  <c r="F44" i="12"/>
  <c r="G49" i="12" s="1"/>
  <c r="F50" i="10"/>
  <c r="M51" i="8"/>
  <c r="K50" i="8"/>
  <c r="H36" i="2"/>
  <c r="F35" i="2"/>
  <c r="H37" i="19" l="1"/>
  <c r="F37" i="19" s="1"/>
  <c r="F36" i="19"/>
  <c r="G41" i="19" s="1"/>
  <c r="F45" i="14"/>
  <c r="G47" i="14" a="1"/>
  <c r="G47" i="14" s="1"/>
  <c r="G49" i="14" s="1"/>
  <c r="M52" i="14"/>
  <c r="K52" i="14" s="1"/>
  <c r="K51" i="14"/>
  <c r="L57" i="14" s="1"/>
  <c r="F52" i="10"/>
  <c r="F51" i="10"/>
  <c r="G54" i="10" s="1" a="1"/>
  <c r="G54" i="10" s="1"/>
  <c r="M52" i="8"/>
  <c r="K52" i="8" s="1"/>
  <c r="K51" i="8"/>
  <c r="L54" i="8" s="1" a="1"/>
  <c r="L54" i="8" s="1"/>
  <c r="L56" i="8" s="1"/>
  <c r="F36" i="2"/>
  <c r="H37" i="2"/>
  <c r="F37" i="2" s="1"/>
  <c r="G39" i="2" l="1" a="1"/>
  <c r="G39" i="2" s="1"/>
  <c r="G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<sst xmlns="http://schemas.openxmlformats.org/spreadsheetml/2006/main" count="886" uniqueCount="85">
  <si>
    <t>Flow Rate at Year 1</t>
  </si>
  <si>
    <t>Barrels/day</t>
  </si>
  <si>
    <t>Parameter</t>
  </si>
  <si>
    <t>Value</t>
  </si>
  <si>
    <t>Drilling cost</t>
  </si>
  <si>
    <t>Tying to facility cost</t>
  </si>
  <si>
    <t>Flow Rate Parameters</t>
  </si>
  <si>
    <t>One-time costs</t>
  </si>
  <si>
    <t>Repeated Costs</t>
  </si>
  <si>
    <t>Decline rate at 16 wells</t>
  </si>
  <si>
    <t>Decline rate increase per each new well</t>
  </si>
  <si>
    <t>Work-over</t>
  </si>
  <si>
    <t>Annual operating and maintenance</t>
  </si>
  <si>
    <t>Note</t>
  </si>
  <si>
    <t>Per 7 years</t>
  </si>
  <si>
    <t>Per year</t>
  </si>
  <si>
    <t>Abondenment Cost Rate</t>
  </si>
  <si>
    <t>Percentage of initial drilling and facility costs</t>
  </si>
  <si>
    <t>Number of Starting Wells</t>
  </si>
  <si>
    <t>Per Barrel Figures</t>
  </si>
  <si>
    <t>Transportation Tariff</t>
  </si>
  <si>
    <t>Shipping Cost</t>
  </si>
  <si>
    <t>Average Barrel Price</t>
  </si>
  <si>
    <t>Per barrel</t>
  </si>
  <si>
    <t>Shutdown point</t>
  </si>
  <si>
    <t>The company has been operating for…</t>
  </si>
  <si>
    <t>years</t>
  </si>
  <si>
    <t>Category</t>
  </si>
  <si>
    <t>Use Global Parameters?</t>
  </si>
  <si>
    <t>Local Value</t>
  </si>
  <si>
    <t>Shutdown Point</t>
  </si>
  <si>
    <t>Rate of Return</t>
  </si>
  <si>
    <t>Inflation Rate</t>
  </si>
  <si>
    <t>Number of Work-overs per Well</t>
  </si>
  <si>
    <t>Years per Workover</t>
  </si>
  <si>
    <t>Years</t>
  </si>
  <si>
    <t>PW</t>
  </si>
  <si>
    <t>Year x</t>
  </si>
  <si>
    <t>FW at Year x</t>
  </si>
  <si>
    <t>Shutdown Costs of one Well</t>
  </si>
  <si>
    <t>Effective Interest Rate per 7 years</t>
  </si>
  <si>
    <t>Work-over of one Well until Shutdown</t>
  </si>
  <si>
    <t>Annual Maintenance of one Well until Shutdown</t>
  </si>
  <si>
    <t>Total Cost per Well</t>
  </si>
  <si>
    <t>Total Cost for All Wells</t>
  </si>
  <si>
    <t>Barrels Per Year</t>
  </si>
  <si>
    <t>Year</t>
  </si>
  <si>
    <t>Income from Oil Barrels</t>
  </si>
  <si>
    <t>Additional Flow Rate per New Well</t>
  </si>
  <si>
    <t>Total Cost for the 16 Wells</t>
  </si>
  <si>
    <t>Total Cost per one of the 16 Wells</t>
  </si>
  <si>
    <t>Well 17</t>
  </si>
  <si>
    <t>Shutdown Costs</t>
  </si>
  <si>
    <t>The 16 Wells</t>
  </si>
  <si>
    <t>Work-over Costs</t>
  </si>
  <si>
    <t>Annual Maintenance</t>
  </si>
  <si>
    <t>Total Cost of Well 17</t>
  </si>
  <si>
    <t>Barrels/Day</t>
  </si>
  <si>
    <t>Total Income</t>
  </si>
  <si>
    <t>Total Profit from DN Method</t>
  </si>
  <si>
    <t>Total Profit</t>
  </si>
  <si>
    <t>Abandonment Cost Rate</t>
  </si>
  <si>
    <t>Opening Cost</t>
  </si>
  <si>
    <t>Flow Rate at Year 3 (Without Well 17)</t>
  </si>
  <si>
    <t>Flow Rate at Year 2 (Without Well 17)</t>
  </si>
  <si>
    <t>Flow Rate at Year 1 (Without Well 17)</t>
  </si>
  <si>
    <t>Opening Point of Well 17</t>
  </si>
  <si>
    <t>DN</t>
  </si>
  <si>
    <t>Well 18</t>
  </si>
  <si>
    <t>Total Cost of Well 18</t>
  </si>
  <si>
    <t>Flow Rate at Year 1 (Without Well 19)</t>
  </si>
  <si>
    <t>Flow Rate at Year 1 (Without Well 18)</t>
  </si>
  <si>
    <t>Year 0</t>
  </si>
  <si>
    <t>Well 19</t>
  </si>
  <si>
    <t>Total Cost of Well 19</t>
  </si>
  <si>
    <t>Flow Rate at Year 1 (Without Well 20)</t>
  </si>
  <si>
    <t>Well 20</t>
  </si>
  <si>
    <t>Price in that Year</t>
  </si>
  <si>
    <t xml:space="preserve">Year </t>
  </si>
  <si>
    <t>Inflation Forecast</t>
  </si>
  <si>
    <t>Inflation Percentage</t>
  </si>
  <si>
    <t>Flow Rate at Year 2 (Without Well 19)</t>
  </si>
  <si>
    <t>Flow Rate at Year 2 (Without Well 18)</t>
  </si>
  <si>
    <t>Flow Rate at Year 2 (Without Well 20)</t>
  </si>
  <si>
    <t>Oil Prices in that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</si>
</sst>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2" xfId="1" applyFont="1" applyBorder="1"/>
    <xf numFmtId="0" fontId="0" fillId="0" borderId="3" xfId="0" applyBorder="1"/>
    <xf numFmtId="44" fontId="0" fillId="0" borderId="5" xfId="1" applyFont="1" applyBorder="1"/>
    <xf numFmtId="0" fontId="0" fillId="0" borderId="6" xfId="0" applyBorder="1"/>
    <xf numFmtId="9" fontId="0" fillId="0" borderId="5" xfId="2" applyFont="1" applyBorder="1"/>
    <xf numFmtId="0" fontId="0" fillId="0" borderId="5" xfId="1" applyNumberFormat="1" applyFont="1" applyBorder="1"/>
    <xf numFmtId="44" fontId="0" fillId="0" borderId="8" xfId="1" applyFont="1" applyBorder="1"/>
    <xf numFmtId="0" fontId="0" fillId="0" borderId="9" xfId="0" applyBorder="1"/>
    <xf numFmtId="0" fontId="0" fillId="4" borderId="4" xfId="0" applyFill="1" applyBorder="1"/>
    <xf numFmtId="0" fontId="0" fillId="4" borderId="7" xfId="0" applyFill="1" applyBorder="1"/>
    <xf numFmtId="0" fontId="0" fillId="4" borderId="1" xfId="0" applyFill="1" applyBorder="1"/>
    <xf numFmtId="44" fontId="0" fillId="0" borderId="3" xfId="1" applyFont="1" applyBorder="1"/>
    <xf numFmtId="44" fontId="0" fillId="0" borderId="6" xfId="1" applyFont="1" applyBorder="1"/>
    <xf numFmtId="44" fontId="0" fillId="0" borderId="9" xfId="1" applyFont="1" applyBorder="1"/>
    <xf numFmtId="44" fontId="0" fillId="0" borderId="0" xfId="1" applyFont="1" applyBorder="1"/>
    <xf numFmtId="9" fontId="0" fillId="0" borderId="9" xfId="1" applyNumberFormat="1" applyFont="1" applyBorder="1"/>
    <xf numFmtId="9" fontId="0" fillId="0" borderId="6" xfId="2" applyFont="1" applyBorder="1"/>
    <xf numFmtId="0" fontId="0" fillId="0" borderId="6" xfId="1" applyNumberFormat="1" applyFont="1" applyBorder="1"/>
    <xf numFmtId="0" fontId="0" fillId="0" borderId="9" xfId="1" applyNumberFormat="1" applyFont="1" applyBorder="1"/>
    <xf numFmtId="0" fontId="0" fillId="2" borderId="10" xfId="0" applyFill="1" applyBorder="1"/>
    <xf numFmtId="44" fontId="0" fillId="2" borderId="11" xfId="1" applyFont="1" applyFill="1" applyBorder="1"/>
    <xf numFmtId="0" fontId="0" fillId="2" borderId="12" xfId="0" applyFill="1" applyBorder="1"/>
    <xf numFmtId="0" fontId="0" fillId="0" borderId="8" xfId="1" applyNumberFormat="1" applyFont="1" applyBorder="1"/>
    <xf numFmtId="0" fontId="0" fillId="2" borderId="0" xfId="0" applyFill="1"/>
    <xf numFmtId="0" fontId="2" fillId="3" borderId="0" xfId="0" applyFont="1" applyFill="1"/>
    <xf numFmtId="9" fontId="0" fillId="0" borderId="8" xfId="1" applyNumberFormat="1" applyFont="1" applyBorder="1"/>
    <xf numFmtId="0" fontId="0" fillId="0" borderId="9" xfId="0" applyBorder="1" applyAlignment="1">
      <alignment wrapText="1"/>
    </xf>
    <xf numFmtId="9" fontId="0" fillId="0" borderId="3" xfId="2" applyFont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0" fillId="0" borderId="12" xfId="0" applyBorder="1"/>
    <xf numFmtId="0" fontId="0" fillId="4" borderId="10" xfId="0" applyFill="1" applyBorder="1"/>
    <xf numFmtId="0" fontId="0" fillId="0" borderId="2" xfId="1" applyNumberFormat="1" applyFont="1" applyBorder="1"/>
    <xf numFmtId="0" fontId="0" fillId="0" borderId="3" xfId="1" applyNumberFormat="1" applyFont="1" applyBorder="1"/>
    <xf numFmtId="9" fontId="0" fillId="0" borderId="2" xfId="1" applyNumberFormat="1" applyFont="1" applyBorder="1"/>
    <xf numFmtId="9" fontId="0" fillId="0" borderId="8" xfId="2" applyFont="1" applyBorder="1"/>
    <xf numFmtId="9" fontId="0" fillId="0" borderId="9" xfId="2" applyFont="1" applyBorder="1"/>
    <xf numFmtId="44" fontId="0" fillId="0" borderId="0" xfId="0" applyNumberFormat="1"/>
    <xf numFmtId="8" fontId="0" fillId="0" borderId="0" xfId="0" applyNumberFormat="1"/>
    <xf numFmtId="0" fontId="3" fillId="4" borderId="10" xfId="0" applyFont="1" applyFill="1" applyBorder="1"/>
    <xf numFmtId="8" fontId="4" fillId="0" borderId="0" xfId="0" applyNumberFormat="1" applyFont="1"/>
    <xf numFmtId="3" fontId="0" fillId="4" borderId="10" xfId="0" applyNumberFormat="1" applyFill="1" applyBorder="1"/>
    <xf numFmtId="0" fontId="0" fillId="0" borderId="13" xfId="0" applyBorder="1"/>
    <xf numFmtId="3" fontId="6" fillId="4" borderId="10" xfId="0" applyNumberFormat="1" applyFont="1" applyFill="1" applyBorder="1"/>
    <xf numFmtId="0" fontId="6" fillId="0" borderId="0" xfId="0" applyFont="1"/>
    <xf numFmtId="0" fontId="6" fillId="0" borderId="12" xfId="0" applyFont="1" applyBorder="1"/>
    <xf numFmtId="44" fontId="7" fillId="0" borderId="0" xfId="1" applyFont="1"/>
    <xf numFmtId="8" fontId="0" fillId="0" borderId="0" xfId="1" applyNumberFormat="1" applyFont="1"/>
    <xf numFmtId="44" fontId="4" fillId="0" borderId="0" xfId="1" applyFont="1"/>
    <xf numFmtId="8" fontId="4" fillId="0" borderId="0" xfId="1" applyNumberFormat="1" applyFont="1"/>
    <xf numFmtId="0" fontId="0" fillId="0" borderId="14" xfId="0" applyBorder="1"/>
    <xf numFmtId="2" fontId="0" fillId="0" borderId="14" xfId="0" applyNumberFormat="1" applyBorder="1"/>
    <xf numFmtId="3" fontId="8" fillId="4" borderId="10" xfId="0" applyNumberFormat="1" applyFont="1" applyFill="1" applyBorder="1"/>
    <xf numFmtId="0" fontId="8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14" xfId="0" applyFill="1" applyBorder="1"/>
    <xf numFmtId="44" fontId="6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workbookViewId="0">
      <selection activeCell="B2" sqref="B2:E24"/>
    </sheetView>
  </sheetViews>
  <sheetFormatPr defaultRowHeight="14.4" x14ac:dyDescent="0.3"/>
  <cols>
    <col min="2" max="2" width="25.33203125" customWidth="1"/>
    <col min="3" max="3" width="34.5546875" customWidth="1"/>
    <col min="4" max="4" width="17.33203125" style="1" customWidth="1"/>
    <col min="5" max="5" width="16.6640625" customWidth="1"/>
  </cols>
  <sheetData>
    <row r="2" spans="2:5" x14ac:dyDescent="0.3">
      <c r="B2" s="26" t="s">
        <v>27</v>
      </c>
      <c r="C2" s="22" t="s">
        <v>2</v>
      </c>
      <c r="D2" s="23" t="s">
        <v>3</v>
      </c>
      <c r="E2" s="24" t="s">
        <v>13</v>
      </c>
    </row>
    <row r="3" spans="2:5" ht="15" thickBot="1" x14ac:dyDescent="0.35">
      <c r="B3" s="27" t="s">
        <v>6</v>
      </c>
      <c r="C3" s="13" t="s">
        <v>0</v>
      </c>
      <c r="D3" s="36">
        <v>18000</v>
      </c>
      <c r="E3" s="4" t="s">
        <v>1</v>
      </c>
    </row>
    <row r="4" spans="2:5" ht="15.6" thickTop="1" thickBot="1" x14ac:dyDescent="0.35">
      <c r="C4" s="11" t="s">
        <v>9</v>
      </c>
      <c r="D4" s="7">
        <v>0.17</v>
      </c>
      <c r="E4" s="6"/>
    </row>
    <row r="5" spans="2:5" ht="15.6" thickTop="1" thickBot="1" x14ac:dyDescent="0.35">
      <c r="C5" s="11" t="s">
        <v>10</v>
      </c>
      <c r="D5" s="7">
        <v>0.01</v>
      </c>
      <c r="E5" s="6"/>
    </row>
    <row r="6" spans="2:5" ht="15.6" thickTop="1" thickBot="1" x14ac:dyDescent="0.35">
      <c r="C6" s="11" t="s">
        <v>18</v>
      </c>
      <c r="D6" s="8">
        <v>16</v>
      </c>
      <c r="E6" s="6"/>
    </row>
    <row r="7" spans="2:5" ht="15.6" thickTop="1" thickBot="1" x14ac:dyDescent="0.35">
      <c r="C7" s="11" t="s">
        <v>24</v>
      </c>
      <c r="D7" s="8">
        <v>500</v>
      </c>
      <c r="E7" s="6" t="s">
        <v>1</v>
      </c>
    </row>
    <row r="8" spans="2:5" ht="15.6" thickTop="1" thickBot="1" x14ac:dyDescent="0.35">
      <c r="C8" s="11" t="s">
        <v>48</v>
      </c>
      <c r="D8" s="8">
        <v>2000</v>
      </c>
      <c r="E8" s="6" t="s">
        <v>1</v>
      </c>
    </row>
    <row r="9" spans="2:5" ht="15" thickTop="1" x14ac:dyDescent="0.3">
      <c r="C9" s="12" t="s">
        <v>25</v>
      </c>
      <c r="D9" s="25">
        <v>5</v>
      </c>
      <c r="E9" s="10" t="s">
        <v>26</v>
      </c>
    </row>
    <row r="11" spans="2:5" ht="15" thickBot="1" x14ac:dyDescent="0.35">
      <c r="B11" s="27" t="s">
        <v>7</v>
      </c>
      <c r="C11" s="13" t="s">
        <v>4</v>
      </c>
      <c r="D11" s="3">
        <v>2000000</v>
      </c>
      <c r="E11" s="4"/>
    </row>
    <row r="12" spans="2:5" ht="15.6" thickTop="1" thickBot="1" x14ac:dyDescent="0.35">
      <c r="C12" s="11" t="s">
        <v>5</v>
      </c>
      <c r="D12" s="5">
        <v>1750000</v>
      </c>
      <c r="E12" s="6"/>
    </row>
    <row r="13" spans="2:5" ht="43.8" thickTop="1" x14ac:dyDescent="0.3">
      <c r="C13" s="12" t="s">
        <v>16</v>
      </c>
      <c r="D13" s="28">
        <v>0.1</v>
      </c>
      <c r="E13" s="29" t="s">
        <v>17</v>
      </c>
    </row>
    <row r="14" spans="2:5" x14ac:dyDescent="0.3">
      <c r="D14" s="17"/>
    </row>
    <row r="15" spans="2:5" ht="15" thickBot="1" x14ac:dyDescent="0.35">
      <c r="B15" s="27" t="s">
        <v>8</v>
      </c>
      <c r="C15" s="13" t="s">
        <v>11</v>
      </c>
      <c r="D15" s="3">
        <v>1250000</v>
      </c>
      <c r="E15" s="4" t="s">
        <v>14</v>
      </c>
    </row>
    <row r="16" spans="2:5" ht="15.6" thickTop="1" thickBot="1" x14ac:dyDescent="0.35">
      <c r="C16" s="11" t="s">
        <v>12</v>
      </c>
      <c r="D16" s="5">
        <v>200000</v>
      </c>
      <c r="E16" s="6" t="s">
        <v>15</v>
      </c>
    </row>
    <row r="17" spans="2:5" ht="15" thickTop="1" x14ac:dyDescent="0.3">
      <c r="C17" s="12" t="s">
        <v>34</v>
      </c>
      <c r="D17" s="25">
        <v>7</v>
      </c>
      <c r="E17" s="10" t="s">
        <v>35</v>
      </c>
    </row>
    <row r="19" spans="2:5" ht="15" thickBot="1" x14ac:dyDescent="0.35">
      <c r="B19" s="27" t="s">
        <v>19</v>
      </c>
      <c r="C19" s="13" t="s">
        <v>20</v>
      </c>
      <c r="D19" s="3">
        <v>5.25</v>
      </c>
      <c r="E19" s="4" t="s">
        <v>23</v>
      </c>
    </row>
    <row r="20" spans="2:5" ht="15.6" thickTop="1" thickBot="1" x14ac:dyDescent="0.35">
      <c r="C20" s="11" t="s">
        <v>21</v>
      </c>
      <c r="D20" s="5">
        <v>3.75</v>
      </c>
      <c r="E20" s="6" t="s">
        <v>23</v>
      </c>
    </row>
    <row r="21" spans="2:5" ht="15" thickTop="1" x14ac:dyDescent="0.3">
      <c r="C21" s="12" t="s">
        <v>22</v>
      </c>
      <c r="D21" s="9">
        <v>30</v>
      </c>
      <c r="E21" s="10" t="s">
        <v>23</v>
      </c>
    </row>
    <row r="23" spans="2:5" ht="15" thickBot="1" x14ac:dyDescent="0.35">
      <c r="B23" s="27" t="s">
        <v>19</v>
      </c>
      <c r="C23" s="13" t="s">
        <v>31</v>
      </c>
      <c r="D23" s="38">
        <v>0.15</v>
      </c>
      <c r="E23" s="4"/>
    </row>
    <row r="24" spans="2:5" ht="15" thickTop="1" x14ac:dyDescent="0.3">
      <c r="C24" s="12" t="s">
        <v>32</v>
      </c>
      <c r="D24" s="28">
        <v>0.87</v>
      </c>
      <c r="E2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6D0C-5DC5-48CB-AD65-07D06FE7E9E1}">
  <dimension ref="B2:I41"/>
  <sheetViews>
    <sheetView topLeftCell="A6" zoomScaleNormal="100" workbookViewId="0">
      <selection activeCell="C2" sqref="C2"/>
    </sheetView>
  </sheetViews>
  <sheetFormatPr defaultRowHeight="14.4" x14ac:dyDescent="0.3"/>
  <cols>
    <col min="2" max="2" width="36.44140625" customWidth="1"/>
    <col min="3" max="3" width="19.33203125" customWidth="1"/>
    <col min="4" max="4" width="18.44140625" customWidth="1"/>
    <col min="6" max="6" width="42.6640625" customWidth="1"/>
    <col min="7" max="7" width="20" customWidth="1"/>
    <col min="8" max="8" width="16.6640625" customWidth="1"/>
    <col min="9" max="9" width="8" customWidth="1"/>
    <col min="11" max="11" width="15.44140625" customWidth="1"/>
  </cols>
  <sheetData>
    <row r="2" spans="2:9" x14ac:dyDescent="0.3">
      <c r="B2" s="35" t="s">
        <v>28</v>
      </c>
      <c r="C2" s="34" t="b">
        <v>1</v>
      </c>
    </row>
    <row r="4" spans="2:9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30</v>
      </c>
      <c r="G4">
        <f>ROUNDUP(LOG(D9/D5)/LOG(1-D6),0)</f>
        <v>20</v>
      </c>
    </row>
    <row r="5" spans="2:9" ht="15" thickBot="1" x14ac:dyDescent="0.35">
      <c r="B5" s="13" t="s">
        <v>0</v>
      </c>
      <c r="C5" s="36">
        <v>18000</v>
      </c>
      <c r="D5" s="37">
        <f>IF($C$2=TRUE,'Global Parameters'!D3,DN!C5)</f>
        <v>18000</v>
      </c>
      <c r="F5" s="35" t="s">
        <v>33</v>
      </c>
      <c r="G5">
        <f>ROUNDUP((G4+D11)/D19,0)</f>
        <v>4</v>
      </c>
    </row>
    <row r="6" spans="2:9" ht="15.6" thickTop="1" thickBot="1" x14ac:dyDescent="0.35">
      <c r="B6" s="11" t="s">
        <v>9</v>
      </c>
      <c r="C6" s="7">
        <v>0.17</v>
      </c>
      <c r="D6" s="19">
        <f>IF($C$2=TRUE,'Global Parameters'!D4,DN!C6)</f>
        <v>0.17</v>
      </c>
      <c r="F6" s="35" t="s">
        <v>40</v>
      </c>
      <c r="G6" s="2">
        <f>(1+D25)^D19-1</f>
        <v>1.6600198804687483</v>
      </c>
    </row>
    <row r="7" spans="2:9" ht="15.6" thickTop="1" thickBot="1" x14ac:dyDescent="0.35">
      <c r="B7" s="11" t="s">
        <v>10</v>
      </c>
      <c r="C7" s="7">
        <v>0.01</v>
      </c>
      <c r="D7" s="19">
        <f>IF($C$2=TRUE,'Global Parameters'!D5,DN!C7)</f>
        <v>0.01</v>
      </c>
    </row>
    <row r="8" spans="2:9" ht="15.6" thickTop="1" thickBot="1" x14ac:dyDescent="0.35">
      <c r="B8" s="11" t="s">
        <v>18</v>
      </c>
      <c r="C8" s="8">
        <v>16</v>
      </c>
      <c r="D8" s="20">
        <f>IF($C$2=TRUE,'Global Parameters'!D6,DN!C8)</f>
        <v>16</v>
      </c>
      <c r="G8" t="s">
        <v>36</v>
      </c>
      <c r="H8" t="s">
        <v>38</v>
      </c>
      <c r="I8" t="s">
        <v>37</v>
      </c>
    </row>
    <row r="9" spans="2:9" ht="15.6" thickTop="1" thickBot="1" x14ac:dyDescent="0.35">
      <c r="B9" s="11" t="s">
        <v>24</v>
      </c>
      <c r="C9" s="8">
        <v>500</v>
      </c>
      <c r="D9" s="20">
        <f>IF($C$2=TRUE,'Global Parameters'!D7,DN!C9)</f>
        <v>500</v>
      </c>
      <c r="F9" s="35" t="s">
        <v>39</v>
      </c>
      <c r="G9" s="1">
        <f>-PV(D25,G4,0,H9)</f>
        <v>77902.855649205332</v>
      </c>
      <c r="H9" s="41">
        <f>D15*(D13+D14+D17*G5+D18*G4)</f>
        <v>1275000</v>
      </c>
      <c r="I9">
        <f>G4</f>
        <v>20</v>
      </c>
    </row>
    <row r="10" spans="2:9" ht="15.6" thickTop="1" thickBot="1" x14ac:dyDescent="0.35">
      <c r="B10" s="11" t="s">
        <v>48</v>
      </c>
      <c r="C10" s="8">
        <v>2000</v>
      </c>
      <c r="D10" s="20">
        <f>IF($C$2=TRUE,'Global Parameters'!D8,DN!C10)</f>
        <v>2000</v>
      </c>
      <c r="F10" s="35" t="s">
        <v>41</v>
      </c>
      <c r="G10" s="1">
        <f>-PV(D25,IF(MOD(D19,D11) &gt; 0, MOD(D19,D11), 0), 0,-PV(G6,G5,D17)+D17)</f>
        <v>1503185.4109801548</v>
      </c>
    </row>
    <row r="11" spans="2:9" ht="15" thickTop="1" x14ac:dyDescent="0.3">
      <c r="B11" s="12" t="s">
        <v>25</v>
      </c>
      <c r="C11" s="25">
        <v>5</v>
      </c>
      <c r="D11" s="21">
        <f>IF($C$2=TRUE,'Global Parameters'!D9,DN!C11)</f>
        <v>5</v>
      </c>
      <c r="F11" s="35" t="s">
        <v>42</v>
      </c>
      <c r="G11" s="1">
        <f>-PV(D25,G4,D18)</f>
        <v>1251866.2947459291</v>
      </c>
    </row>
    <row r="12" spans="2:9" x14ac:dyDescent="0.3">
      <c r="C12" s="17"/>
      <c r="D12" s="17"/>
      <c r="G12" s="1"/>
    </row>
    <row r="13" spans="2:9" ht="15" thickBot="1" x14ac:dyDescent="0.35">
      <c r="B13" s="13" t="s">
        <v>4</v>
      </c>
      <c r="C13" s="3">
        <v>2000000</v>
      </c>
      <c r="D13" s="14">
        <f>IF($C$2=TRUE,'Global Parameters'!D11,DN!C13)</f>
        <v>2000000</v>
      </c>
      <c r="F13" s="35" t="s">
        <v>43</v>
      </c>
      <c r="G13" s="1">
        <f>SUM(G9:G11)</f>
        <v>2832954.5613752892</v>
      </c>
    </row>
    <row r="14" spans="2:9" ht="15.6" thickTop="1" thickBot="1" x14ac:dyDescent="0.35">
      <c r="B14" s="11" t="s">
        <v>5</v>
      </c>
      <c r="C14" s="5">
        <v>1750000</v>
      </c>
      <c r="D14" s="15">
        <f>IF($C$2=TRUE,'Global Parameters'!D12,DN!C14)</f>
        <v>1750000</v>
      </c>
      <c r="F14" s="35" t="s">
        <v>44</v>
      </c>
      <c r="G14" s="1">
        <f>D8*G13</f>
        <v>45327272.982004628</v>
      </c>
    </row>
    <row r="15" spans="2:9" ht="15" thickTop="1" x14ac:dyDescent="0.3">
      <c r="B15" s="12" t="s">
        <v>16</v>
      </c>
      <c r="C15" s="28">
        <v>0.1</v>
      </c>
      <c r="D15" s="18">
        <f>IF($C$2=TRUE,'Global Parameters'!D13,DN!C15)</f>
        <v>0.1</v>
      </c>
    </row>
    <row r="16" spans="2:9" ht="15" thickBot="1" x14ac:dyDescent="0.35">
      <c r="C16" s="17"/>
      <c r="D16" s="17"/>
      <c r="F16" s="13" t="s">
        <v>45</v>
      </c>
      <c r="G16" s="46" t="s">
        <v>46</v>
      </c>
      <c r="H16" s="4" t="s">
        <v>57</v>
      </c>
    </row>
    <row r="17" spans="2:8" ht="15.6" thickTop="1" thickBot="1" x14ac:dyDescent="0.35">
      <c r="B17" s="13" t="s">
        <v>11</v>
      </c>
      <c r="C17" s="3">
        <v>1250000</v>
      </c>
      <c r="D17" s="14">
        <f>IF($C$2=TRUE,'Global Parameters'!D15,DN!C17)</f>
        <v>1250000</v>
      </c>
      <c r="F17" s="45">
        <f>365.25*H17</f>
        <v>6574500</v>
      </c>
      <c r="G17">
        <v>1</v>
      </c>
      <c r="H17" s="34">
        <f>D5</f>
        <v>18000</v>
      </c>
    </row>
    <row r="18" spans="2:8" ht="15.6" thickTop="1" thickBot="1" x14ac:dyDescent="0.35">
      <c r="B18" s="11" t="s">
        <v>12</v>
      </c>
      <c r="C18" s="5">
        <v>200000</v>
      </c>
      <c r="D18" s="15">
        <f>IF($C$2=TRUE,'Global Parameters'!D16,DN!C18)</f>
        <v>200000</v>
      </c>
      <c r="F18" s="45">
        <f t="shared" ref="F18:F36" si="0">365.25*H18</f>
        <v>5456835</v>
      </c>
      <c r="G18">
        <v>2</v>
      </c>
      <c r="H18" s="34">
        <f>ROUND(H17*(1-$D$6), 0)</f>
        <v>14940</v>
      </c>
    </row>
    <row r="19" spans="2:8" ht="15" thickTop="1" x14ac:dyDescent="0.3">
      <c r="B19" s="12" t="s">
        <v>34</v>
      </c>
      <c r="C19" s="25">
        <v>7</v>
      </c>
      <c r="D19" s="21">
        <f>IF($C$2=TRUE,'Global Parameters'!D17,DN!C19)</f>
        <v>7</v>
      </c>
      <c r="F19" s="45">
        <f t="shared" si="0"/>
        <v>4529100</v>
      </c>
      <c r="G19">
        <v>3</v>
      </c>
      <c r="H19" s="34">
        <f t="shared" ref="H19:H37" si="1">ROUND(H18*(1-$D$6), 0)</f>
        <v>12400</v>
      </c>
    </row>
    <row r="20" spans="2:8" x14ac:dyDescent="0.3">
      <c r="F20" s="45">
        <f t="shared" si="0"/>
        <v>3759153</v>
      </c>
      <c r="G20">
        <v>4</v>
      </c>
      <c r="H20" s="34">
        <f t="shared" si="1"/>
        <v>10292</v>
      </c>
    </row>
    <row r="21" spans="2:8" ht="15" thickBot="1" x14ac:dyDescent="0.35">
      <c r="B21" s="13" t="s">
        <v>20</v>
      </c>
      <c r="C21" s="3">
        <v>5.25</v>
      </c>
      <c r="D21" s="14">
        <f>IF($C$2=TRUE,'Global Parameters'!D19,DN!C21)</f>
        <v>5.25</v>
      </c>
      <c r="F21" s="45">
        <f t="shared" si="0"/>
        <v>3119965.5</v>
      </c>
      <c r="G21">
        <v>5</v>
      </c>
      <c r="H21" s="34">
        <f t="shared" si="1"/>
        <v>8542</v>
      </c>
    </row>
    <row r="22" spans="2:8" ht="15.6" thickTop="1" thickBot="1" x14ac:dyDescent="0.35">
      <c r="B22" s="11" t="s">
        <v>21</v>
      </c>
      <c r="C22" s="5">
        <v>3.75</v>
      </c>
      <c r="D22" s="15">
        <f>IF($C$2=TRUE,'Global Parameters'!D20,DN!C22)</f>
        <v>3.75</v>
      </c>
      <c r="F22" s="45">
        <f t="shared" si="0"/>
        <v>2589622.5</v>
      </c>
      <c r="G22">
        <v>6</v>
      </c>
      <c r="H22" s="34">
        <f t="shared" si="1"/>
        <v>7090</v>
      </c>
    </row>
    <row r="23" spans="2:8" ht="15" thickTop="1" x14ac:dyDescent="0.3">
      <c r="B23" s="12" t="s">
        <v>22</v>
      </c>
      <c r="C23" s="9">
        <v>30</v>
      </c>
      <c r="D23" s="16">
        <f>IF($C$2=TRUE,'Global Parameters'!D21,DN!C23)</f>
        <v>30</v>
      </c>
      <c r="F23" s="45">
        <f t="shared" si="0"/>
        <v>2149496.25</v>
      </c>
      <c r="G23">
        <v>7</v>
      </c>
      <c r="H23" s="34">
        <f t="shared" si="1"/>
        <v>5885</v>
      </c>
    </row>
    <row r="24" spans="2:8" x14ac:dyDescent="0.3">
      <c r="F24" s="45">
        <f t="shared" si="0"/>
        <v>1784246.25</v>
      </c>
      <c r="G24">
        <v>8</v>
      </c>
      <c r="H24" s="34">
        <f t="shared" si="1"/>
        <v>4885</v>
      </c>
    </row>
    <row r="25" spans="2:8" ht="15" thickBot="1" x14ac:dyDescent="0.35">
      <c r="B25" s="13" t="s">
        <v>31</v>
      </c>
      <c r="C25" s="38">
        <v>0.15</v>
      </c>
      <c r="D25" s="30">
        <f>IF($C$2=TRUE,'Global Parameters'!D23,DN!C25)</f>
        <v>0.15</v>
      </c>
      <c r="F25" s="45">
        <f t="shared" si="0"/>
        <v>1481088.75</v>
      </c>
      <c r="G25">
        <v>9</v>
      </c>
      <c r="H25" s="34">
        <f t="shared" si="1"/>
        <v>4055</v>
      </c>
    </row>
    <row r="26" spans="2:8" ht="15" thickTop="1" x14ac:dyDescent="0.3">
      <c r="B26" s="12" t="s">
        <v>32</v>
      </c>
      <c r="C26" s="39"/>
      <c r="D26" s="40">
        <f>IF($C$2=TRUE,'Global Parameters'!D24,DN!C26)</f>
        <v>0.87</v>
      </c>
      <c r="F26" s="45">
        <f t="shared" si="0"/>
        <v>1229431.5</v>
      </c>
      <c r="G26">
        <v>10</v>
      </c>
      <c r="H26" s="34">
        <f t="shared" si="1"/>
        <v>3366</v>
      </c>
    </row>
    <row r="27" spans="2:8" x14ac:dyDescent="0.3">
      <c r="F27" s="45">
        <f t="shared" si="0"/>
        <v>1020508.5</v>
      </c>
      <c r="G27">
        <v>11</v>
      </c>
      <c r="H27" s="34">
        <f t="shared" si="1"/>
        <v>2794</v>
      </c>
    </row>
    <row r="28" spans="2:8" x14ac:dyDescent="0.3">
      <c r="F28" s="45">
        <f t="shared" si="0"/>
        <v>847014.75</v>
      </c>
      <c r="G28">
        <v>12</v>
      </c>
      <c r="H28" s="34">
        <f t="shared" si="1"/>
        <v>2319</v>
      </c>
    </row>
    <row r="29" spans="2:8" x14ac:dyDescent="0.3">
      <c r="F29" s="45">
        <f t="shared" si="0"/>
        <v>703106.25</v>
      </c>
      <c r="G29">
        <v>13</v>
      </c>
      <c r="H29" s="34">
        <f t="shared" si="1"/>
        <v>1925</v>
      </c>
    </row>
    <row r="30" spans="2:8" x14ac:dyDescent="0.3">
      <c r="F30" s="45">
        <f t="shared" si="0"/>
        <v>583669.5</v>
      </c>
      <c r="G30">
        <v>14</v>
      </c>
      <c r="H30" s="34">
        <f t="shared" si="1"/>
        <v>1598</v>
      </c>
    </row>
    <row r="31" spans="2:8" x14ac:dyDescent="0.3">
      <c r="F31" s="45">
        <f t="shared" si="0"/>
        <v>484321.5</v>
      </c>
      <c r="G31">
        <v>15</v>
      </c>
      <c r="H31" s="34">
        <f t="shared" si="1"/>
        <v>1326</v>
      </c>
    </row>
    <row r="32" spans="2:8" x14ac:dyDescent="0.3">
      <c r="F32" s="45">
        <f t="shared" si="0"/>
        <v>402140.25</v>
      </c>
      <c r="G32">
        <v>16</v>
      </c>
      <c r="H32" s="34">
        <f t="shared" si="1"/>
        <v>1101</v>
      </c>
    </row>
    <row r="33" spans="6:8" x14ac:dyDescent="0.3">
      <c r="F33" s="45">
        <f t="shared" si="0"/>
        <v>333838.5</v>
      </c>
      <c r="G33">
        <v>17</v>
      </c>
      <c r="H33" s="34">
        <f t="shared" si="1"/>
        <v>914</v>
      </c>
    </row>
    <row r="34" spans="6:8" x14ac:dyDescent="0.3">
      <c r="F34" s="45">
        <f t="shared" si="0"/>
        <v>277224.75</v>
      </c>
      <c r="G34">
        <v>18</v>
      </c>
      <c r="H34" s="34">
        <f t="shared" si="1"/>
        <v>759</v>
      </c>
    </row>
    <row r="35" spans="6:8" x14ac:dyDescent="0.3">
      <c r="F35" s="45">
        <f t="shared" si="0"/>
        <v>230107.5</v>
      </c>
      <c r="G35">
        <v>19</v>
      </c>
      <c r="H35" s="34">
        <f t="shared" si="1"/>
        <v>630</v>
      </c>
    </row>
    <row r="36" spans="6:8" x14ac:dyDescent="0.3">
      <c r="F36" s="45">
        <f t="shared" si="0"/>
        <v>191025.75</v>
      </c>
      <c r="G36">
        <v>20</v>
      </c>
      <c r="H36" s="34">
        <f t="shared" si="1"/>
        <v>523</v>
      </c>
    </row>
    <row r="37" spans="6:8" x14ac:dyDescent="0.3">
      <c r="F37" s="47">
        <f t="shared" ref="F37" si="2">365.25*H37</f>
        <v>158518.5</v>
      </c>
      <c r="G37" s="48">
        <v>21</v>
      </c>
      <c r="H37" s="49">
        <f t="shared" si="1"/>
        <v>434</v>
      </c>
    </row>
    <row r="39" spans="6:8" x14ac:dyDescent="0.3">
      <c r="F39" s="35" t="s">
        <v>47</v>
      </c>
      <c r="G39" s="42" cm="1">
        <f t="array" ref="G39">NPV(D25,(D23-D22-D21)*F17:F36)</f>
        <v>430826801.17958814</v>
      </c>
      <c r="H39" s="42"/>
    </row>
    <row r="41" spans="6:8" x14ac:dyDescent="0.3">
      <c r="F41" s="43" t="s">
        <v>59</v>
      </c>
      <c r="G41" s="44">
        <f>G39-G14</f>
        <v>385499528.1975835</v>
      </c>
    </row>
  </sheetData>
  <dataValidations count="1">
    <dataValidation type="list" allowBlank="1" showInputMessage="1" showErrorMessage="1" sqref="C2" xr:uid="{BBFC12FE-1AF5-4AA1-9E63-4BA20D62F823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91FE-6770-4CA3-AC80-BE69D97339A2}">
  <dimension ref="B2:I49"/>
  <sheetViews>
    <sheetView zoomScaleNormal="100" workbookViewId="0">
      <selection activeCell="G11" sqref="G11"/>
    </sheetView>
  </sheetViews>
  <sheetFormatPr defaultRowHeight="14.4" x14ac:dyDescent="0.3"/>
  <cols>
    <col min="2" max="2" width="33.6640625" bestFit="1" customWidth="1"/>
    <col min="3" max="3" width="14.33203125" bestFit="1" customWidth="1"/>
    <col min="4" max="4" width="20" customWidth="1"/>
    <col min="6" max="6" width="40.88671875" bestFit="1" customWidth="1"/>
    <col min="7" max="7" width="15.6640625" bestFit="1" customWidth="1"/>
    <col min="8" max="8" width="17.109375" customWidth="1"/>
  </cols>
  <sheetData>
    <row r="2" spans="2:9" x14ac:dyDescent="0.3">
      <c r="B2" s="35" t="s">
        <v>28</v>
      </c>
      <c r="C2" s="34" t="b">
        <v>1</v>
      </c>
    </row>
    <row r="4" spans="2:9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65</v>
      </c>
      <c r="G4">
        <f>D5</f>
        <v>18000</v>
      </c>
    </row>
    <row r="5" spans="2:9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ROUNDDOWN(LOG(D9/G4)/LOG(1-$D$6-$D$7),0)+1</f>
        <v>19</v>
      </c>
    </row>
    <row r="6" spans="2:9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</row>
    <row r="7" spans="2:9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</row>
    <row r="8" spans="2:9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</row>
    <row r="9" spans="2:9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</row>
    <row r="10" spans="2:9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88182.977580953404</v>
      </c>
      <c r="H10" s="41">
        <f>D15*(D13+D14+D17*G6+D18*G5)</f>
        <v>1255000</v>
      </c>
      <c r="I10">
        <f>G5</f>
        <v>19</v>
      </c>
    </row>
    <row r="11" spans="2:9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51">
        <f>-PV(D25,_xlfn.CEILING.MATH(D11,D19)-D11, 0,-PV(G7,G6 - 1,D17)+D17)</f>
        <v>1484306.5928627991</v>
      </c>
    </row>
    <row r="12" spans="2:9" x14ac:dyDescent="0.3">
      <c r="C12" s="17"/>
      <c r="D12" s="17"/>
      <c r="F12" s="35" t="s">
        <v>42</v>
      </c>
      <c r="G12" s="1">
        <f>-PV(D25,G5,D18)</f>
        <v>1239646.2389578184</v>
      </c>
    </row>
    <row r="13" spans="2:9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</row>
    <row r="14" spans="2:9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2812135.8094015708</v>
      </c>
    </row>
    <row r="15" spans="2:9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44994172.950425133</v>
      </c>
    </row>
    <row r="16" spans="2:9" x14ac:dyDescent="0.3">
      <c r="C16" s="17"/>
      <c r="D16" s="17"/>
      <c r="G16" s="1"/>
    </row>
    <row r="17" spans="2:9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</row>
    <row r="18" spans="2:9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88182.977580953404</v>
      </c>
      <c r="H18" s="41">
        <f>H10</f>
        <v>1255000</v>
      </c>
      <c r="I18">
        <f>I10</f>
        <v>19</v>
      </c>
    </row>
    <row r="19" spans="2:9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1">
        <f>-PV(G7,ROUNDDOWN(G5/D19, 0),D17)</f>
        <v>646582.12238653714</v>
      </c>
    </row>
    <row r="20" spans="2:9" x14ac:dyDescent="0.3">
      <c r="F20" s="35" t="s">
        <v>55</v>
      </c>
      <c r="G20" s="1">
        <f>-PV(D25,G5,D18)</f>
        <v>1239646.2389578184</v>
      </c>
    </row>
    <row r="21" spans="2:9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</row>
    <row r="22" spans="2:9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9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5724411.3389253095</v>
      </c>
    </row>
    <row r="25" spans="2:9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</row>
    <row r="26" spans="2:9" ht="15" thickTop="1" x14ac:dyDescent="0.3">
      <c r="B26" s="12" t="s">
        <v>32</v>
      </c>
      <c r="C26" s="39"/>
      <c r="D26" s="40">
        <f>IF($C$2=TRUE,'Global Parameters'!D24,C26)</f>
        <v>0.87</v>
      </c>
      <c r="F26" s="45">
        <f>365.25*H26</f>
        <v>7305000</v>
      </c>
      <c r="G26">
        <v>1</v>
      </c>
      <c r="H26">
        <f>G4+D10</f>
        <v>20000</v>
      </c>
    </row>
    <row r="27" spans="2:9" x14ac:dyDescent="0.3">
      <c r="F27" s="45">
        <f t="shared" ref="F27:F45" si="0">365.25*H27</f>
        <v>5990100</v>
      </c>
      <c r="G27">
        <v>2</v>
      </c>
      <c r="H27">
        <f>ROUND(H26*(1-$D$6-$D$7), 0)</f>
        <v>16400</v>
      </c>
    </row>
    <row r="28" spans="2:9" x14ac:dyDescent="0.3">
      <c r="F28" s="45">
        <f t="shared" si="0"/>
        <v>4911882</v>
      </c>
      <c r="G28">
        <v>3</v>
      </c>
      <c r="H28">
        <f t="shared" ref="H28:H43" si="1">ROUND(H27*(1-$D$6-$D$7), 0)</f>
        <v>13448</v>
      </c>
    </row>
    <row r="29" spans="2:9" x14ac:dyDescent="0.3">
      <c r="F29" s="45">
        <f t="shared" si="0"/>
        <v>4027611.75</v>
      </c>
      <c r="G29">
        <v>4</v>
      </c>
      <c r="H29">
        <f t="shared" si="1"/>
        <v>11027</v>
      </c>
    </row>
    <row r="30" spans="2:9" x14ac:dyDescent="0.3">
      <c r="F30" s="45">
        <f t="shared" si="0"/>
        <v>3302590.5</v>
      </c>
      <c r="G30">
        <v>5</v>
      </c>
      <c r="H30">
        <f t="shared" si="1"/>
        <v>9042</v>
      </c>
    </row>
    <row r="31" spans="2:9" x14ac:dyDescent="0.3">
      <c r="F31" s="45">
        <f t="shared" si="0"/>
        <v>2707963.5</v>
      </c>
      <c r="G31">
        <v>6</v>
      </c>
      <c r="H31">
        <f>ROUND(H30*(1-$D$6-$D$7), 0)</f>
        <v>7414</v>
      </c>
    </row>
    <row r="32" spans="2:9" x14ac:dyDescent="0.3">
      <c r="F32" s="45">
        <f t="shared" si="0"/>
        <v>2220354.75</v>
      </c>
      <c r="G32">
        <v>7</v>
      </c>
      <c r="H32">
        <f t="shared" si="1"/>
        <v>6079</v>
      </c>
    </row>
    <row r="33" spans="6:8" x14ac:dyDescent="0.3">
      <c r="F33" s="45">
        <f t="shared" si="0"/>
        <v>1820771.25</v>
      </c>
      <c r="G33">
        <v>8</v>
      </c>
      <c r="H33">
        <f t="shared" si="1"/>
        <v>4985</v>
      </c>
    </row>
    <row r="34" spans="6:8" x14ac:dyDescent="0.3">
      <c r="F34" s="45">
        <f t="shared" si="0"/>
        <v>1493142</v>
      </c>
      <c r="G34">
        <v>9</v>
      </c>
      <c r="H34">
        <f t="shared" si="1"/>
        <v>4088</v>
      </c>
    </row>
    <row r="35" spans="6:8" x14ac:dyDescent="0.3">
      <c r="F35" s="45">
        <f t="shared" si="0"/>
        <v>1224318</v>
      </c>
      <c r="G35">
        <v>10</v>
      </c>
      <c r="H35">
        <f t="shared" si="1"/>
        <v>3352</v>
      </c>
    </row>
    <row r="36" spans="6:8" x14ac:dyDescent="0.3">
      <c r="F36" s="45">
        <f t="shared" si="0"/>
        <v>1004072.25</v>
      </c>
      <c r="G36">
        <v>11</v>
      </c>
      <c r="H36">
        <f t="shared" si="1"/>
        <v>2749</v>
      </c>
    </row>
    <row r="37" spans="6:8" x14ac:dyDescent="0.3">
      <c r="F37" s="45">
        <f t="shared" si="0"/>
        <v>823273.5</v>
      </c>
      <c r="G37">
        <v>12</v>
      </c>
      <c r="H37">
        <f t="shared" si="1"/>
        <v>2254</v>
      </c>
    </row>
    <row r="38" spans="6:8" x14ac:dyDescent="0.3">
      <c r="F38" s="45">
        <f t="shared" si="0"/>
        <v>674982</v>
      </c>
      <c r="G38">
        <v>13</v>
      </c>
      <c r="H38">
        <f t="shared" si="1"/>
        <v>1848</v>
      </c>
    </row>
    <row r="39" spans="6:8" x14ac:dyDescent="0.3">
      <c r="F39" s="45">
        <f t="shared" si="0"/>
        <v>553353.75</v>
      </c>
      <c r="G39">
        <v>14</v>
      </c>
      <c r="H39">
        <f t="shared" si="1"/>
        <v>1515</v>
      </c>
    </row>
    <row r="40" spans="6:8" x14ac:dyDescent="0.3">
      <c r="F40" s="45">
        <f t="shared" si="0"/>
        <v>453640.5</v>
      </c>
      <c r="G40">
        <v>15</v>
      </c>
      <c r="H40">
        <f t="shared" si="1"/>
        <v>1242</v>
      </c>
    </row>
    <row r="41" spans="6:8" x14ac:dyDescent="0.3">
      <c r="F41" s="45">
        <f t="shared" si="0"/>
        <v>371824.5</v>
      </c>
      <c r="G41">
        <v>16</v>
      </c>
      <c r="H41">
        <f t="shared" si="1"/>
        <v>1018</v>
      </c>
    </row>
    <row r="42" spans="6:8" x14ac:dyDescent="0.3">
      <c r="F42" s="45">
        <f t="shared" si="0"/>
        <v>304983.75</v>
      </c>
      <c r="G42">
        <v>17</v>
      </c>
      <c r="H42">
        <f t="shared" si="1"/>
        <v>835</v>
      </c>
    </row>
    <row r="43" spans="6:8" x14ac:dyDescent="0.3">
      <c r="F43" s="45">
        <f t="shared" si="0"/>
        <v>250196.25</v>
      </c>
      <c r="G43">
        <v>18</v>
      </c>
      <c r="H43">
        <f t="shared" si="1"/>
        <v>685</v>
      </c>
    </row>
    <row r="44" spans="6:8" x14ac:dyDescent="0.3">
      <c r="F44" s="45">
        <f t="shared" si="0"/>
        <v>205270.5</v>
      </c>
      <c r="G44">
        <v>19</v>
      </c>
      <c r="H44">
        <f>ROUND(H43*(1-$D$6-$D$7), 0)</f>
        <v>562</v>
      </c>
    </row>
    <row r="45" spans="6:8" x14ac:dyDescent="0.3">
      <c r="F45" s="47">
        <f t="shared" si="0"/>
        <v>168380.25</v>
      </c>
      <c r="G45" s="48">
        <v>20</v>
      </c>
      <c r="H45" s="48">
        <f>ROUND(H44*(1-$D$6-$D$7), 0)</f>
        <v>461</v>
      </c>
    </row>
    <row r="47" spans="6:8" x14ac:dyDescent="0.3">
      <c r="F47" t="s">
        <v>58</v>
      </c>
      <c r="G47" s="42" cm="1">
        <f t="array" ref="G47">NPV(D25,(D23-D22-D21)*F26:F44)</f>
        <v>464095029.55544251</v>
      </c>
    </row>
    <row r="49" spans="6:7" x14ac:dyDescent="0.3">
      <c r="F49" t="s">
        <v>60</v>
      </c>
      <c r="G49" s="44">
        <f>G47-G23-G15</f>
        <v>413376445.26609206</v>
      </c>
    </row>
  </sheetData>
  <dataValidations count="1">
    <dataValidation type="list" allowBlank="1" showInputMessage="1" showErrorMessage="1" sqref="C2" xr:uid="{1813BD1E-EB61-4ACD-9EF2-A5399E189AAA}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29E6-2AAD-434C-9D53-83EF4F842339}">
  <dimension ref="B2:I49"/>
  <sheetViews>
    <sheetView topLeftCell="A6" workbookViewId="0">
      <selection activeCell="G21" sqref="G18:I21"/>
    </sheetView>
  </sheetViews>
  <sheetFormatPr defaultRowHeight="14.4" x14ac:dyDescent="0.3"/>
  <cols>
    <col min="1" max="1" width="9.6640625" customWidth="1"/>
    <col min="2" max="2" width="35.33203125" customWidth="1"/>
    <col min="3" max="3" width="13.6640625" bestFit="1" customWidth="1"/>
    <col min="4" max="4" width="20.109375" customWidth="1"/>
    <col min="6" max="6" width="45.44140625" customWidth="1"/>
    <col min="7" max="7" width="16.33203125" customWidth="1"/>
    <col min="8" max="8" width="14.5546875" customWidth="1"/>
    <col min="9" max="9" width="7.88671875" customWidth="1"/>
  </cols>
  <sheetData>
    <row r="2" spans="2:9" x14ac:dyDescent="0.3">
      <c r="B2" s="35" t="s">
        <v>28</v>
      </c>
      <c r="C2" s="34" t="b">
        <v>0</v>
      </c>
    </row>
    <row r="4" spans="2:9" x14ac:dyDescent="0.3">
      <c r="B4" s="31" t="s">
        <v>2</v>
      </c>
      <c r="C4" s="32" t="s">
        <v>29</v>
      </c>
      <c r="D4" s="33" t="str">
        <f>_xlfn.CONCAT("Actual Value",IF(C2=TRUE," (Global)"," (Local)"))</f>
        <v>Actual Value (Local)</v>
      </c>
      <c r="F4" s="35" t="s">
        <v>64</v>
      </c>
      <c r="G4">
        <f>ROUNDUP(D5*(1-D6),0)</f>
        <v>14940</v>
      </c>
    </row>
    <row r="5" spans="2:9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ROUNDDOWN(LOG(D9/G4)/LOG(1-$D$6-$D$7),0)+1+1</f>
        <v>19</v>
      </c>
    </row>
    <row r="6" spans="2:9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</row>
    <row r="7" spans="2:9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</row>
    <row r="8" spans="2:9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G8" s="41"/>
    </row>
    <row r="9" spans="2:9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s="41" t="s">
        <v>36</v>
      </c>
      <c r="H9" t="s">
        <v>38</v>
      </c>
      <c r="I9" t="s">
        <v>37</v>
      </c>
    </row>
    <row r="10" spans="2:9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41">
        <f>-PV(D25,G5,0,H10)</f>
        <v>88182.977580953404</v>
      </c>
      <c r="H10" s="1">
        <f>D15*(D13+D14+D17*G6+D18*G5)</f>
        <v>1255000</v>
      </c>
      <c r="I10">
        <f>G5</f>
        <v>19</v>
      </c>
    </row>
    <row r="11" spans="2:9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42">
        <f>-PV(D25,_xlfn.CEILING.MATH(D11,D19)-D11, 0,-PV(G7,G6 - 1,D17)+D17)</f>
        <v>1484306.5928627991</v>
      </c>
      <c r="H11" s="1"/>
    </row>
    <row r="12" spans="2:9" x14ac:dyDescent="0.3">
      <c r="C12" s="17"/>
      <c r="D12" s="17"/>
      <c r="F12" s="35" t="s">
        <v>42</v>
      </c>
      <c r="G12" s="41">
        <f>-PV(D25,G5,D18)</f>
        <v>1239646.2389578184</v>
      </c>
      <c r="H12" s="1"/>
    </row>
    <row r="13" spans="2:9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41"/>
      <c r="H13" s="1"/>
    </row>
    <row r="14" spans="2:9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41">
        <f>SUM(G10:G12)</f>
        <v>2812135.8094015708</v>
      </c>
      <c r="H14" s="1"/>
    </row>
    <row r="15" spans="2:9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41">
        <f>D8*G14</f>
        <v>44994172.950425133</v>
      </c>
      <c r="H15" s="1"/>
    </row>
    <row r="16" spans="2:9" x14ac:dyDescent="0.3">
      <c r="C16" s="17"/>
      <c r="D16" s="17"/>
      <c r="G16" s="41"/>
      <c r="H16" s="1"/>
    </row>
    <row r="17" spans="2:9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41" t="s">
        <v>36</v>
      </c>
      <c r="H17" s="1" t="s">
        <v>38</v>
      </c>
      <c r="I17" t="s">
        <v>37</v>
      </c>
    </row>
    <row r="18" spans="2:9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41">
        <f>-PV(D25,G5,0,H18)</f>
        <v>88182.977580953404</v>
      </c>
      <c r="H18" s="1">
        <f>H10</f>
        <v>1255000</v>
      </c>
      <c r="I18">
        <f>I10</f>
        <v>19</v>
      </c>
    </row>
    <row r="19" spans="2:9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41">
        <f t="shared" ref="G19:G20" si="0">-PV(D26,G6,0,H19)</f>
        <v>646582.12238653714</v>
      </c>
      <c r="H19" s="42">
        <f>-PV(G7,ROUNDDOWN((G5-1)/D19, 0),D17)</f>
        <v>646582.12238653714</v>
      </c>
      <c r="I19">
        <v>1</v>
      </c>
    </row>
    <row r="20" spans="2:9" x14ac:dyDescent="0.3">
      <c r="F20" s="35" t="s">
        <v>55</v>
      </c>
      <c r="G20" s="41">
        <f t="shared" si="0"/>
        <v>1225593.1748014912</v>
      </c>
      <c r="H20" s="42">
        <f>-PV(D25,G5-1,D18)</f>
        <v>1225593.1748014912</v>
      </c>
      <c r="I20">
        <v>1</v>
      </c>
    </row>
    <row r="21" spans="2:9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42">
        <f>PV(D25,I21,0,-H21)</f>
        <v>3260869.5652173916</v>
      </c>
      <c r="H21" s="1">
        <f>D13+D14</f>
        <v>3750000</v>
      </c>
      <c r="I21">
        <v>1</v>
      </c>
    </row>
    <row r="22" spans="2:9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  <c r="G22" s="41"/>
    </row>
    <row r="23" spans="2:9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1">
        <f>SUM(G18:G21)</f>
        <v>5221227.8399863727</v>
      </c>
    </row>
    <row r="25" spans="2:9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</row>
    <row r="26" spans="2:9" ht="15" thickTop="1" x14ac:dyDescent="0.3">
      <c r="B26" s="12" t="s">
        <v>32</v>
      </c>
      <c r="C26" s="39"/>
      <c r="D26" s="40">
        <f>IF($C$2=TRUE,'Global Parameters'!D24,C26)</f>
        <v>0</v>
      </c>
      <c r="F26" s="45">
        <f>365.25*G4</f>
        <v>5456835</v>
      </c>
      <c r="G26">
        <v>1</v>
      </c>
      <c r="H26">
        <f>D5</f>
        <v>18000</v>
      </c>
    </row>
    <row r="27" spans="2:9" x14ac:dyDescent="0.3">
      <c r="F27" s="45">
        <f t="shared" ref="F27:F44" si="1">ROUND(F26*(1-$D$6), 0)</f>
        <v>4529173</v>
      </c>
      <c r="G27">
        <v>2</v>
      </c>
      <c r="H27">
        <f>ROUND(H26*(1-$D$6), 0)+D10</f>
        <v>16940</v>
      </c>
    </row>
    <row r="28" spans="2:9" x14ac:dyDescent="0.3">
      <c r="F28" s="45">
        <f t="shared" si="1"/>
        <v>3759214</v>
      </c>
      <c r="G28">
        <v>3</v>
      </c>
      <c r="H28">
        <f t="shared" ref="H28:H44" si="2">ROUND(H27*(1-$D$6-$D$7), 0)</f>
        <v>13891</v>
      </c>
    </row>
    <row r="29" spans="2:9" x14ac:dyDescent="0.3">
      <c r="F29" s="45">
        <f t="shared" si="1"/>
        <v>3120148</v>
      </c>
      <c r="G29">
        <v>4</v>
      </c>
      <c r="H29">
        <f>ROUND(H28*(1-$D$6-$D$7), 0)</f>
        <v>11391</v>
      </c>
    </row>
    <row r="30" spans="2:9" x14ac:dyDescent="0.3">
      <c r="F30" s="45">
        <f t="shared" si="1"/>
        <v>2589723</v>
      </c>
      <c r="G30">
        <v>5</v>
      </c>
      <c r="H30">
        <f t="shared" si="2"/>
        <v>9341</v>
      </c>
    </row>
    <row r="31" spans="2:9" x14ac:dyDescent="0.3">
      <c r="F31" s="45">
        <f t="shared" si="1"/>
        <v>2149470</v>
      </c>
      <c r="G31">
        <v>6</v>
      </c>
      <c r="H31">
        <f t="shared" si="2"/>
        <v>7660</v>
      </c>
    </row>
    <row r="32" spans="2:9" x14ac:dyDescent="0.3">
      <c r="F32" s="45">
        <f t="shared" si="1"/>
        <v>1784060</v>
      </c>
      <c r="G32">
        <v>7</v>
      </c>
      <c r="H32">
        <f t="shared" si="2"/>
        <v>6281</v>
      </c>
    </row>
    <row r="33" spans="6:8" x14ac:dyDescent="0.3">
      <c r="F33" s="45">
        <f t="shared" si="1"/>
        <v>1480770</v>
      </c>
      <c r="G33">
        <v>8</v>
      </c>
      <c r="H33">
        <f t="shared" si="2"/>
        <v>5150</v>
      </c>
    </row>
    <row r="34" spans="6:8" x14ac:dyDescent="0.3">
      <c r="F34" s="45">
        <f t="shared" si="1"/>
        <v>1229039</v>
      </c>
      <c r="G34">
        <v>9</v>
      </c>
      <c r="H34">
        <f t="shared" si="2"/>
        <v>4223</v>
      </c>
    </row>
    <row r="35" spans="6:8" x14ac:dyDescent="0.3">
      <c r="F35" s="45">
        <f t="shared" si="1"/>
        <v>1020102</v>
      </c>
      <c r="G35">
        <v>10</v>
      </c>
      <c r="H35">
        <f t="shared" si="2"/>
        <v>3463</v>
      </c>
    </row>
    <row r="36" spans="6:8" x14ac:dyDescent="0.3">
      <c r="F36" s="45">
        <f t="shared" si="1"/>
        <v>846685</v>
      </c>
      <c r="G36">
        <v>11</v>
      </c>
      <c r="H36">
        <f t="shared" si="2"/>
        <v>2840</v>
      </c>
    </row>
    <row r="37" spans="6:8" x14ac:dyDescent="0.3">
      <c r="F37" s="45">
        <f t="shared" si="1"/>
        <v>702749</v>
      </c>
      <c r="G37">
        <v>12</v>
      </c>
      <c r="H37">
        <f t="shared" si="2"/>
        <v>2329</v>
      </c>
    </row>
    <row r="38" spans="6:8" x14ac:dyDescent="0.3">
      <c r="F38" s="45">
        <f t="shared" si="1"/>
        <v>583282</v>
      </c>
      <c r="G38">
        <v>13</v>
      </c>
      <c r="H38">
        <f t="shared" si="2"/>
        <v>1910</v>
      </c>
    </row>
    <row r="39" spans="6:8" x14ac:dyDescent="0.3">
      <c r="F39" s="45">
        <f t="shared" si="1"/>
        <v>484124</v>
      </c>
      <c r="G39">
        <v>14</v>
      </c>
      <c r="H39">
        <f t="shared" si="2"/>
        <v>1566</v>
      </c>
    </row>
    <row r="40" spans="6:8" x14ac:dyDescent="0.3">
      <c r="F40" s="45">
        <f t="shared" si="1"/>
        <v>401823</v>
      </c>
      <c r="G40">
        <v>15</v>
      </c>
      <c r="H40">
        <f t="shared" si="2"/>
        <v>1284</v>
      </c>
    </row>
    <row r="41" spans="6:8" x14ac:dyDescent="0.3">
      <c r="F41" s="45">
        <f t="shared" si="1"/>
        <v>333513</v>
      </c>
      <c r="G41">
        <v>16</v>
      </c>
      <c r="H41">
        <f t="shared" si="2"/>
        <v>1053</v>
      </c>
    </row>
    <row r="42" spans="6:8" x14ac:dyDescent="0.3">
      <c r="F42" s="45">
        <f t="shared" si="1"/>
        <v>276816</v>
      </c>
      <c r="G42">
        <v>17</v>
      </c>
      <c r="H42">
        <f t="shared" si="2"/>
        <v>863</v>
      </c>
    </row>
    <row r="43" spans="6:8" x14ac:dyDescent="0.3">
      <c r="F43" s="45">
        <f t="shared" si="1"/>
        <v>229757</v>
      </c>
      <c r="G43">
        <v>18</v>
      </c>
      <c r="H43">
        <f t="shared" si="2"/>
        <v>708</v>
      </c>
    </row>
    <row r="44" spans="6:8" x14ac:dyDescent="0.3">
      <c r="F44" s="45">
        <f t="shared" si="1"/>
        <v>190698</v>
      </c>
      <c r="G44">
        <v>19</v>
      </c>
      <c r="H44">
        <f t="shared" si="2"/>
        <v>581</v>
      </c>
    </row>
    <row r="45" spans="6:8" x14ac:dyDescent="0.3">
      <c r="F45" s="47">
        <f t="shared" ref="F45" si="3">ROUND(F44*(1-$D$6), 0)</f>
        <v>158279</v>
      </c>
      <c r="G45" s="48">
        <v>20</v>
      </c>
      <c r="H45" s="48">
        <f t="shared" ref="H45" si="4">ROUND(H44*(1-$D$6-$D$7), 0)</f>
        <v>476</v>
      </c>
    </row>
    <row r="47" spans="6:8" x14ac:dyDescent="0.3">
      <c r="F47" t="s">
        <v>58</v>
      </c>
      <c r="G47" s="51" cm="1">
        <f t="array" ref="G47">NPV(D25,(D23-D22-D21)*F26:F44)</f>
        <v>357374988.66129935</v>
      </c>
    </row>
    <row r="48" spans="6:8" x14ac:dyDescent="0.3">
      <c r="G48" s="1"/>
    </row>
    <row r="49" spans="6:7" ht="16.2" x14ac:dyDescent="0.45">
      <c r="F49" t="s">
        <v>60</v>
      </c>
      <c r="G49" s="50">
        <f>G47-G23-G15</f>
        <v>307159587.87088782</v>
      </c>
    </row>
  </sheetData>
  <phoneticPr fontId="5" type="noConversion"/>
  <dataValidations disablePrompts="1" count="1">
    <dataValidation type="list" allowBlank="1" showInputMessage="1" showErrorMessage="1" sqref="C2" xr:uid="{FBB99A85-E3A6-42DC-A567-20A5AA4A9D34}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77A4-8FE8-4279-83C4-67A5F50D77A5}">
  <dimension ref="B2:I49"/>
  <sheetViews>
    <sheetView topLeftCell="D4" workbookViewId="0">
      <selection activeCell="G21" sqref="G21"/>
    </sheetView>
  </sheetViews>
  <sheetFormatPr defaultRowHeight="14.4" x14ac:dyDescent="0.3"/>
  <cols>
    <col min="2" max="2" width="37.33203125" customWidth="1"/>
    <col min="3" max="3" width="15.109375" customWidth="1"/>
    <col min="4" max="4" width="18.6640625" customWidth="1"/>
    <col min="6" max="6" width="44" customWidth="1"/>
    <col min="7" max="7" width="16.6640625" customWidth="1"/>
    <col min="8" max="8" width="15.33203125" customWidth="1"/>
  </cols>
  <sheetData>
    <row r="2" spans="2:9" x14ac:dyDescent="0.3">
      <c r="B2" s="35" t="s">
        <v>28</v>
      </c>
      <c r="C2" s="34" t="b">
        <v>1</v>
      </c>
    </row>
    <row r="4" spans="2:9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63</v>
      </c>
      <c r="G4">
        <f>ROUNDDOWN(D5*(1-D6)^2,0)</f>
        <v>12400</v>
      </c>
    </row>
    <row r="5" spans="2:9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ROUNDDOWN(LOG(D9/G4)/LOG(1-$D$6-$D$7),0)+3</f>
        <v>19</v>
      </c>
    </row>
    <row r="6" spans="2:9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</row>
    <row r="7" spans="2:9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</row>
    <row r="8" spans="2:9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</row>
    <row r="9" spans="2:9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</row>
    <row r="10" spans="2:9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88182.977580953404</v>
      </c>
      <c r="H10" s="41">
        <f>D15*(D13+D14+D17*G6+D18*G5)</f>
        <v>1255000</v>
      </c>
      <c r="I10">
        <f>G5</f>
        <v>19</v>
      </c>
    </row>
    <row r="11" spans="2:9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51">
        <f>-PV(D25,_xlfn.CEILING.MATH(D11,D19)-D11, 0,-PV(G7,G6 - 1,D17)+D17)</f>
        <v>1484306.5928627991</v>
      </c>
    </row>
    <row r="12" spans="2:9" x14ac:dyDescent="0.3">
      <c r="C12" s="17"/>
      <c r="D12" s="17"/>
      <c r="F12" s="35" t="s">
        <v>42</v>
      </c>
      <c r="G12" s="1">
        <f>-PV(D25,G5,D18)</f>
        <v>1239646.2389578184</v>
      </c>
    </row>
    <row r="13" spans="2:9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</row>
    <row r="14" spans="2:9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2812135.8094015708</v>
      </c>
    </row>
    <row r="15" spans="2:9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44994172.950425133</v>
      </c>
    </row>
    <row r="16" spans="2:9" x14ac:dyDescent="0.3">
      <c r="C16" s="17"/>
      <c r="D16" s="17"/>
      <c r="G16" s="1"/>
    </row>
    <row r="17" spans="2:9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</row>
    <row r="18" spans="2:9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41">
        <f>-PV(D25,G5,0,H18)</f>
        <v>88182.977580953404</v>
      </c>
      <c r="H18" s="1">
        <f>H10</f>
        <v>1255000</v>
      </c>
      <c r="I18">
        <f>I10</f>
        <v>19</v>
      </c>
    </row>
    <row r="19" spans="2:9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41">
        <f t="shared" ref="G19:G20" si="0">-PV(D26,G6,0,H19)</f>
        <v>52875.838362628514</v>
      </c>
      <c r="H19" s="42">
        <f>-PV(G7,ROUNDDOWN((G5-2)/D19, 0),D17)</f>
        <v>646582.12238653714</v>
      </c>
      <c r="I19">
        <v>2</v>
      </c>
    </row>
    <row r="20" spans="2:9" x14ac:dyDescent="0.3">
      <c r="F20" s="35" t="s">
        <v>55</v>
      </c>
      <c r="G20" s="41">
        <f t="shared" si="0"/>
        <v>1209432.151021715</v>
      </c>
      <c r="H20" s="42">
        <f>-PV(D25,G5-2,D18)</f>
        <v>1209432.151021715</v>
      </c>
      <c r="I20">
        <v>2</v>
      </c>
    </row>
    <row r="21" spans="2:9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42">
        <f>PV(D25,I21,0,-H21)</f>
        <v>2835538.7523629493</v>
      </c>
      <c r="H21" s="1">
        <f>D13+D14</f>
        <v>3750000</v>
      </c>
      <c r="I21">
        <v>2</v>
      </c>
    </row>
    <row r="22" spans="2:9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9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1">
        <f>SUM(G18:G21)</f>
        <v>4186029.7193282461</v>
      </c>
    </row>
    <row r="25" spans="2:9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</row>
    <row r="26" spans="2:9" ht="15" thickTop="1" x14ac:dyDescent="0.3">
      <c r="B26" s="12" t="s">
        <v>32</v>
      </c>
      <c r="C26" s="39"/>
      <c r="D26" s="40">
        <f>IF($C$2=TRUE,'Global Parameters'!D24,C26)</f>
        <v>0.87</v>
      </c>
      <c r="F26" s="45">
        <f>365.25*G4</f>
        <v>4529100</v>
      </c>
      <c r="G26">
        <v>1</v>
      </c>
      <c r="H26">
        <f>D5</f>
        <v>18000</v>
      </c>
    </row>
    <row r="27" spans="2:9" x14ac:dyDescent="0.3">
      <c r="F27" s="45">
        <f t="shared" ref="F27:F44" si="1">ROUND(F26*(1-$D$6), 0)</f>
        <v>3759153</v>
      </c>
      <c r="G27">
        <v>2</v>
      </c>
      <c r="H27">
        <f>ROUND(H26*(1-$D$6), 0)</f>
        <v>14940</v>
      </c>
    </row>
    <row r="28" spans="2:9" x14ac:dyDescent="0.3">
      <c r="F28" s="45">
        <f t="shared" si="1"/>
        <v>3120097</v>
      </c>
      <c r="G28">
        <v>3</v>
      </c>
      <c r="H28">
        <f>ROUND(H27*(1-$D$6), 0)+D10</f>
        <v>14400</v>
      </c>
    </row>
    <row r="29" spans="2:9" x14ac:dyDescent="0.3">
      <c r="F29" s="45">
        <f t="shared" si="1"/>
        <v>2589681</v>
      </c>
      <c r="G29">
        <v>4</v>
      </c>
      <c r="H29">
        <f t="shared" ref="H29:H44" si="2">ROUND(H28*(1-$D$6-$D$7), 0)</f>
        <v>11808</v>
      </c>
    </row>
    <row r="30" spans="2:9" x14ac:dyDescent="0.3">
      <c r="F30" s="45">
        <f t="shared" si="1"/>
        <v>2149435</v>
      </c>
      <c r="G30">
        <v>5</v>
      </c>
      <c r="H30">
        <f t="shared" si="2"/>
        <v>9683</v>
      </c>
    </row>
    <row r="31" spans="2:9" x14ac:dyDescent="0.3">
      <c r="F31" s="45">
        <f t="shared" si="1"/>
        <v>1784031</v>
      </c>
      <c r="G31">
        <v>6</v>
      </c>
      <c r="H31">
        <f t="shared" si="2"/>
        <v>7940</v>
      </c>
    </row>
    <row r="32" spans="2:9" x14ac:dyDescent="0.3">
      <c r="F32" s="45">
        <f t="shared" si="1"/>
        <v>1480746</v>
      </c>
      <c r="G32">
        <v>7</v>
      </c>
      <c r="H32">
        <f t="shared" si="2"/>
        <v>6511</v>
      </c>
    </row>
    <row r="33" spans="6:8" x14ac:dyDescent="0.3">
      <c r="F33" s="45">
        <f t="shared" si="1"/>
        <v>1229019</v>
      </c>
      <c r="G33">
        <v>8</v>
      </c>
      <c r="H33">
        <f t="shared" si="2"/>
        <v>5339</v>
      </c>
    </row>
    <row r="34" spans="6:8" x14ac:dyDescent="0.3">
      <c r="F34" s="45">
        <f t="shared" si="1"/>
        <v>1020086</v>
      </c>
      <c r="G34">
        <v>9</v>
      </c>
      <c r="H34">
        <f t="shared" si="2"/>
        <v>4378</v>
      </c>
    </row>
    <row r="35" spans="6:8" x14ac:dyDescent="0.3">
      <c r="F35" s="45">
        <f t="shared" si="1"/>
        <v>846671</v>
      </c>
      <c r="G35">
        <v>10</v>
      </c>
      <c r="H35">
        <f t="shared" si="2"/>
        <v>3590</v>
      </c>
    </row>
    <row r="36" spans="6:8" x14ac:dyDescent="0.3">
      <c r="F36" s="45">
        <f t="shared" si="1"/>
        <v>702737</v>
      </c>
      <c r="G36">
        <v>11</v>
      </c>
      <c r="H36">
        <f t="shared" si="2"/>
        <v>2944</v>
      </c>
    </row>
    <row r="37" spans="6:8" x14ac:dyDescent="0.3">
      <c r="F37" s="45">
        <f t="shared" si="1"/>
        <v>583272</v>
      </c>
      <c r="G37">
        <v>12</v>
      </c>
      <c r="H37">
        <f t="shared" si="2"/>
        <v>2414</v>
      </c>
    </row>
    <row r="38" spans="6:8" x14ac:dyDescent="0.3">
      <c r="F38" s="45">
        <f t="shared" si="1"/>
        <v>484116</v>
      </c>
      <c r="G38">
        <v>13</v>
      </c>
      <c r="H38">
        <f t="shared" si="2"/>
        <v>1979</v>
      </c>
    </row>
    <row r="39" spans="6:8" x14ac:dyDescent="0.3">
      <c r="F39" s="45">
        <f t="shared" si="1"/>
        <v>401816</v>
      </c>
      <c r="G39">
        <v>14</v>
      </c>
      <c r="H39">
        <f t="shared" si="2"/>
        <v>1623</v>
      </c>
    </row>
    <row r="40" spans="6:8" x14ac:dyDescent="0.3">
      <c r="F40" s="45">
        <f t="shared" si="1"/>
        <v>333507</v>
      </c>
      <c r="G40">
        <v>15</v>
      </c>
      <c r="H40">
        <f t="shared" si="2"/>
        <v>1331</v>
      </c>
    </row>
    <row r="41" spans="6:8" x14ac:dyDescent="0.3">
      <c r="F41" s="45">
        <f t="shared" si="1"/>
        <v>276811</v>
      </c>
      <c r="G41">
        <v>16</v>
      </c>
      <c r="H41">
        <f t="shared" si="2"/>
        <v>1091</v>
      </c>
    </row>
    <row r="42" spans="6:8" x14ac:dyDescent="0.3">
      <c r="F42" s="45">
        <f t="shared" si="1"/>
        <v>229753</v>
      </c>
      <c r="G42">
        <v>17</v>
      </c>
      <c r="H42">
        <f t="shared" si="2"/>
        <v>895</v>
      </c>
    </row>
    <row r="43" spans="6:8" x14ac:dyDescent="0.3">
      <c r="F43" s="45">
        <f t="shared" si="1"/>
        <v>190695</v>
      </c>
      <c r="G43">
        <v>18</v>
      </c>
      <c r="H43">
        <f t="shared" si="2"/>
        <v>734</v>
      </c>
    </row>
    <row r="44" spans="6:8" x14ac:dyDescent="0.3">
      <c r="F44" s="45">
        <f t="shared" si="1"/>
        <v>158277</v>
      </c>
      <c r="G44">
        <v>19</v>
      </c>
      <c r="H44">
        <f t="shared" si="2"/>
        <v>602</v>
      </c>
    </row>
    <row r="45" spans="6:8" x14ac:dyDescent="0.3">
      <c r="F45" s="47">
        <f t="shared" ref="F45" si="3">ROUND(F44*(1-$D$6), 0)</f>
        <v>131370</v>
      </c>
      <c r="G45" s="48">
        <v>20</v>
      </c>
      <c r="H45" s="48">
        <f t="shared" ref="H45" si="4">ROUND(H44*(1-$D$6-$D$7), 0)</f>
        <v>494</v>
      </c>
    </row>
    <row r="47" spans="6:8" x14ac:dyDescent="0.3">
      <c r="F47" t="s">
        <v>58</v>
      </c>
      <c r="G47" s="51" cm="1">
        <f t="array" ref="G47">NPV(D25,(D23-D22-D21)*F26:F44)</f>
        <v>296616436.11235553</v>
      </c>
    </row>
    <row r="48" spans="6:8" x14ac:dyDescent="0.3">
      <c r="G48" s="1"/>
    </row>
    <row r="49" spans="6:7" ht="16.2" x14ac:dyDescent="0.45">
      <c r="F49" t="s">
        <v>60</v>
      </c>
      <c r="G49" s="50">
        <f>G47-G23-G15</f>
        <v>247436233.44260216</v>
      </c>
    </row>
  </sheetData>
  <phoneticPr fontId="5" type="noConversion"/>
  <dataValidations disablePrompts="1" count="1">
    <dataValidation type="list" allowBlank="1" showInputMessage="1" showErrorMessage="1" sqref="C2" xr:uid="{782854D5-7BAA-4DC9-A5B7-5D57F19E0753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6986-A189-45E5-AF17-35F4D1C49B2C}">
  <dimension ref="B2:N56"/>
  <sheetViews>
    <sheetView topLeftCell="C26" zoomScale="85" zoomScaleNormal="85" workbookViewId="0">
      <selection activeCell="L28" sqref="L28"/>
    </sheetView>
  </sheetViews>
  <sheetFormatPr defaultRowHeight="14.4" x14ac:dyDescent="0.3"/>
  <cols>
    <col min="2" max="2" width="33.77734375" bestFit="1" customWidth="1"/>
    <col min="3" max="3" width="14.33203125" bestFit="1" customWidth="1"/>
    <col min="4" max="4" width="18.109375" bestFit="1" customWidth="1"/>
    <col min="6" max="6" width="42.77734375" bestFit="1" customWidth="1"/>
    <col min="7" max="7" width="15.77734375" bestFit="1" customWidth="1"/>
    <col min="8" max="8" width="14.33203125" bestFit="1" customWidth="1"/>
    <col min="11" max="11" width="42.77734375" bestFit="1" customWidth="1"/>
    <col min="12" max="12" width="17.33203125" bestFit="1" customWidth="1"/>
    <col min="13" max="13" width="14.33203125" bestFit="1" customWidth="1"/>
  </cols>
  <sheetData>
    <row r="2" spans="2:14" x14ac:dyDescent="0.3">
      <c r="B2" s="35" t="s">
        <v>28</v>
      </c>
      <c r="C2" s="34" t="b">
        <v>1</v>
      </c>
      <c r="F2" s="58" t="s">
        <v>67</v>
      </c>
      <c r="G2" s="58"/>
      <c r="H2" s="58"/>
      <c r="K2" s="58" t="s">
        <v>72</v>
      </c>
      <c r="L2" s="58"/>
      <c r="M2" s="58"/>
    </row>
    <row r="4" spans="2:14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65</v>
      </c>
      <c r="G4">
        <f>D5</f>
        <v>18000</v>
      </c>
      <c r="K4" s="35" t="s">
        <v>71</v>
      </c>
      <c r="L4">
        <f>G4+2000</f>
        <v>20000</v>
      </c>
    </row>
    <row r="5" spans="2:14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ROUNDDOWN(LOG(D9/(G4+D10))/LOG(1-$D$6-$D$7),0)+1</f>
        <v>19</v>
      </c>
      <c r="K5" s="35" t="s">
        <v>30</v>
      </c>
      <c r="L5">
        <f>ROUNDDOWN(LOG(C9/(L4+D10))/LOG(1-$D$6-2*$D$7),0)+1</f>
        <v>18</v>
      </c>
    </row>
    <row r="6" spans="2:14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35" t="s">
        <v>33</v>
      </c>
      <c r="L6">
        <f>ROUNDUP((L5+D11)/D19,0)</f>
        <v>4</v>
      </c>
    </row>
    <row r="7" spans="2:14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35" t="s">
        <v>40</v>
      </c>
      <c r="L7" s="2">
        <f>(1+D25)^D19-1</f>
        <v>1.6600198804687483</v>
      </c>
    </row>
    <row r="8" spans="2:14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</row>
    <row r="9" spans="2:14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  <c r="K9" t="s">
        <v>53</v>
      </c>
      <c r="L9" t="s">
        <v>36</v>
      </c>
      <c r="M9" t="s">
        <v>38</v>
      </c>
      <c r="N9" t="s">
        <v>37</v>
      </c>
    </row>
    <row r="10" spans="2:14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88182.977580953404</v>
      </c>
      <c r="H10" s="41">
        <f>D15*(D13+D14+D17*G6+D18*G5)</f>
        <v>1255000</v>
      </c>
      <c r="I10">
        <f>G5</f>
        <v>19</v>
      </c>
      <c r="K10" s="35" t="s">
        <v>39</v>
      </c>
      <c r="L10" s="1">
        <f>-PV(D25,L5,0,M10)</f>
        <v>99794.321840118777</v>
      </c>
      <c r="M10" s="41">
        <f>D15*(D13+D14+D17*L6+D18*L5)</f>
        <v>1235000</v>
      </c>
      <c r="N10">
        <f>L5</f>
        <v>18</v>
      </c>
    </row>
    <row r="11" spans="2:14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51">
        <f>-PV(D25,_xlfn.CEILING.MATH(D11,D19)-D11, 0,-PV(G7,G6 - 1,D17)+D17)</f>
        <v>1484306.5928627991</v>
      </c>
      <c r="K11" s="35" t="s">
        <v>41</v>
      </c>
      <c r="L11" s="51">
        <f>-PV(D25,_xlfn.CEILING.MATH(D11,D19)-D11, 0,-PV(G7,G6 - 1,D17)+D17)</f>
        <v>1484306.5928627991</v>
      </c>
    </row>
    <row r="12" spans="2:14" x14ac:dyDescent="0.3">
      <c r="C12" s="17"/>
      <c r="D12" s="17"/>
      <c r="F12" s="35" t="s">
        <v>42</v>
      </c>
      <c r="G12" s="1">
        <f>-PV(D25,G5,D18)</f>
        <v>1239646.2389578184</v>
      </c>
      <c r="K12" s="35" t="s">
        <v>42</v>
      </c>
      <c r="L12" s="51">
        <f>-PV(D25,L5,D18)</f>
        <v>1225593.1748014912</v>
      </c>
    </row>
    <row r="13" spans="2:14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  <c r="L13" s="1"/>
    </row>
    <row r="14" spans="2:14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2812135.8094015708</v>
      </c>
      <c r="K14" s="35" t="s">
        <v>50</v>
      </c>
      <c r="L14" s="1">
        <f>SUM(L10:L12)</f>
        <v>2809694.0895044091</v>
      </c>
    </row>
    <row r="15" spans="2:14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44994172.950425133</v>
      </c>
      <c r="K15" s="35" t="s">
        <v>49</v>
      </c>
      <c r="L15" s="1">
        <f>D8*L14</f>
        <v>44955105.432070546</v>
      </c>
    </row>
    <row r="16" spans="2:14" x14ac:dyDescent="0.3">
      <c r="C16" s="17"/>
      <c r="D16" s="17"/>
      <c r="G16" s="1"/>
      <c r="L16" s="1"/>
    </row>
    <row r="17" spans="2:14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  <c r="K17" t="s">
        <v>51</v>
      </c>
      <c r="L17" s="1" t="s">
        <v>36</v>
      </c>
      <c r="M17" t="s">
        <v>38</v>
      </c>
      <c r="N17" t="s">
        <v>37</v>
      </c>
    </row>
    <row r="18" spans="2:14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51">
        <f>-PV(D25,G5,0,H18)</f>
        <v>88182.977580953404</v>
      </c>
      <c r="H18" s="41">
        <f>H10</f>
        <v>1255000</v>
      </c>
      <c r="I18">
        <f>I10</f>
        <v>19</v>
      </c>
      <c r="K18" s="35" t="s">
        <v>52</v>
      </c>
      <c r="L18" s="1">
        <f>-PV(D25,L5,0,M18)</f>
        <v>99794.321840118777</v>
      </c>
      <c r="M18" s="41">
        <f>M10</f>
        <v>1235000</v>
      </c>
      <c r="N18">
        <f>N10</f>
        <v>18</v>
      </c>
    </row>
    <row r="19" spans="2:14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51">
        <f>-PV(G7,ROUNDDOWN(G5/D19, 0),D17)</f>
        <v>646582.12238653714</v>
      </c>
      <c r="K19" s="35" t="s">
        <v>54</v>
      </c>
      <c r="L19" s="1">
        <f>-PV(L7,ROUNDDOWN(L5/D19, 0),D17)</f>
        <v>646582.12238653714</v>
      </c>
    </row>
    <row r="20" spans="2:14" x14ac:dyDescent="0.3">
      <c r="F20" s="35" t="s">
        <v>55</v>
      </c>
      <c r="G20" s="1">
        <f>-PV(D25,G5,D18)</f>
        <v>1239646.2389578184</v>
      </c>
      <c r="K20" s="35" t="s">
        <v>55</v>
      </c>
      <c r="L20" s="1">
        <f>-PV(D25,L5,D18)</f>
        <v>1225593.1748014912</v>
      </c>
    </row>
    <row r="21" spans="2:14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  <c r="K21" s="35" t="s">
        <v>62</v>
      </c>
      <c r="L21" s="1">
        <f>D13+D14</f>
        <v>3750000</v>
      </c>
    </row>
    <row r="22" spans="2:14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14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5724411.3389253095</v>
      </c>
      <c r="K23" s="35" t="s">
        <v>56</v>
      </c>
      <c r="L23" s="42">
        <f>SUM(L18:L21)</f>
        <v>5721969.6190281473</v>
      </c>
    </row>
    <row r="25" spans="2:14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  <c r="K25" t="s">
        <v>68</v>
      </c>
      <c r="L25" s="1" t="s">
        <v>36</v>
      </c>
      <c r="M25" t="s">
        <v>38</v>
      </c>
      <c r="N25" t="s">
        <v>37</v>
      </c>
    </row>
    <row r="26" spans="2:14" ht="15" thickTop="1" x14ac:dyDescent="0.3">
      <c r="B26" s="12" t="s">
        <v>32</v>
      </c>
      <c r="C26" s="39"/>
      <c r="D26" s="40">
        <f>IF($C$2=TRUE,'Global Parameters'!D24,C26)</f>
        <v>0.87</v>
      </c>
      <c r="F26" s="45">
        <f>365.25*G4</f>
        <v>6574500</v>
      </c>
      <c r="G26">
        <v>1</v>
      </c>
      <c r="H26">
        <f>D5+D10</f>
        <v>20000</v>
      </c>
      <c r="K26" s="35" t="s">
        <v>52</v>
      </c>
      <c r="L26" s="1">
        <f>-PV(D25,L5,0,M26)</f>
        <v>99794.321840118777</v>
      </c>
      <c r="M26" s="41">
        <f>M18</f>
        <v>1235000</v>
      </c>
      <c r="N26">
        <f>N18</f>
        <v>18</v>
      </c>
    </row>
    <row r="27" spans="2:14" x14ac:dyDescent="0.3">
      <c r="F27" s="45">
        <f>ROUND(F26*(1-$D$6), 0)</f>
        <v>5456835</v>
      </c>
      <c r="G27">
        <v>2</v>
      </c>
      <c r="H27">
        <f>ROUND(H26*(1-$D$6-$D$7), 0)</f>
        <v>16400</v>
      </c>
      <c r="K27" s="35" t="s">
        <v>54</v>
      </c>
      <c r="L27" s="51">
        <f>-PV(L7,ROUNDDOWN(L5/D19, 0),D17)</f>
        <v>646582.12238653714</v>
      </c>
    </row>
    <row r="28" spans="2:14" x14ac:dyDescent="0.3">
      <c r="B28" s="35" t="s">
        <v>66</v>
      </c>
      <c r="C28">
        <v>0</v>
      </c>
      <c r="D28" t="s">
        <v>46</v>
      </c>
      <c r="F28" s="45">
        <f t="shared" ref="F28:F45" si="0">ROUND(F27*(1-$D$6), 0)</f>
        <v>4529173</v>
      </c>
      <c r="G28">
        <v>3</v>
      </c>
      <c r="H28">
        <f t="shared" ref="H28:H43" si="1">ROUND(H27*(1-$D$6-$D$7), 0)</f>
        <v>13448</v>
      </c>
      <c r="K28" s="35" t="s">
        <v>55</v>
      </c>
      <c r="L28" s="1">
        <f>-PV(D25,L5,D18)</f>
        <v>1225593.1748014912</v>
      </c>
    </row>
    <row r="29" spans="2:14" x14ac:dyDescent="0.3">
      <c r="F29" s="45">
        <f t="shared" si="0"/>
        <v>3759214</v>
      </c>
      <c r="G29">
        <v>4</v>
      </c>
      <c r="H29">
        <f t="shared" si="1"/>
        <v>11027</v>
      </c>
      <c r="K29" s="35" t="s">
        <v>62</v>
      </c>
      <c r="L29" s="1">
        <f>D14+D13</f>
        <v>3750000</v>
      </c>
    </row>
    <row r="30" spans="2:14" x14ac:dyDescent="0.3">
      <c r="F30" s="45">
        <f t="shared" si="0"/>
        <v>3120148</v>
      </c>
      <c r="G30">
        <v>5</v>
      </c>
      <c r="H30">
        <f t="shared" si="1"/>
        <v>9042</v>
      </c>
    </row>
    <row r="31" spans="2:14" x14ac:dyDescent="0.3">
      <c r="F31" s="45">
        <f t="shared" si="0"/>
        <v>2589723</v>
      </c>
      <c r="G31">
        <v>6</v>
      </c>
      <c r="H31">
        <f t="shared" si="1"/>
        <v>7414</v>
      </c>
      <c r="K31" s="35" t="s">
        <v>69</v>
      </c>
      <c r="L31" s="1">
        <f>SUM(L26:L29)</f>
        <v>5721969.6190281473</v>
      </c>
    </row>
    <row r="32" spans="2:14" x14ac:dyDescent="0.3">
      <c r="F32" s="45">
        <f t="shared" si="0"/>
        <v>2149470</v>
      </c>
      <c r="G32">
        <v>7</v>
      </c>
      <c r="H32">
        <f t="shared" si="1"/>
        <v>6079</v>
      </c>
    </row>
    <row r="33" spans="6:13" ht="15" thickBot="1" x14ac:dyDescent="0.35">
      <c r="F33" s="45">
        <f t="shared" si="0"/>
        <v>1784060</v>
      </c>
      <c r="G33">
        <v>8</v>
      </c>
      <c r="H33">
        <f t="shared" si="1"/>
        <v>4985</v>
      </c>
      <c r="K33" s="13" t="s">
        <v>45</v>
      </c>
      <c r="L33" s="46" t="s">
        <v>46</v>
      </c>
      <c r="M33" s="46" t="s">
        <v>57</v>
      </c>
    </row>
    <row r="34" spans="6:13" ht="15" thickTop="1" x14ac:dyDescent="0.3">
      <c r="F34" s="45">
        <f t="shared" si="0"/>
        <v>1480770</v>
      </c>
      <c r="G34">
        <v>9</v>
      </c>
      <c r="H34">
        <f t="shared" si="1"/>
        <v>4088</v>
      </c>
      <c r="K34" s="45">
        <f>365.25*M34</f>
        <v>8035500</v>
      </c>
      <c r="L34">
        <v>1</v>
      </c>
      <c r="M34">
        <f>L4+D10</f>
        <v>22000</v>
      </c>
    </row>
    <row r="35" spans="6:13" x14ac:dyDescent="0.3">
      <c r="F35" s="45">
        <f t="shared" si="0"/>
        <v>1229039</v>
      </c>
      <c r="G35">
        <v>10</v>
      </c>
      <c r="H35">
        <f t="shared" si="1"/>
        <v>3352</v>
      </c>
      <c r="K35" s="45">
        <f t="shared" ref="K35:K52" si="2">365.25*M35</f>
        <v>6508755</v>
      </c>
      <c r="L35">
        <v>2</v>
      </c>
      <c r="M35">
        <f>ROUND(M34*(1-$D$6-2*$D$7), 0)</f>
        <v>17820</v>
      </c>
    </row>
    <row r="36" spans="6:13" x14ac:dyDescent="0.3">
      <c r="F36" s="45">
        <f t="shared" si="0"/>
        <v>1020102</v>
      </c>
      <c r="G36">
        <v>11</v>
      </c>
      <c r="H36">
        <f t="shared" si="1"/>
        <v>2749</v>
      </c>
      <c r="K36" s="45">
        <f t="shared" si="2"/>
        <v>5272018.5</v>
      </c>
      <c r="L36">
        <v>3</v>
      </c>
      <c r="M36">
        <f t="shared" ref="M36:M52" si="3">ROUND(M35*(1-$D$6-2*$D$7), 0)</f>
        <v>14434</v>
      </c>
    </row>
    <row r="37" spans="6:13" x14ac:dyDescent="0.3">
      <c r="F37" s="45">
        <f t="shared" si="0"/>
        <v>846685</v>
      </c>
      <c r="G37">
        <v>12</v>
      </c>
      <c r="H37">
        <f t="shared" si="1"/>
        <v>2254</v>
      </c>
      <c r="K37" s="45">
        <f t="shared" si="2"/>
        <v>4270503</v>
      </c>
      <c r="L37">
        <v>4</v>
      </c>
      <c r="M37">
        <f t="shared" si="3"/>
        <v>11692</v>
      </c>
    </row>
    <row r="38" spans="6:13" x14ac:dyDescent="0.3">
      <c r="F38" s="45">
        <f t="shared" si="0"/>
        <v>702749</v>
      </c>
      <c r="G38">
        <v>13</v>
      </c>
      <c r="H38">
        <f t="shared" si="1"/>
        <v>1848</v>
      </c>
      <c r="K38" s="45">
        <f t="shared" si="2"/>
        <v>3459282.75</v>
      </c>
      <c r="L38">
        <v>5</v>
      </c>
      <c r="M38">
        <f t="shared" si="3"/>
        <v>9471</v>
      </c>
    </row>
    <row r="39" spans="6:13" x14ac:dyDescent="0.3">
      <c r="F39" s="45">
        <f t="shared" si="0"/>
        <v>583282</v>
      </c>
      <c r="G39">
        <v>14</v>
      </c>
      <c r="H39">
        <f t="shared" si="1"/>
        <v>1515</v>
      </c>
      <c r="K39" s="45">
        <f t="shared" si="2"/>
        <v>2802198</v>
      </c>
      <c r="L39">
        <v>6</v>
      </c>
      <c r="M39">
        <f t="shared" si="3"/>
        <v>7672</v>
      </c>
    </row>
    <row r="40" spans="6:13" x14ac:dyDescent="0.3">
      <c r="F40" s="45">
        <f t="shared" si="0"/>
        <v>484124</v>
      </c>
      <c r="G40">
        <v>15</v>
      </c>
      <c r="H40">
        <f t="shared" si="1"/>
        <v>1242</v>
      </c>
      <c r="K40" s="45">
        <f t="shared" si="2"/>
        <v>2269663.5</v>
      </c>
      <c r="L40">
        <v>7</v>
      </c>
      <c r="M40">
        <f t="shared" si="3"/>
        <v>6214</v>
      </c>
    </row>
    <row r="41" spans="6:13" x14ac:dyDescent="0.3">
      <c r="F41" s="45">
        <f t="shared" si="0"/>
        <v>401823</v>
      </c>
      <c r="G41">
        <v>16</v>
      </c>
      <c r="H41">
        <f t="shared" si="1"/>
        <v>1018</v>
      </c>
      <c r="K41" s="45">
        <f t="shared" si="2"/>
        <v>1838303.25</v>
      </c>
      <c r="L41">
        <v>8</v>
      </c>
      <c r="M41">
        <f t="shared" si="3"/>
        <v>5033</v>
      </c>
    </row>
    <row r="42" spans="6:13" x14ac:dyDescent="0.3">
      <c r="F42" s="45">
        <f t="shared" si="0"/>
        <v>333513</v>
      </c>
      <c r="G42">
        <v>17</v>
      </c>
      <c r="H42">
        <f t="shared" si="1"/>
        <v>835</v>
      </c>
      <c r="K42" s="45">
        <f t="shared" si="2"/>
        <v>1489124.25</v>
      </c>
      <c r="L42">
        <v>9</v>
      </c>
      <c r="M42">
        <f t="shared" si="3"/>
        <v>4077</v>
      </c>
    </row>
    <row r="43" spans="6:13" x14ac:dyDescent="0.3">
      <c r="F43" s="45">
        <f t="shared" si="0"/>
        <v>276816</v>
      </c>
      <c r="G43">
        <v>18</v>
      </c>
      <c r="H43">
        <f t="shared" si="1"/>
        <v>685</v>
      </c>
      <c r="K43" s="45">
        <f t="shared" si="2"/>
        <v>1206055.5</v>
      </c>
      <c r="L43">
        <v>10</v>
      </c>
      <c r="M43">
        <f t="shared" si="3"/>
        <v>3302</v>
      </c>
    </row>
    <row r="44" spans="6:13" x14ac:dyDescent="0.3">
      <c r="F44" s="45">
        <f t="shared" si="0"/>
        <v>229757</v>
      </c>
      <c r="G44">
        <v>19</v>
      </c>
      <c r="H44">
        <f>ROUND(H43*(1-$D$6-$D$7), 0)</f>
        <v>562</v>
      </c>
      <c r="K44" s="45">
        <f t="shared" si="2"/>
        <v>977043.75</v>
      </c>
      <c r="L44">
        <v>11</v>
      </c>
      <c r="M44">
        <f t="shared" si="3"/>
        <v>2675</v>
      </c>
    </row>
    <row r="45" spans="6:13" x14ac:dyDescent="0.3">
      <c r="F45" s="47">
        <f t="shared" si="0"/>
        <v>190698</v>
      </c>
      <c r="G45" s="48">
        <v>20</v>
      </c>
      <c r="H45" s="48">
        <f>ROUND(H44*(1-$D$6-$D$7), 0)</f>
        <v>461</v>
      </c>
      <c r="K45" s="45">
        <f t="shared" si="2"/>
        <v>791496.75</v>
      </c>
      <c r="L45">
        <v>12</v>
      </c>
      <c r="M45">
        <f t="shared" si="3"/>
        <v>2167</v>
      </c>
    </row>
    <row r="46" spans="6:13" x14ac:dyDescent="0.3">
      <c r="K46" s="45">
        <f t="shared" si="2"/>
        <v>641013.75</v>
      </c>
      <c r="L46">
        <v>13</v>
      </c>
      <c r="M46">
        <f t="shared" si="3"/>
        <v>1755</v>
      </c>
    </row>
    <row r="47" spans="6:13" x14ac:dyDescent="0.3">
      <c r="F47" s="35" t="s">
        <v>58</v>
      </c>
      <c r="G47" s="42" cm="1">
        <f t="array" ref="G47">NPV(D25,(D23-D22-D21)*F26:F44)</f>
        <v>430572260.94113809</v>
      </c>
      <c r="K47" s="45">
        <f t="shared" si="2"/>
        <v>519385.5</v>
      </c>
      <c r="L47">
        <v>14</v>
      </c>
      <c r="M47">
        <f t="shared" si="3"/>
        <v>1422</v>
      </c>
    </row>
    <row r="48" spans="6:13" x14ac:dyDescent="0.3">
      <c r="K48" s="45">
        <f t="shared" si="2"/>
        <v>420768</v>
      </c>
      <c r="L48">
        <v>15</v>
      </c>
      <c r="M48">
        <f t="shared" si="3"/>
        <v>1152</v>
      </c>
    </row>
    <row r="49" spans="6:13" x14ac:dyDescent="0.3">
      <c r="F49" s="35" t="s">
        <v>60</v>
      </c>
      <c r="G49" s="44">
        <f>G47-G23-G15</f>
        <v>379853676.65178764</v>
      </c>
      <c r="K49" s="45">
        <f t="shared" si="2"/>
        <v>340778.25</v>
      </c>
      <c r="L49">
        <v>16</v>
      </c>
      <c r="M49">
        <f t="shared" si="3"/>
        <v>933</v>
      </c>
    </row>
    <row r="50" spans="6:13" x14ac:dyDescent="0.3">
      <c r="K50" s="45">
        <f t="shared" si="2"/>
        <v>276129</v>
      </c>
      <c r="L50">
        <v>17</v>
      </c>
      <c r="M50">
        <f t="shared" si="3"/>
        <v>756</v>
      </c>
    </row>
    <row r="51" spans="6:13" x14ac:dyDescent="0.3">
      <c r="K51" s="45">
        <f t="shared" si="2"/>
        <v>223533</v>
      </c>
      <c r="L51">
        <v>18</v>
      </c>
      <c r="M51">
        <f t="shared" si="3"/>
        <v>612</v>
      </c>
    </row>
    <row r="52" spans="6:13" x14ac:dyDescent="0.3">
      <c r="K52" s="45">
        <f t="shared" si="2"/>
        <v>181164</v>
      </c>
      <c r="L52" s="48">
        <v>19</v>
      </c>
      <c r="M52" s="48">
        <f t="shared" si="3"/>
        <v>496</v>
      </c>
    </row>
    <row r="54" spans="6:13" x14ac:dyDescent="0.3">
      <c r="K54" s="35" t="s">
        <v>58</v>
      </c>
      <c r="L54" s="51" cm="1">
        <f t="array" ref="L54">NPV(D25,(D23-D22-D21)*K34:K51)</f>
        <v>495419325.25340652</v>
      </c>
    </row>
    <row r="55" spans="6:13" x14ac:dyDescent="0.3">
      <c r="L55" s="1"/>
    </row>
    <row r="56" spans="6:13" x14ac:dyDescent="0.3">
      <c r="K56" s="35" t="s">
        <v>60</v>
      </c>
      <c r="L56" s="52">
        <f>L54-L31-L23-L15</f>
        <v>439020280.58327967</v>
      </c>
    </row>
  </sheetData>
  <mergeCells count="2">
    <mergeCell ref="F2:H2"/>
    <mergeCell ref="K2:M2"/>
  </mergeCells>
  <dataValidations disablePrompts="1" count="1">
    <dataValidation type="list" allowBlank="1" showInputMessage="1" showErrorMessage="1" sqref="C2" xr:uid="{A161D1F8-AA47-4F8B-9816-87273CAC3CA8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BA30-6A4F-4EB0-BD3A-8439AA55434B}">
  <dimension ref="B2:N57"/>
  <sheetViews>
    <sheetView tabSelected="1" topLeftCell="B25" zoomScale="85" zoomScaleNormal="85" workbookViewId="0">
      <selection activeCell="L57" sqref="L57"/>
    </sheetView>
  </sheetViews>
  <sheetFormatPr defaultRowHeight="14.4" x14ac:dyDescent="0.3"/>
  <cols>
    <col min="2" max="2" width="33.77734375" bestFit="1" customWidth="1"/>
    <col min="3" max="3" width="14.33203125" bestFit="1" customWidth="1"/>
    <col min="4" max="4" width="18.109375" bestFit="1" customWidth="1"/>
    <col min="6" max="6" width="42.77734375" bestFit="1" customWidth="1"/>
    <col min="7" max="7" width="15.77734375" bestFit="1" customWidth="1"/>
    <col min="8" max="8" width="14.33203125" bestFit="1" customWidth="1"/>
    <col min="11" max="11" width="42.77734375" bestFit="1" customWidth="1"/>
    <col min="12" max="12" width="17.33203125" bestFit="1" customWidth="1"/>
    <col min="13" max="13" width="14.33203125" bestFit="1" customWidth="1"/>
  </cols>
  <sheetData>
    <row r="2" spans="2:14" x14ac:dyDescent="0.3">
      <c r="B2" s="35" t="s">
        <v>28</v>
      </c>
      <c r="C2" s="34" t="b">
        <v>1</v>
      </c>
      <c r="F2" s="59" t="s">
        <v>67</v>
      </c>
      <c r="G2" s="59"/>
      <c r="H2" s="59"/>
      <c r="K2" s="59" t="s">
        <v>72</v>
      </c>
      <c r="L2" s="59"/>
      <c r="M2" s="59"/>
    </row>
    <row r="4" spans="2:14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65</v>
      </c>
      <c r="G4">
        <f>D5</f>
        <v>18000</v>
      </c>
      <c r="K4" s="35" t="s">
        <v>82</v>
      </c>
      <c r="L4">
        <f>(D5+D10)*(1-D6-D7)</f>
        <v>16400</v>
      </c>
    </row>
    <row r="5" spans="2:14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ROUNDDOWN(LOG(D9/(G4+D10))/LOG(1-$D$6-$D$7),0)+1</f>
        <v>19</v>
      </c>
      <c r="K5" s="35" t="s">
        <v>30</v>
      </c>
      <c r="L5">
        <f>ROUNDDOWN(LOG(C9/(L4+D10))/LOG(1-$D$6-2*$D$7),0)+2</f>
        <v>19</v>
      </c>
    </row>
    <row r="6" spans="2:14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35" t="s">
        <v>33</v>
      </c>
      <c r="L6">
        <f>ROUNDUP((L5+D11)/D19,0)</f>
        <v>4</v>
      </c>
    </row>
    <row r="7" spans="2:14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35" t="s">
        <v>40</v>
      </c>
      <c r="L7" s="2">
        <f>(1+D25)^D19-1</f>
        <v>1.6600198804687483</v>
      </c>
    </row>
    <row r="8" spans="2:14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</row>
    <row r="9" spans="2:14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  <c r="K9" t="s">
        <v>53</v>
      </c>
      <c r="L9" t="s">
        <v>36</v>
      </c>
      <c r="M9" t="s">
        <v>38</v>
      </c>
      <c r="N9" t="s">
        <v>37</v>
      </c>
    </row>
    <row r="10" spans="2:14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88182.977580953404</v>
      </c>
      <c r="H10" s="41">
        <f>D15*(D13+D14+D17*G6+D18*G5)</f>
        <v>1255000</v>
      </c>
      <c r="I10">
        <f>G5</f>
        <v>19</v>
      </c>
      <c r="K10" s="35" t="s">
        <v>39</v>
      </c>
      <c r="L10" s="1">
        <f>-PV(D25,L5,0,M10)</f>
        <v>88182.977580953404</v>
      </c>
      <c r="M10" s="41">
        <f>D15*(D13+D14+D17*L6+D18*L5)</f>
        <v>1255000</v>
      </c>
      <c r="N10">
        <f>L5</f>
        <v>19</v>
      </c>
    </row>
    <row r="11" spans="2:14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51">
        <f>-PV(D25,_xlfn.CEILING.MATH(D11,D19)-D11, 0,-PV(G7,G6 - 1,D17)+D17)</f>
        <v>1484306.5928627991</v>
      </c>
      <c r="K11" s="35" t="s">
        <v>41</v>
      </c>
      <c r="L11" s="51">
        <f>-PV(D25,_xlfn.CEILING.MATH(D11,D19)-D11, 0,-PV(G7,G6 - 1,D17)+D17)</f>
        <v>1484306.5928627991</v>
      </c>
    </row>
    <row r="12" spans="2:14" x14ac:dyDescent="0.3">
      <c r="C12" s="17"/>
      <c r="D12" s="17"/>
      <c r="F12" s="35" t="s">
        <v>42</v>
      </c>
      <c r="G12" s="1">
        <f>-PV(D25,G5,D18)</f>
        <v>1239646.2389578184</v>
      </c>
      <c r="K12" s="35" t="s">
        <v>42</v>
      </c>
      <c r="L12" s="51">
        <f>-PV(D25,L5,D18)</f>
        <v>1239646.2389578184</v>
      </c>
    </row>
    <row r="13" spans="2:14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  <c r="L13" s="1"/>
    </row>
    <row r="14" spans="2:14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2812135.8094015708</v>
      </c>
      <c r="K14" s="35" t="s">
        <v>50</v>
      </c>
      <c r="L14" s="1">
        <f>SUM(L10:L12)</f>
        <v>2812135.8094015708</v>
      </c>
    </row>
    <row r="15" spans="2:14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44994172.950425133</v>
      </c>
      <c r="K15" s="35" t="s">
        <v>49</v>
      </c>
      <c r="L15" s="1">
        <f>D8*L14</f>
        <v>44994172.950425133</v>
      </c>
    </row>
    <row r="16" spans="2:14" x14ac:dyDescent="0.3">
      <c r="C16" s="17"/>
      <c r="D16" s="17"/>
      <c r="G16" s="1"/>
      <c r="L16" s="1"/>
    </row>
    <row r="17" spans="2:14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  <c r="K17" t="s">
        <v>51</v>
      </c>
      <c r="L17" s="1" t="s">
        <v>36</v>
      </c>
      <c r="M17" t="s">
        <v>38</v>
      </c>
      <c r="N17" t="s">
        <v>37</v>
      </c>
    </row>
    <row r="18" spans="2:14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51">
        <f>-PV(D25,G5,0,H18)</f>
        <v>88182.977580953404</v>
      </c>
      <c r="H18" s="41">
        <f>H10</f>
        <v>1255000</v>
      </c>
      <c r="I18">
        <f>I10</f>
        <v>19</v>
      </c>
      <c r="K18" s="35" t="s">
        <v>52</v>
      </c>
      <c r="L18" s="1">
        <f>-PV(D25,L5,0,M18)</f>
        <v>88182.977580953404</v>
      </c>
      <c r="M18" s="41">
        <f>M10</f>
        <v>1255000</v>
      </c>
      <c r="N18">
        <f>N10</f>
        <v>19</v>
      </c>
    </row>
    <row r="19" spans="2:14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51">
        <f>-PV(G7,ROUNDDOWN(G5/D19, 0),D17)</f>
        <v>646582.12238653714</v>
      </c>
      <c r="K19" s="35" t="s">
        <v>54</v>
      </c>
      <c r="L19" s="1">
        <f>-PV(L7,ROUNDDOWN(L5/D19, 0),D17)</f>
        <v>646582.12238653714</v>
      </c>
    </row>
    <row r="20" spans="2:14" x14ac:dyDescent="0.3">
      <c r="F20" s="35" t="s">
        <v>55</v>
      </c>
      <c r="G20" s="1">
        <f>-PV(D25,G5,D18)</f>
        <v>1239646.2389578184</v>
      </c>
      <c r="K20" s="35" t="s">
        <v>55</v>
      </c>
      <c r="L20" s="1">
        <f>-PV(D25,L5,D18)</f>
        <v>1239646.2389578184</v>
      </c>
    </row>
    <row r="21" spans="2:14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  <c r="K21" s="35" t="s">
        <v>62</v>
      </c>
      <c r="L21" s="1">
        <f>D13+D14</f>
        <v>3750000</v>
      </c>
    </row>
    <row r="22" spans="2:14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14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5724411.3389253095</v>
      </c>
      <c r="K23" s="35" t="s">
        <v>56</v>
      </c>
      <c r="L23" s="42">
        <f>SUM(L18:L21)</f>
        <v>5724411.3389253095</v>
      </c>
    </row>
    <row r="25" spans="2:14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  <c r="K25" t="s">
        <v>68</v>
      </c>
      <c r="L25" s="1" t="s">
        <v>36</v>
      </c>
      <c r="M25" t="s">
        <v>38</v>
      </c>
      <c r="N25" t="s">
        <v>37</v>
      </c>
    </row>
    <row r="26" spans="2:14" ht="15" thickTop="1" x14ac:dyDescent="0.3">
      <c r="B26" s="12" t="s">
        <v>32</v>
      </c>
      <c r="C26" s="39"/>
      <c r="D26" s="40">
        <f>IF($C$2=TRUE,'Global Parameters'!D24,C26)</f>
        <v>0.87</v>
      </c>
      <c r="F26" s="45">
        <f>365.25*G4</f>
        <v>6574500</v>
      </c>
      <c r="G26">
        <v>1</v>
      </c>
      <c r="H26">
        <f>D5+D10</f>
        <v>20000</v>
      </c>
      <c r="K26" s="35" t="s">
        <v>52</v>
      </c>
      <c r="L26" s="51">
        <f>-PV(D25,L5,0,M26)</f>
        <v>88182.977580953404</v>
      </c>
      <c r="M26" s="41">
        <f>M18</f>
        <v>1255000</v>
      </c>
      <c r="N26">
        <f>N18</f>
        <v>19</v>
      </c>
    </row>
    <row r="27" spans="2:14" x14ac:dyDescent="0.3">
      <c r="F27" s="45">
        <f>ROUND(F26*(1-$D$6), 0)</f>
        <v>5456835</v>
      </c>
      <c r="G27">
        <v>2</v>
      </c>
      <c r="H27">
        <f>ROUND(H26*(1-$D$6-$D$7), 0)</f>
        <v>16400</v>
      </c>
      <c r="K27" s="35" t="s">
        <v>54</v>
      </c>
      <c r="L27" s="51">
        <f>-PV(L7,ROUNDDOWN((L5-1)/D19, 0),D17)</f>
        <v>646582.12238653714</v>
      </c>
    </row>
    <row r="28" spans="2:14" x14ac:dyDescent="0.3">
      <c r="B28" s="35" t="s">
        <v>66</v>
      </c>
      <c r="C28">
        <v>0</v>
      </c>
      <c r="D28" t="s">
        <v>46</v>
      </c>
      <c r="F28" s="45">
        <f t="shared" ref="F28:F45" si="0">ROUND(F27*(1-$D$6), 0)</f>
        <v>4529173</v>
      </c>
      <c r="G28">
        <v>3</v>
      </c>
      <c r="H28">
        <f t="shared" ref="H28:H43" si="1">ROUND(H27*(1-$D$6-$D$7), 0)</f>
        <v>13448</v>
      </c>
      <c r="K28" s="35" t="s">
        <v>55</v>
      </c>
      <c r="L28" s="51">
        <f>-PV(D25,1,0,-PV(D25,L5-1,D18))</f>
        <v>1065733.1954795576</v>
      </c>
    </row>
    <row r="29" spans="2:14" x14ac:dyDescent="0.3">
      <c r="F29" s="45">
        <f t="shared" si="0"/>
        <v>3759214</v>
      </c>
      <c r="G29">
        <v>4</v>
      </c>
      <c r="H29">
        <f t="shared" si="1"/>
        <v>11027</v>
      </c>
      <c r="K29" s="35" t="s">
        <v>62</v>
      </c>
      <c r="L29" s="51">
        <f>-PV(D25,1,0,(D14+D13))</f>
        <v>3260869.5652173916</v>
      </c>
    </row>
    <row r="30" spans="2:14" x14ac:dyDescent="0.3">
      <c r="F30" s="45">
        <f t="shared" si="0"/>
        <v>3120148</v>
      </c>
      <c r="G30">
        <v>5</v>
      </c>
      <c r="H30">
        <f t="shared" si="1"/>
        <v>9042</v>
      </c>
    </row>
    <row r="31" spans="2:14" x14ac:dyDescent="0.3">
      <c r="F31" s="45">
        <f t="shared" si="0"/>
        <v>2589723</v>
      </c>
      <c r="G31">
        <v>6</v>
      </c>
      <c r="H31">
        <f t="shared" si="1"/>
        <v>7414</v>
      </c>
      <c r="K31" s="35" t="s">
        <v>69</v>
      </c>
      <c r="L31" s="1">
        <f>SUM(L26:L29)</f>
        <v>5061367.8606644403</v>
      </c>
    </row>
    <row r="32" spans="2:14" x14ac:dyDescent="0.3">
      <c r="F32" s="45">
        <f t="shared" si="0"/>
        <v>2149470</v>
      </c>
      <c r="G32">
        <v>7</v>
      </c>
      <c r="H32">
        <f t="shared" si="1"/>
        <v>6079</v>
      </c>
    </row>
    <row r="33" spans="6:13" ht="15" thickBot="1" x14ac:dyDescent="0.35">
      <c r="F33" s="45">
        <f t="shared" si="0"/>
        <v>1784060</v>
      </c>
      <c r="G33">
        <v>8</v>
      </c>
      <c r="H33">
        <f t="shared" si="1"/>
        <v>4985</v>
      </c>
      <c r="K33" s="13" t="s">
        <v>45</v>
      </c>
      <c r="L33" s="46" t="s">
        <v>46</v>
      </c>
      <c r="M33" s="46" t="s">
        <v>57</v>
      </c>
    </row>
    <row r="34" spans="6:13" ht="15" thickTop="1" x14ac:dyDescent="0.3">
      <c r="F34" s="45">
        <f t="shared" si="0"/>
        <v>1480770</v>
      </c>
      <c r="G34">
        <v>9</v>
      </c>
      <c r="H34">
        <f t="shared" si="1"/>
        <v>4088</v>
      </c>
      <c r="K34" s="45">
        <f>365.25*M34</f>
        <v>7305000</v>
      </c>
      <c r="L34">
        <v>1</v>
      </c>
      <c r="M34">
        <f>H26</f>
        <v>20000</v>
      </c>
    </row>
    <row r="35" spans="6:13" x14ac:dyDescent="0.3">
      <c r="F35" s="45">
        <f t="shared" si="0"/>
        <v>1229039</v>
      </c>
      <c r="G35">
        <v>10</v>
      </c>
      <c r="H35">
        <f t="shared" si="1"/>
        <v>3352</v>
      </c>
      <c r="K35" s="45">
        <f t="shared" ref="K35:K52" si="2">365.25*M35</f>
        <v>6720600</v>
      </c>
      <c r="L35">
        <v>2</v>
      </c>
      <c r="M35">
        <f>L4+D10</f>
        <v>18400</v>
      </c>
    </row>
    <row r="36" spans="6:13" x14ac:dyDescent="0.3">
      <c r="F36" s="45">
        <f t="shared" si="0"/>
        <v>1020102</v>
      </c>
      <c r="G36">
        <v>11</v>
      </c>
      <c r="H36">
        <f t="shared" si="1"/>
        <v>2749</v>
      </c>
      <c r="K36" s="45">
        <f t="shared" si="2"/>
        <v>5443686</v>
      </c>
      <c r="L36">
        <v>3</v>
      </c>
      <c r="M36">
        <f t="shared" ref="M36:M53" si="3">ROUND(M35*(1-$D$6-2*$D$7), 0)</f>
        <v>14904</v>
      </c>
    </row>
    <row r="37" spans="6:13" x14ac:dyDescent="0.3">
      <c r="F37" s="45">
        <f t="shared" si="0"/>
        <v>846685</v>
      </c>
      <c r="G37">
        <v>12</v>
      </c>
      <c r="H37">
        <f t="shared" si="1"/>
        <v>2254</v>
      </c>
      <c r="K37" s="45">
        <f t="shared" si="2"/>
        <v>4409298</v>
      </c>
      <c r="L37">
        <v>4</v>
      </c>
      <c r="M37">
        <f t="shared" si="3"/>
        <v>12072</v>
      </c>
    </row>
    <row r="38" spans="6:13" x14ac:dyDescent="0.3">
      <c r="F38" s="45">
        <f t="shared" si="0"/>
        <v>702749</v>
      </c>
      <c r="G38">
        <v>13</v>
      </c>
      <c r="H38">
        <f t="shared" si="1"/>
        <v>1848</v>
      </c>
      <c r="K38" s="45">
        <f t="shared" si="2"/>
        <v>3571414.5</v>
      </c>
      <c r="L38">
        <v>5</v>
      </c>
      <c r="M38">
        <f t="shared" si="3"/>
        <v>9778</v>
      </c>
    </row>
    <row r="39" spans="6:13" x14ac:dyDescent="0.3">
      <c r="F39" s="45">
        <f t="shared" si="0"/>
        <v>583282</v>
      </c>
      <c r="G39">
        <v>14</v>
      </c>
      <c r="H39">
        <f t="shared" si="1"/>
        <v>1515</v>
      </c>
      <c r="K39" s="45">
        <f t="shared" si="2"/>
        <v>2892780</v>
      </c>
      <c r="L39">
        <v>6</v>
      </c>
      <c r="M39">
        <f t="shared" si="3"/>
        <v>7920</v>
      </c>
    </row>
    <row r="40" spans="6:13" x14ac:dyDescent="0.3">
      <c r="F40" s="45">
        <f t="shared" si="0"/>
        <v>484124</v>
      </c>
      <c r="G40">
        <v>15</v>
      </c>
      <c r="H40">
        <f t="shared" si="1"/>
        <v>1242</v>
      </c>
      <c r="K40" s="45">
        <f t="shared" si="2"/>
        <v>2343078.75</v>
      </c>
      <c r="L40">
        <v>7</v>
      </c>
      <c r="M40">
        <f t="shared" si="3"/>
        <v>6415</v>
      </c>
    </row>
    <row r="41" spans="6:13" x14ac:dyDescent="0.3">
      <c r="F41" s="45">
        <f t="shared" si="0"/>
        <v>401823</v>
      </c>
      <c r="G41">
        <v>16</v>
      </c>
      <c r="H41">
        <f t="shared" si="1"/>
        <v>1018</v>
      </c>
      <c r="K41" s="45">
        <f t="shared" si="2"/>
        <v>1897839</v>
      </c>
      <c r="L41">
        <v>8</v>
      </c>
      <c r="M41">
        <f t="shared" si="3"/>
        <v>5196</v>
      </c>
    </row>
    <row r="42" spans="6:13" x14ac:dyDescent="0.3">
      <c r="F42" s="45">
        <f t="shared" si="0"/>
        <v>333513</v>
      </c>
      <c r="G42">
        <v>17</v>
      </c>
      <c r="H42">
        <f t="shared" si="1"/>
        <v>835</v>
      </c>
      <c r="K42" s="45">
        <f t="shared" si="2"/>
        <v>1537337.25</v>
      </c>
      <c r="L42">
        <v>9</v>
      </c>
      <c r="M42">
        <f t="shared" si="3"/>
        <v>4209</v>
      </c>
    </row>
    <row r="43" spans="6:13" x14ac:dyDescent="0.3">
      <c r="F43" s="45">
        <f t="shared" si="0"/>
        <v>276816</v>
      </c>
      <c r="G43">
        <v>18</v>
      </c>
      <c r="H43">
        <f t="shared" si="1"/>
        <v>685</v>
      </c>
      <c r="K43" s="45">
        <f t="shared" si="2"/>
        <v>1245137.25</v>
      </c>
      <c r="L43">
        <v>10</v>
      </c>
      <c r="M43">
        <f t="shared" si="3"/>
        <v>3409</v>
      </c>
    </row>
    <row r="44" spans="6:13" x14ac:dyDescent="0.3">
      <c r="F44" s="45">
        <f t="shared" si="0"/>
        <v>229757</v>
      </c>
      <c r="G44">
        <v>19</v>
      </c>
      <c r="H44">
        <f>ROUND(H43*(1-$D$6-$D$7), 0)</f>
        <v>562</v>
      </c>
      <c r="K44" s="45">
        <f t="shared" si="2"/>
        <v>1008455.25</v>
      </c>
      <c r="L44">
        <v>11</v>
      </c>
      <c r="M44">
        <f t="shared" si="3"/>
        <v>2761</v>
      </c>
    </row>
    <row r="45" spans="6:13" x14ac:dyDescent="0.3">
      <c r="F45" s="47">
        <f t="shared" si="0"/>
        <v>190698</v>
      </c>
      <c r="G45" s="48">
        <v>20</v>
      </c>
      <c r="H45" s="48">
        <f>ROUND(H44*(1-$D$6-$D$7), 0)</f>
        <v>461</v>
      </c>
      <c r="K45" s="45">
        <f t="shared" si="2"/>
        <v>816699</v>
      </c>
      <c r="L45">
        <v>12</v>
      </c>
      <c r="M45">
        <f t="shared" si="3"/>
        <v>2236</v>
      </c>
    </row>
    <row r="46" spans="6:13" x14ac:dyDescent="0.3">
      <c r="K46" s="45">
        <f t="shared" si="2"/>
        <v>661467.75</v>
      </c>
      <c r="L46">
        <v>13</v>
      </c>
      <c r="M46">
        <f t="shared" si="3"/>
        <v>1811</v>
      </c>
    </row>
    <row r="47" spans="6:13" x14ac:dyDescent="0.3">
      <c r="F47" s="35" t="s">
        <v>58</v>
      </c>
      <c r="G47" s="42" cm="1">
        <f t="array" ref="G47">NPV(D25,(D23-D22-D21)*F26:F44)</f>
        <v>430572260.94113809</v>
      </c>
      <c r="K47" s="45">
        <f t="shared" si="2"/>
        <v>535821.75</v>
      </c>
      <c r="L47">
        <v>14</v>
      </c>
      <c r="M47">
        <f t="shared" si="3"/>
        <v>1467</v>
      </c>
    </row>
    <row r="48" spans="6:13" x14ac:dyDescent="0.3">
      <c r="K48" s="45">
        <f t="shared" si="2"/>
        <v>433917</v>
      </c>
      <c r="L48">
        <v>15</v>
      </c>
      <c r="M48">
        <f t="shared" si="3"/>
        <v>1188</v>
      </c>
    </row>
    <row r="49" spans="6:13" x14ac:dyDescent="0.3">
      <c r="F49" s="35" t="s">
        <v>60</v>
      </c>
      <c r="G49" s="44">
        <f>G47-G23-G15</f>
        <v>379853676.65178764</v>
      </c>
      <c r="K49" s="45">
        <f t="shared" si="2"/>
        <v>351370.5</v>
      </c>
      <c r="L49">
        <v>16</v>
      </c>
      <c r="M49">
        <f t="shared" si="3"/>
        <v>962</v>
      </c>
    </row>
    <row r="50" spans="6:13" x14ac:dyDescent="0.3">
      <c r="K50" s="45">
        <f t="shared" si="2"/>
        <v>284529.75</v>
      </c>
      <c r="L50">
        <v>17</v>
      </c>
      <c r="M50">
        <f t="shared" si="3"/>
        <v>779</v>
      </c>
    </row>
    <row r="51" spans="6:13" x14ac:dyDescent="0.3">
      <c r="K51" s="45">
        <f t="shared" si="2"/>
        <v>230472.75</v>
      </c>
      <c r="L51">
        <v>18</v>
      </c>
      <c r="M51">
        <f t="shared" si="3"/>
        <v>631</v>
      </c>
    </row>
    <row r="52" spans="6:13" x14ac:dyDescent="0.3">
      <c r="K52" s="56">
        <f t="shared" si="2"/>
        <v>186642.75</v>
      </c>
      <c r="L52" s="57">
        <v>19</v>
      </c>
      <c r="M52" s="57">
        <f t="shared" si="3"/>
        <v>511</v>
      </c>
    </row>
    <row r="53" spans="6:13" x14ac:dyDescent="0.3">
      <c r="K53" s="45">
        <f t="shared" ref="K53" si="4">365.25*M53</f>
        <v>151213.5</v>
      </c>
      <c r="L53" s="48">
        <v>20</v>
      </c>
      <c r="M53" s="48">
        <f t="shared" si="3"/>
        <v>414</v>
      </c>
    </row>
    <row r="55" spans="6:13" x14ac:dyDescent="0.3">
      <c r="K55" s="35" t="s">
        <v>58</v>
      </c>
      <c r="L55" s="51" cm="1">
        <f t="array" ref="L55">NPV(D25,(D23-D22-D21)*K34:K52)</f>
        <v>493673166.06797355</v>
      </c>
    </row>
    <row r="56" spans="6:13" x14ac:dyDescent="0.3">
      <c r="L56" s="1"/>
    </row>
    <row r="57" spans="6:13" x14ac:dyDescent="0.3">
      <c r="K57" s="35" t="s">
        <v>60</v>
      </c>
      <c r="L57" s="52">
        <f>L55-L31-L23-L15</f>
        <v>437893213.91795868</v>
      </c>
    </row>
  </sheetData>
  <mergeCells count="2">
    <mergeCell ref="F2:H2"/>
    <mergeCell ref="K2:M2"/>
  </mergeCells>
  <dataValidations count="1">
    <dataValidation type="list" allowBlank="1" showInputMessage="1" showErrorMessage="1" sqref="C2" xr:uid="{8EA34CFC-5DB0-4F49-AB2C-317663E91458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8853-8668-4FC4-B752-41CD3CDA66D1}">
  <dimension ref="B2:N56"/>
  <sheetViews>
    <sheetView topLeftCell="C32" workbookViewId="0">
      <selection activeCell="H58" sqref="H58"/>
    </sheetView>
  </sheetViews>
  <sheetFormatPr defaultRowHeight="14.4" x14ac:dyDescent="0.3"/>
  <cols>
    <col min="2" max="2" width="33.77734375" bestFit="1" customWidth="1"/>
    <col min="3" max="3" width="13.6640625" bestFit="1" customWidth="1"/>
    <col min="4" max="4" width="18.109375" bestFit="1" customWidth="1"/>
    <col min="6" max="6" width="40.88671875" bestFit="1" customWidth="1"/>
    <col min="7" max="7" width="16.109375" bestFit="1" customWidth="1"/>
    <col min="8" max="8" width="15.6640625" bestFit="1" customWidth="1"/>
    <col min="10" max="10" width="8.109375" customWidth="1"/>
    <col min="11" max="11" width="18.33203125" bestFit="1" customWidth="1"/>
    <col min="12" max="13" width="13.6640625" bestFit="1" customWidth="1"/>
  </cols>
  <sheetData>
    <row r="2" spans="2:14" x14ac:dyDescent="0.3">
      <c r="B2" s="35" t="s">
        <v>28</v>
      </c>
      <c r="C2" s="34" t="b">
        <v>1</v>
      </c>
    </row>
    <row r="4" spans="2:14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70</v>
      </c>
      <c r="G4">
        <f>D5 + D10*2</f>
        <v>22000</v>
      </c>
      <c r="K4" t="s">
        <v>73</v>
      </c>
      <c r="L4" s="1" t="s">
        <v>36</v>
      </c>
      <c r="M4" t="s">
        <v>38</v>
      </c>
      <c r="N4" t="s">
        <v>37</v>
      </c>
    </row>
    <row r="5" spans="2:14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ROUNDDOWN(LOG(C9/(G4+D10))/LOG(1-$D$6-3*$D$7),0)+1</f>
        <v>18</v>
      </c>
      <c r="K5" s="35" t="s">
        <v>52</v>
      </c>
      <c r="L5" s="51">
        <f>-PV(D25,N5,0,M5)</f>
        <v>99794.321840118777</v>
      </c>
      <c r="M5" s="41">
        <f>H10</f>
        <v>1235000</v>
      </c>
      <c r="N5">
        <f>G5</f>
        <v>18</v>
      </c>
    </row>
    <row r="6" spans="2:14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35" t="s">
        <v>54</v>
      </c>
      <c r="L6" s="51">
        <f>-PV(G7,ROUNDDOWN(G5/D19, 0),D17)</f>
        <v>646582.12238653714</v>
      </c>
    </row>
    <row r="7" spans="2:14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35" t="s">
        <v>55</v>
      </c>
      <c r="L7" s="51">
        <f>-PV(D25,G5,D18)</f>
        <v>1225593.1748014912</v>
      </c>
    </row>
    <row r="8" spans="2:14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K8" s="35" t="s">
        <v>62</v>
      </c>
      <c r="L8" s="1">
        <f>D13+D14</f>
        <v>3750000</v>
      </c>
    </row>
    <row r="9" spans="2:14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</row>
    <row r="10" spans="2:14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99794.321840118777</v>
      </c>
      <c r="H10" s="41">
        <f>D15*(D13+D14+D17*G6+D18*G5)</f>
        <v>1235000</v>
      </c>
      <c r="I10">
        <f>G5</f>
        <v>18</v>
      </c>
      <c r="K10" s="35" t="s">
        <v>74</v>
      </c>
      <c r="L10" s="42">
        <f>SUM(L5:L8)</f>
        <v>5721969.6190281473</v>
      </c>
    </row>
    <row r="11" spans="2:14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51">
        <f>-PV(D25,_xlfn.CEILING.MATH(D11,D19)-D11, 0,-PV(G7,G6,D17)+D17)</f>
        <v>1503185.4109801548</v>
      </c>
    </row>
    <row r="12" spans="2:14" x14ac:dyDescent="0.3">
      <c r="C12" s="17"/>
      <c r="D12" s="17"/>
      <c r="F12" s="35" t="s">
        <v>42</v>
      </c>
      <c r="G12" s="51">
        <f>-PV(D25,G5,D18)</f>
        <v>1225593.1748014912</v>
      </c>
    </row>
    <row r="13" spans="2:14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</row>
    <row r="14" spans="2:14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2828572.9076217646</v>
      </c>
    </row>
    <row r="15" spans="2:14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45257166.521948233</v>
      </c>
    </row>
    <row r="16" spans="2:14" x14ac:dyDescent="0.3">
      <c r="C16" s="17"/>
      <c r="D16" s="17"/>
      <c r="G16" s="1"/>
    </row>
    <row r="17" spans="2:9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</row>
    <row r="18" spans="2:9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99794.321840118777</v>
      </c>
      <c r="H18" s="41">
        <f>H10</f>
        <v>1235000</v>
      </c>
      <c r="I18">
        <f>I10</f>
        <v>18</v>
      </c>
    </row>
    <row r="19" spans="2:9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51">
        <f>-PV(G7,ROUNDDOWN(G5/D19, 0),D17)</f>
        <v>646582.12238653714</v>
      </c>
    </row>
    <row r="20" spans="2:9" x14ac:dyDescent="0.3">
      <c r="F20" s="35" t="s">
        <v>55</v>
      </c>
      <c r="G20" s="1">
        <f>-PV(D25,G5,D18)</f>
        <v>1225593.1748014912</v>
      </c>
    </row>
    <row r="21" spans="2:9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</row>
    <row r="22" spans="2:9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9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5721969.6190281473</v>
      </c>
    </row>
    <row r="25" spans="2:9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t="s">
        <v>68</v>
      </c>
      <c r="G25" s="1" t="s">
        <v>36</v>
      </c>
      <c r="H25" t="s">
        <v>38</v>
      </c>
      <c r="I25" t="s">
        <v>37</v>
      </c>
    </row>
    <row r="26" spans="2:9" ht="15" thickTop="1" x14ac:dyDescent="0.3">
      <c r="B26" s="12" t="s">
        <v>32</v>
      </c>
      <c r="C26" s="39"/>
      <c r="D26" s="40">
        <f>IF($C$2=TRUE,'Global Parameters'!D24,C26)</f>
        <v>0.87</v>
      </c>
      <c r="F26" s="35" t="s">
        <v>52</v>
      </c>
      <c r="G26" s="51">
        <f>-PV(D25,G5,0,H26)</f>
        <v>99794.321840118777</v>
      </c>
      <c r="H26" s="41">
        <f>H18</f>
        <v>1235000</v>
      </c>
      <c r="I26">
        <f>I18</f>
        <v>18</v>
      </c>
    </row>
    <row r="27" spans="2:9" x14ac:dyDescent="0.3">
      <c r="F27" s="35" t="s">
        <v>54</v>
      </c>
      <c r="G27" s="51">
        <f>-PV(G7,ROUNDDOWN(G5/D19, 0),D17)</f>
        <v>646582.12238653714</v>
      </c>
    </row>
    <row r="28" spans="2:9" x14ac:dyDescent="0.3">
      <c r="B28" s="35" t="s">
        <v>66</v>
      </c>
      <c r="C28">
        <v>0</v>
      </c>
      <c r="D28" t="s">
        <v>46</v>
      </c>
      <c r="F28" s="35" t="s">
        <v>55</v>
      </c>
      <c r="G28" s="51">
        <f>-PV(D25,G5,D18)</f>
        <v>1225593.1748014912</v>
      </c>
    </row>
    <row r="29" spans="2:9" x14ac:dyDescent="0.3">
      <c r="F29" s="35" t="s">
        <v>62</v>
      </c>
      <c r="G29" s="1">
        <f>D14+D13</f>
        <v>3750000</v>
      </c>
    </row>
    <row r="31" spans="2:9" x14ac:dyDescent="0.3">
      <c r="F31" s="35" t="s">
        <v>69</v>
      </c>
      <c r="G31" s="51">
        <f>SUM(G26:G29)</f>
        <v>5721969.6190281473</v>
      </c>
    </row>
    <row r="33" spans="6:8" ht="15" thickBot="1" x14ac:dyDescent="0.35">
      <c r="F33" s="13" t="s">
        <v>45</v>
      </c>
      <c r="G33" s="46" t="s">
        <v>46</v>
      </c>
      <c r="H33" s="46" t="s">
        <v>57</v>
      </c>
    </row>
    <row r="34" spans="6:8" ht="15" thickTop="1" x14ac:dyDescent="0.3">
      <c r="F34" s="45">
        <f>365.25*H34</f>
        <v>8766000</v>
      </c>
      <c r="G34">
        <v>1</v>
      </c>
      <c r="H34">
        <f>G4+D10</f>
        <v>24000</v>
      </c>
    </row>
    <row r="35" spans="6:8" x14ac:dyDescent="0.3">
      <c r="F35" s="45">
        <f t="shared" ref="F35:F52" si="0">365.25*H35</f>
        <v>7012800</v>
      </c>
      <c r="G35">
        <v>2</v>
      </c>
      <c r="H35">
        <f>ROUND(H34*(1-$D$6-3*$D$7), 0)</f>
        <v>19200</v>
      </c>
    </row>
    <row r="36" spans="6:8" x14ac:dyDescent="0.3">
      <c r="F36" s="45">
        <f t="shared" si="0"/>
        <v>5610240</v>
      </c>
      <c r="G36">
        <v>3</v>
      </c>
      <c r="H36">
        <f t="shared" ref="H36:H52" si="1">ROUND(H35*(1-$D$6-3*$D$7), 0)</f>
        <v>15360</v>
      </c>
    </row>
    <row r="37" spans="6:8" x14ac:dyDescent="0.3">
      <c r="F37" s="45">
        <f t="shared" si="0"/>
        <v>4488192</v>
      </c>
      <c r="G37">
        <v>4</v>
      </c>
      <c r="H37">
        <f t="shared" si="1"/>
        <v>12288</v>
      </c>
    </row>
    <row r="38" spans="6:8" x14ac:dyDescent="0.3">
      <c r="F38" s="45">
        <f t="shared" si="0"/>
        <v>3590407.5</v>
      </c>
      <c r="G38">
        <v>5</v>
      </c>
      <c r="H38">
        <f t="shared" si="1"/>
        <v>9830</v>
      </c>
    </row>
    <row r="39" spans="6:8" x14ac:dyDescent="0.3">
      <c r="F39" s="45">
        <f t="shared" si="0"/>
        <v>2872326</v>
      </c>
      <c r="G39">
        <v>6</v>
      </c>
      <c r="H39">
        <f t="shared" si="1"/>
        <v>7864</v>
      </c>
    </row>
    <row r="40" spans="6:8" x14ac:dyDescent="0.3">
      <c r="F40" s="45">
        <f t="shared" si="0"/>
        <v>2297787.75</v>
      </c>
      <c r="G40">
        <v>7</v>
      </c>
      <c r="H40">
        <f t="shared" si="1"/>
        <v>6291</v>
      </c>
    </row>
    <row r="41" spans="6:8" x14ac:dyDescent="0.3">
      <c r="F41" s="45">
        <f t="shared" si="0"/>
        <v>1838303.25</v>
      </c>
      <c r="G41">
        <v>8</v>
      </c>
      <c r="H41">
        <f t="shared" si="1"/>
        <v>5033</v>
      </c>
    </row>
    <row r="42" spans="6:8" x14ac:dyDescent="0.3">
      <c r="F42" s="45">
        <f t="shared" si="0"/>
        <v>1470496.5</v>
      </c>
      <c r="G42">
        <v>9</v>
      </c>
      <c r="H42">
        <f t="shared" si="1"/>
        <v>4026</v>
      </c>
    </row>
    <row r="43" spans="6:8" x14ac:dyDescent="0.3">
      <c r="F43" s="45">
        <f t="shared" si="0"/>
        <v>1176470.25</v>
      </c>
      <c r="G43">
        <v>10</v>
      </c>
      <c r="H43">
        <f t="shared" si="1"/>
        <v>3221</v>
      </c>
    </row>
    <row r="44" spans="6:8" x14ac:dyDescent="0.3">
      <c r="F44" s="45">
        <f t="shared" si="0"/>
        <v>941249.25</v>
      </c>
      <c r="G44">
        <v>11</v>
      </c>
      <c r="H44">
        <f t="shared" si="1"/>
        <v>2577</v>
      </c>
    </row>
    <row r="45" spans="6:8" x14ac:dyDescent="0.3">
      <c r="F45" s="45">
        <f t="shared" si="0"/>
        <v>753145.5</v>
      </c>
      <c r="G45">
        <v>12</v>
      </c>
      <c r="H45">
        <f t="shared" si="1"/>
        <v>2062</v>
      </c>
    </row>
    <row r="46" spans="6:8" x14ac:dyDescent="0.3">
      <c r="F46" s="45">
        <f t="shared" si="0"/>
        <v>602662.5</v>
      </c>
      <c r="G46">
        <v>13</v>
      </c>
      <c r="H46">
        <f t="shared" si="1"/>
        <v>1650</v>
      </c>
    </row>
    <row r="47" spans="6:8" x14ac:dyDescent="0.3">
      <c r="F47" s="45">
        <f t="shared" si="0"/>
        <v>482130</v>
      </c>
      <c r="G47">
        <v>14</v>
      </c>
      <c r="H47">
        <f t="shared" si="1"/>
        <v>1320</v>
      </c>
    </row>
    <row r="48" spans="6:8" x14ac:dyDescent="0.3">
      <c r="F48" s="45">
        <f t="shared" si="0"/>
        <v>385704</v>
      </c>
      <c r="G48">
        <v>15</v>
      </c>
      <c r="H48">
        <f t="shared" si="1"/>
        <v>1056</v>
      </c>
    </row>
    <row r="49" spans="6:8" x14ac:dyDescent="0.3">
      <c r="F49" s="45">
        <f t="shared" si="0"/>
        <v>308636.25</v>
      </c>
      <c r="G49">
        <v>16</v>
      </c>
      <c r="H49">
        <f t="shared" si="1"/>
        <v>845</v>
      </c>
    </row>
    <row r="50" spans="6:8" x14ac:dyDescent="0.3">
      <c r="F50" s="45">
        <f t="shared" si="0"/>
        <v>246909</v>
      </c>
      <c r="G50">
        <v>17</v>
      </c>
      <c r="H50">
        <f t="shared" si="1"/>
        <v>676</v>
      </c>
    </row>
    <row r="51" spans="6:8" x14ac:dyDescent="0.3">
      <c r="F51" s="45">
        <f t="shared" si="0"/>
        <v>197600.25</v>
      </c>
      <c r="G51">
        <v>18</v>
      </c>
      <c r="H51">
        <f t="shared" si="1"/>
        <v>541</v>
      </c>
    </row>
    <row r="52" spans="6:8" x14ac:dyDescent="0.3">
      <c r="F52" s="45">
        <f t="shared" si="0"/>
        <v>158153.25</v>
      </c>
      <c r="G52" s="48">
        <v>19</v>
      </c>
      <c r="H52" s="48">
        <f t="shared" si="1"/>
        <v>433</v>
      </c>
    </row>
    <row r="54" spans="6:8" x14ac:dyDescent="0.3">
      <c r="F54" s="35" t="s">
        <v>58</v>
      </c>
      <c r="G54" s="51" cm="1">
        <f t="array" ref="G54">NPV(D25,(D23-D22-D21)*F34:F51)</f>
        <v>525192251.76267719</v>
      </c>
    </row>
    <row r="55" spans="6:8" x14ac:dyDescent="0.3">
      <c r="G55" s="1"/>
    </row>
    <row r="56" spans="6:8" x14ac:dyDescent="0.3">
      <c r="F56" s="35" t="s">
        <v>60</v>
      </c>
      <c r="G56" s="53">
        <f>G54-G31-G23-G15-L10</f>
        <v>462769176.38364452</v>
      </c>
    </row>
  </sheetData>
  <dataValidations disablePrompts="1" count="1">
    <dataValidation type="list" allowBlank="1" showInputMessage="1" showErrorMessage="1" sqref="C2" xr:uid="{0E64B02D-4BD4-4048-8B3A-D5BA1706AED6}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4835-F97F-4325-B7F5-2D037D15494D}">
  <dimension ref="B2:N56"/>
  <sheetViews>
    <sheetView topLeftCell="C36" workbookViewId="0">
      <selection activeCell="D63" sqref="D63"/>
    </sheetView>
  </sheetViews>
  <sheetFormatPr defaultRowHeight="14.4" x14ac:dyDescent="0.3"/>
  <cols>
    <col min="2" max="2" width="33.77734375" bestFit="1" customWidth="1"/>
    <col min="3" max="3" width="13.6640625" bestFit="1" customWidth="1"/>
    <col min="4" max="4" width="18.109375" bestFit="1" customWidth="1"/>
    <col min="6" max="6" width="40.88671875" bestFit="1" customWidth="1"/>
    <col min="7" max="7" width="16.109375" bestFit="1" customWidth="1"/>
    <col min="8" max="8" width="15.6640625" bestFit="1" customWidth="1"/>
    <col min="10" max="10" width="8.109375" customWidth="1"/>
    <col min="11" max="11" width="18.33203125" bestFit="1" customWidth="1"/>
    <col min="12" max="13" width="13.6640625" bestFit="1" customWidth="1"/>
  </cols>
  <sheetData>
    <row r="2" spans="2:14" x14ac:dyDescent="0.3">
      <c r="B2" s="35" t="s">
        <v>28</v>
      </c>
      <c r="C2" s="34" t="b">
        <v>1</v>
      </c>
    </row>
    <row r="4" spans="2:14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81</v>
      </c>
      <c r="G4">
        <f>(D5 + D10*2)*(1-D6-2*D7)</f>
        <v>17820</v>
      </c>
      <c r="K4" t="s">
        <v>73</v>
      </c>
      <c r="L4" s="1" t="s">
        <v>36</v>
      </c>
      <c r="M4" t="s">
        <v>38</v>
      </c>
      <c r="N4" t="s">
        <v>37</v>
      </c>
    </row>
    <row r="5" spans="2:14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ROUNDDOWN(LOG(C9/(G4+D10))/LOG(1-$D$6-3*$D$7),0)+2</f>
        <v>18</v>
      </c>
      <c r="K5" s="35" t="s">
        <v>52</v>
      </c>
      <c r="L5" s="51">
        <f>-PV(D25,N5,0,M5)</f>
        <v>99794.321840118777</v>
      </c>
      <c r="M5" s="41">
        <f>H10</f>
        <v>1235000</v>
      </c>
      <c r="N5">
        <f>G5</f>
        <v>18</v>
      </c>
    </row>
    <row r="6" spans="2:14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35" t="s">
        <v>54</v>
      </c>
      <c r="L6" s="51">
        <f>-PV(G7,ROUNDDOWN((G5-1)/D19, 0),D17)</f>
        <v>646582.12238653714</v>
      </c>
    </row>
    <row r="7" spans="2:14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35" t="s">
        <v>55</v>
      </c>
      <c r="L7" s="51">
        <f>-PV(D25,1,0,-PV(D25,G5-1,D18))</f>
        <v>1051680.1313232305</v>
      </c>
    </row>
    <row r="8" spans="2:14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K8" s="35" t="s">
        <v>62</v>
      </c>
      <c r="L8" s="51">
        <f>-PV(D25,1,0,D13+D14)</f>
        <v>3260869.5652173916</v>
      </c>
    </row>
    <row r="9" spans="2:14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</row>
    <row r="10" spans="2:14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99794.321840118777</v>
      </c>
      <c r="H10" s="41">
        <f>D15*(D13+D14+D17*G6+D18*G5)</f>
        <v>1235000</v>
      </c>
      <c r="I10">
        <f>G5</f>
        <v>18</v>
      </c>
      <c r="K10" s="35" t="s">
        <v>74</v>
      </c>
      <c r="L10" s="42">
        <f>SUM(L5:L8)</f>
        <v>5058926.1407672781</v>
      </c>
    </row>
    <row r="11" spans="2:14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51">
        <f>-PV(D25,_xlfn.CEILING.MATH(D11,D19)-D11, 0,-PV(G7,G6,D17)+D17)</f>
        <v>1503185.4109801548</v>
      </c>
    </row>
    <row r="12" spans="2:14" x14ac:dyDescent="0.3">
      <c r="C12" s="17"/>
      <c r="D12" s="17"/>
      <c r="F12" s="35" t="s">
        <v>42</v>
      </c>
      <c r="G12" s="51">
        <f>-PV(D25,G5,D18)</f>
        <v>1225593.1748014912</v>
      </c>
    </row>
    <row r="13" spans="2:14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</row>
    <row r="14" spans="2:14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2828572.9076217646</v>
      </c>
    </row>
    <row r="15" spans="2:14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45257166.521948233</v>
      </c>
    </row>
    <row r="16" spans="2:14" x14ac:dyDescent="0.3">
      <c r="C16" s="17"/>
      <c r="D16" s="17"/>
      <c r="G16" s="1"/>
    </row>
    <row r="17" spans="2:9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</row>
    <row r="18" spans="2:9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99794.321840118777</v>
      </c>
      <c r="H18" s="41">
        <f>H10</f>
        <v>1235000</v>
      </c>
      <c r="I18">
        <f>I10</f>
        <v>18</v>
      </c>
    </row>
    <row r="19" spans="2:9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51">
        <f>-PV(G7,ROUNDDOWN(G5/D19, 0),D17)</f>
        <v>646582.12238653714</v>
      </c>
    </row>
    <row r="20" spans="2:9" x14ac:dyDescent="0.3">
      <c r="F20" s="35" t="s">
        <v>55</v>
      </c>
      <c r="G20" s="1">
        <f>-PV(D25,G5,D18)</f>
        <v>1225593.1748014912</v>
      </c>
    </row>
    <row r="21" spans="2:9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</row>
    <row r="22" spans="2:9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9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5721969.6190281473</v>
      </c>
    </row>
    <row r="25" spans="2:9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t="s">
        <v>68</v>
      </c>
      <c r="G25" s="1" t="s">
        <v>36</v>
      </c>
      <c r="H25" t="s">
        <v>38</v>
      </c>
      <c r="I25" t="s">
        <v>37</v>
      </c>
    </row>
    <row r="26" spans="2:9" ht="15" thickTop="1" x14ac:dyDescent="0.3">
      <c r="B26" s="12" t="s">
        <v>32</v>
      </c>
      <c r="C26" s="39"/>
      <c r="D26" s="40">
        <f>IF($C$2=TRUE,'Global Parameters'!D24,C26)</f>
        <v>0.87</v>
      </c>
      <c r="F26" s="35" t="s">
        <v>52</v>
      </c>
      <c r="G26" s="51">
        <f>-PV(D25,G5,0,H26)</f>
        <v>99794.321840118777</v>
      </c>
      <c r="H26" s="41">
        <f>H18</f>
        <v>1235000</v>
      </c>
      <c r="I26">
        <f>I18</f>
        <v>18</v>
      </c>
    </row>
    <row r="27" spans="2:9" x14ac:dyDescent="0.3">
      <c r="F27" s="35" t="s">
        <v>54</v>
      </c>
      <c r="G27" s="51">
        <f>-PV(G7,ROUNDDOWN(G5/D19, 0),D17)</f>
        <v>646582.12238653714</v>
      </c>
    </row>
    <row r="28" spans="2:9" x14ac:dyDescent="0.3">
      <c r="B28" s="35" t="s">
        <v>66</v>
      </c>
      <c r="C28">
        <v>0</v>
      </c>
      <c r="D28" t="s">
        <v>46</v>
      </c>
      <c r="F28" s="35" t="s">
        <v>55</v>
      </c>
      <c r="G28" s="51">
        <f>-PV(D25,G5,D18)</f>
        <v>1225593.1748014912</v>
      </c>
    </row>
    <row r="29" spans="2:9" x14ac:dyDescent="0.3">
      <c r="F29" s="35" t="s">
        <v>62</v>
      </c>
      <c r="G29" s="1">
        <f>D14+D13</f>
        <v>3750000</v>
      </c>
    </row>
    <row r="31" spans="2:9" x14ac:dyDescent="0.3">
      <c r="F31" s="35" t="s">
        <v>69</v>
      </c>
      <c r="G31" s="51">
        <f>SUM(G26:G29)</f>
        <v>5721969.6190281473</v>
      </c>
    </row>
    <row r="33" spans="6:8" ht="15" thickBot="1" x14ac:dyDescent="0.35">
      <c r="F33" s="13" t="s">
        <v>45</v>
      </c>
      <c r="G33" s="46" t="s">
        <v>46</v>
      </c>
      <c r="H33" s="46" t="s">
        <v>57</v>
      </c>
    </row>
    <row r="34" spans="6:8" ht="15" thickTop="1" x14ac:dyDescent="0.3">
      <c r="F34" s="45">
        <f>365.25*H34</f>
        <v>8035500</v>
      </c>
      <c r="G34">
        <v>1</v>
      </c>
      <c r="H34">
        <f>D5+2*D10</f>
        <v>22000</v>
      </c>
    </row>
    <row r="35" spans="6:8" x14ac:dyDescent="0.3">
      <c r="F35" s="45">
        <f t="shared" ref="F35:F52" si="0">365.25*H35</f>
        <v>7239255</v>
      </c>
      <c r="G35">
        <v>2</v>
      </c>
      <c r="H35">
        <f>G4+D10</f>
        <v>19820</v>
      </c>
    </row>
    <row r="36" spans="6:8" x14ac:dyDescent="0.3">
      <c r="F36" s="45">
        <f t="shared" si="0"/>
        <v>5791404</v>
      </c>
      <c r="G36">
        <v>3</v>
      </c>
      <c r="H36">
        <f t="shared" ref="H36:H52" si="1">ROUND(H35*(1-$D$6-3*$D$7), 0)</f>
        <v>15856</v>
      </c>
    </row>
    <row r="37" spans="6:8" x14ac:dyDescent="0.3">
      <c r="F37" s="45">
        <f t="shared" si="0"/>
        <v>4633196.25</v>
      </c>
      <c r="G37">
        <v>4</v>
      </c>
      <c r="H37">
        <f t="shared" si="1"/>
        <v>12685</v>
      </c>
    </row>
    <row r="38" spans="6:8" x14ac:dyDescent="0.3">
      <c r="F38" s="45">
        <f t="shared" si="0"/>
        <v>3706557</v>
      </c>
      <c r="G38">
        <v>5</v>
      </c>
      <c r="H38">
        <f t="shared" si="1"/>
        <v>10148</v>
      </c>
    </row>
    <row r="39" spans="6:8" x14ac:dyDescent="0.3">
      <c r="F39" s="45">
        <f t="shared" si="0"/>
        <v>2965099.5</v>
      </c>
      <c r="G39">
        <v>6</v>
      </c>
      <c r="H39">
        <f t="shared" si="1"/>
        <v>8118</v>
      </c>
    </row>
    <row r="40" spans="6:8" x14ac:dyDescent="0.3">
      <c r="F40" s="45">
        <f t="shared" si="0"/>
        <v>2371933.5</v>
      </c>
      <c r="G40">
        <v>7</v>
      </c>
      <c r="H40">
        <f t="shared" si="1"/>
        <v>6494</v>
      </c>
    </row>
    <row r="41" spans="6:8" x14ac:dyDescent="0.3">
      <c r="F41" s="45">
        <f t="shared" si="0"/>
        <v>1897473.75</v>
      </c>
      <c r="G41">
        <v>8</v>
      </c>
      <c r="H41">
        <f t="shared" si="1"/>
        <v>5195</v>
      </c>
    </row>
    <row r="42" spans="6:8" x14ac:dyDescent="0.3">
      <c r="F42" s="45">
        <f t="shared" si="0"/>
        <v>1517979</v>
      </c>
      <c r="G42">
        <v>9</v>
      </c>
      <c r="H42">
        <f t="shared" si="1"/>
        <v>4156</v>
      </c>
    </row>
    <row r="43" spans="6:8" x14ac:dyDescent="0.3">
      <c r="F43" s="45">
        <f t="shared" si="0"/>
        <v>1214456.25</v>
      </c>
      <c r="G43">
        <v>10</v>
      </c>
      <c r="H43">
        <f t="shared" si="1"/>
        <v>3325</v>
      </c>
    </row>
    <row r="44" spans="6:8" x14ac:dyDescent="0.3">
      <c r="F44" s="45">
        <f t="shared" si="0"/>
        <v>971565</v>
      </c>
      <c r="G44">
        <v>11</v>
      </c>
      <c r="H44">
        <f t="shared" si="1"/>
        <v>2660</v>
      </c>
    </row>
    <row r="45" spans="6:8" x14ac:dyDescent="0.3">
      <c r="F45" s="45">
        <f t="shared" si="0"/>
        <v>777252</v>
      </c>
      <c r="G45">
        <v>12</v>
      </c>
      <c r="H45">
        <f t="shared" si="1"/>
        <v>2128</v>
      </c>
    </row>
    <row r="46" spans="6:8" x14ac:dyDescent="0.3">
      <c r="F46" s="45">
        <f t="shared" si="0"/>
        <v>621655.5</v>
      </c>
      <c r="G46">
        <v>13</v>
      </c>
      <c r="H46">
        <f t="shared" si="1"/>
        <v>1702</v>
      </c>
    </row>
    <row r="47" spans="6:8" x14ac:dyDescent="0.3">
      <c r="F47" s="45">
        <f t="shared" si="0"/>
        <v>497470.5</v>
      </c>
      <c r="G47">
        <v>14</v>
      </c>
      <c r="H47">
        <f t="shared" si="1"/>
        <v>1362</v>
      </c>
    </row>
    <row r="48" spans="6:8" x14ac:dyDescent="0.3">
      <c r="F48" s="45">
        <f t="shared" si="0"/>
        <v>398122.5</v>
      </c>
      <c r="G48">
        <v>15</v>
      </c>
      <c r="H48">
        <f t="shared" si="1"/>
        <v>1090</v>
      </c>
    </row>
    <row r="49" spans="6:8" x14ac:dyDescent="0.3">
      <c r="F49" s="45">
        <f t="shared" si="0"/>
        <v>318498</v>
      </c>
      <c r="G49">
        <v>16</v>
      </c>
      <c r="H49">
        <f t="shared" si="1"/>
        <v>872</v>
      </c>
    </row>
    <row r="50" spans="6:8" x14ac:dyDescent="0.3">
      <c r="F50" s="45">
        <f t="shared" si="0"/>
        <v>254944.5</v>
      </c>
      <c r="G50">
        <v>17</v>
      </c>
      <c r="H50">
        <f t="shared" si="1"/>
        <v>698</v>
      </c>
    </row>
    <row r="51" spans="6:8" x14ac:dyDescent="0.3">
      <c r="F51" s="45">
        <f t="shared" si="0"/>
        <v>203809.5</v>
      </c>
      <c r="G51">
        <v>18</v>
      </c>
      <c r="H51">
        <f t="shared" si="1"/>
        <v>558</v>
      </c>
    </row>
    <row r="52" spans="6:8" x14ac:dyDescent="0.3">
      <c r="F52" s="45">
        <f t="shared" si="0"/>
        <v>162901.5</v>
      </c>
      <c r="G52" s="48">
        <v>19</v>
      </c>
      <c r="H52" s="48">
        <f t="shared" si="1"/>
        <v>446</v>
      </c>
    </row>
    <row r="54" spans="6:8" x14ac:dyDescent="0.3">
      <c r="F54" s="35" t="s">
        <v>58</v>
      </c>
      <c r="G54" s="51" cm="1">
        <f t="array" ref="G54">NPV(D25,(D23-D22-D21)*F34:F51)</f>
        <v>523640452.83465856</v>
      </c>
    </row>
    <row r="55" spans="6:8" x14ac:dyDescent="0.3">
      <c r="G55" s="1"/>
    </row>
    <row r="56" spans="6:8" x14ac:dyDescent="0.3">
      <c r="F56" s="35" t="s">
        <v>60</v>
      </c>
      <c r="G56" s="53">
        <f>G54-G31-G23-G15-L10</f>
        <v>461880420.93388677</v>
      </c>
    </row>
  </sheetData>
  <dataValidations count="1">
    <dataValidation type="list" allowBlank="1" showInputMessage="1" showErrorMessage="1" sqref="C2" xr:uid="{5DBCA2B2-BCBA-4EDD-8C8B-D51EE17C32FE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2B4D-80CD-48BD-BDB3-C34430981817}">
  <dimension ref="B2:N55"/>
  <sheetViews>
    <sheetView topLeftCell="A47" workbookViewId="0">
      <selection activeCell="O36" sqref="O36"/>
    </sheetView>
  </sheetViews>
  <sheetFormatPr defaultRowHeight="14.4" x14ac:dyDescent="0.3"/>
  <cols>
    <col min="2" max="2" width="33.77734375" bestFit="1" customWidth="1"/>
    <col min="3" max="3" width="13.6640625" bestFit="1" customWidth="1"/>
    <col min="4" max="4" width="18.109375" bestFit="1" customWidth="1"/>
    <col min="6" max="6" width="40.88671875" bestFit="1" customWidth="1"/>
    <col min="7" max="7" width="15.44140625" bestFit="1" customWidth="1"/>
    <col min="8" max="8" width="13.6640625" bestFit="1" customWidth="1"/>
    <col min="11" max="11" width="18.33203125" bestFit="1" customWidth="1"/>
    <col min="12" max="12" width="15.109375" bestFit="1" customWidth="1"/>
    <col min="13" max="13" width="13.6640625" bestFit="1" customWidth="1"/>
  </cols>
  <sheetData>
    <row r="2" spans="2:14" x14ac:dyDescent="0.3">
      <c r="B2" s="35" t="s">
        <v>28</v>
      </c>
      <c r="C2" s="34" t="b">
        <v>1</v>
      </c>
    </row>
    <row r="3" spans="2:14" x14ac:dyDescent="0.3">
      <c r="K3" t="s">
        <v>73</v>
      </c>
      <c r="L3" s="1" t="s">
        <v>36</v>
      </c>
      <c r="M3" t="s">
        <v>38</v>
      </c>
      <c r="N3" t="s">
        <v>37</v>
      </c>
    </row>
    <row r="4" spans="2:14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75</v>
      </c>
      <c r="G4">
        <f>D5 + D10*3</f>
        <v>24000</v>
      </c>
      <c r="K4" s="35" t="s">
        <v>52</v>
      </c>
      <c r="L4" s="1">
        <f>-PV(D25,N4,0,M4)</f>
        <v>112904.9523814623</v>
      </c>
      <c r="M4" s="41">
        <f>H10</f>
        <v>1215000</v>
      </c>
      <c r="N4">
        <f>G5</f>
        <v>17</v>
      </c>
    </row>
    <row r="5" spans="2:14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ROUNDDOWN(LOG(C9/(G4+D10))/LOG(1-$D$6-4*$D$7),0)+1</f>
        <v>17</v>
      </c>
      <c r="K5" s="35" t="s">
        <v>54</v>
      </c>
      <c r="L5" s="1">
        <f>-PV(G7,ROUNDDOWN(G5/D19, 0),D17)</f>
        <v>646582.12238653714</v>
      </c>
    </row>
    <row r="6" spans="2:14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35" t="s">
        <v>55</v>
      </c>
      <c r="L6" s="1">
        <f>-PV(D25,G5,D18)</f>
        <v>1209432.151021715</v>
      </c>
    </row>
    <row r="7" spans="2:14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35" t="s">
        <v>62</v>
      </c>
      <c r="L7" s="1">
        <f>D13+D14</f>
        <v>3750000</v>
      </c>
    </row>
    <row r="8" spans="2:14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L8" s="1"/>
    </row>
    <row r="9" spans="2:14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  <c r="K9" s="35" t="s">
        <v>74</v>
      </c>
      <c r="L9" s="1">
        <f>SUM(L4:L7)</f>
        <v>5718919.2257897146</v>
      </c>
    </row>
    <row r="10" spans="2:14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112904.9523814623</v>
      </c>
      <c r="H10" s="41">
        <f>D15*(D13+D14+D17*G6+D18*G5)</f>
        <v>1215000</v>
      </c>
      <c r="I10">
        <f>G5</f>
        <v>17</v>
      </c>
      <c r="L10" s="1"/>
    </row>
    <row r="11" spans="2:14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1">
        <f>-PV(D25,_xlfn.CEILING.MATH(D11,D19)-D11, 0,-PV(G7,G6,D17)+D17)</f>
        <v>1503185.4109801548</v>
      </c>
      <c r="K11" t="s">
        <v>76</v>
      </c>
      <c r="L11" s="1" t="s">
        <v>36</v>
      </c>
      <c r="M11" t="s">
        <v>38</v>
      </c>
      <c r="N11" t="s">
        <v>37</v>
      </c>
    </row>
    <row r="12" spans="2:14" x14ac:dyDescent="0.3">
      <c r="C12" s="17"/>
      <c r="D12" s="17"/>
      <c r="F12" s="35" t="s">
        <v>42</v>
      </c>
      <c r="G12" s="1">
        <f>-PV(D25,G5,D18)</f>
        <v>1209432.151021715</v>
      </c>
      <c r="K12" s="35" t="s">
        <v>52</v>
      </c>
      <c r="L12" s="51">
        <f>-PV(D25,N12,0,M12)</f>
        <v>112904.9523814623</v>
      </c>
      <c r="M12" s="41">
        <f>H18</f>
        <v>1215000</v>
      </c>
      <c r="N12">
        <f>G5</f>
        <v>17</v>
      </c>
    </row>
    <row r="13" spans="2:14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  <c r="K13" s="35" t="s">
        <v>54</v>
      </c>
      <c r="L13" s="51">
        <f>-PV(G7,ROUNDDOWN(G5/D19, 0),D17)</f>
        <v>646582.12238653714</v>
      </c>
    </row>
    <row r="14" spans="2:14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2825522.5143833319</v>
      </c>
      <c r="K14" s="35" t="s">
        <v>55</v>
      </c>
      <c r="L14" s="51">
        <f>-PV(D25,G5,D18)</f>
        <v>1209432.151021715</v>
      </c>
    </row>
    <row r="15" spans="2:14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45208360.23013331</v>
      </c>
      <c r="K15" s="35" t="s">
        <v>62</v>
      </c>
      <c r="L15" s="1">
        <f>D13+D14</f>
        <v>3750000</v>
      </c>
    </row>
    <row r="16" spans="2:14" x14ac:dyDescent="0.3">
      <c r="C16" s="17"/>
      <c r="D16" s="17"/>
      <c r="G16" s="1"/>
    </row>
    <row r="17" spans="2:12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  <c r="K17" s="35" t="s">
        <v>74</v>
      </c>
      <c r="L17" s="42">
        <f>SUM(L12:L15)</f>
        <v>5718919.2257897146</v>
      </c>
    </row>
    <row r="18" spans="2:12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112904.9523814623</v>
      </c>
      <c r="H18" s="41">
        <f>H10</f>
        <v>1215000</v>
      </c>
      <c r="I18">
        <f>I10</f>
        <v>17</v>
      </c>
    </row>
    <row r="19" spans="2:12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1">
        <f>-PV(G7,ROUNDDOWN(G5/D19, 0),D17)</f>
        <v>646582.12238653714</v>
      </c>
    </row>
    <row r="20" spans="2:12" x14ac:dyDescent="0.3">
      <c r="F20" s="35" t="s">
        <v>55</v>
      </c>
      <c r="G20" s="1">
        <f>-PV(D25,G5,D18)</f>
        <v>1209432.151021715</v>
      </c>
    </row>
    <row r="21" spans="2:12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</row>
    <row r="22" spans="2:12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12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5718919.2257897146</v>
      </c>
    </row>
    <row r="25" spans="2:12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t="s">
        <v>68</v>
      </c>
      <c r="G25" s="1" t="s">
        <v>36</v>
      </c>
      <c r="H25" t="s">
        <v>38</v>
      </c>
      <c r="I25" t="s">
        <v>37</v>
      </c>
    </row>
    <row r="26" spans="2:12" ht="15" thickTop="1" x14ac:dyDescent="0.3">
      <c r="B26" s="12" t="s">
        <v>32</v>
      </c>
      <c r="C26" s="39"/>
      <c r="D26" s="40">
        <f>IF($C$2=TRUE,'Global Parameters'!D24,C26)</f>
        <v>0.87</v>
      </c>
      <c r="F26" s="35" t="s">
        <v>52</v>
      </c>
      <c r="G26" s="1">
        <f>-PV(D25,G5,0,H26)</f>
        <v>112904.9523814623</v>
      </c>
      <c r="H26" s="41">
        <f>H18</f>
        <v>1215000</v>
      </c>
      <c r="I26">
        <f>I18</f>
        <v>17</v>
      </c>
    </row>
    <row r="27" spans="2:12" x14ac:dyDescent="0.3">
      <c r="F27" s="35" t="s">
        <v>54</v>
      </c>
      <c r="G27" s="1">
        <f>-PV(G7,ROUNDDOWN(G5/D19, 0),D17)</f>
        <v>646582.12238653714</v>
      </c>
    </row>
    <row r="28" spans="2:12" x14ac:dyDescent="0.3">
      <c r="B28" s="35" t="s">
        <v>66</v>
      </c>
      <c r="C28">
        <v>0</v>
      </c>
      <c r="D28" t="s">
        <v>46</v>
      </c>
      <c r="F28" s="35" t="s">
        <v>55</v>
      </c>
      <c r="G28" s="1">
        <f>-PV(D25,G5,D18)</f>
        <v>1209432.151021715</v>
      </c>
    </row>
    <row r="29" spans="2:12" x14ac:dyDescent="0.3">
      <c r="F29" s="35" t="s">
        <v>62</v>
      </c>
      <c r="G29" s="1">
        <f>D14+D13</f>
        <v>3750000</v>
      </c>
    </row>
    <row r="31" spans="2:12" x14ac:dyDescent="0.3">
      <c r="F31" s="35" t="s">
        <v>69</v>
      </c>
      <c r="G31" s="51">
        <f>SUM(G26:G29)</f>
        <v>5718919.2257897146</v>
      </c>
    </row>
    <row r="33" spans="6:8" ht="15" thickBot="1" x14ac:dyDescent="0.35">
      <c r="F33" s="13" t="s">
        <v>45</v>
      </c>
      <c r="G33" s="46" t="s">
        <v>46</v>
      </c>
      <c r="H33" s="46" t="s">
        <v>57</v>
      </c>
    </row>
    <row r="34" spans="6:8" ht="15" thickTop="1" x14ac:dyDescent="0.3">
      <c r="F34" s="45">
        <f>365.25*H34</f>
        <v>9496500</v>
      </c>
      <c r="G34">
        <v>1</v>
      </c>
      <c r="H34">
        <f>G4+D10</f>
        <v>26000</v>
      </c>
    </row>
    <row r="35" spans="6:8" x14ac:dyDescent="0.3">
      <c r="F35" s="45">
        <f t="shared" ref="F35:F51" si="0">365.25*H35</f>
        <v>7502235</v>
      </c>
      <c r="G35">
        <v>2</v>
      </c>
      <c r="H35">
        <f>ROUND(H34*(1-$D$6-4*$D$7), 0)</f>
        <v>20540</v>
      </c>
    </row>
    <row r="36" spans="6:8" x14ac:dyDescent="0.3">
      <c r="F36" s="45">
        <f t="shared" si="0"/>
        <v>5926911.75</v>
      </c>
      <c r="G36">
        <v>3</v>
      </c>
      <c r="H36">
        <f t="shared" ref="H36:H51" si="1">ROUND(H35*(1-$D$6-4*$D$7), 0)</f>
        <v>16227</v>
      </c>
    </row>
    <row r="37" spans="6:8" x14ac:dyDescent="0.3">
      <c r="F37" s="45">
        <f t="shared" si="0"/>
        <v>4682139.75</v>
      </c>
      <c r="G37">
        <v>4</v>
      </c>
      <c r="H37">
        <f t="shared" si="1"/>
        <v>12819</v>
      </c>
    </row>
    <row r="38" spans="6:8" x14ac:dyDescent="0.3">
      <c r="F38" s="45">
        <f t="shared" si="0"/>
        <v>3698886.75</v>
      </c>
      <c r="G38">
        <v>5</v>
      </c>
      <c r="H38">
        <f t="shared" si="1"/>
        <v>10127</v>
      </c>
    </row>
    <row r="39" spans="6:8" x14ac:dyDescent="0.3">
      <c r="F39" s="45">
        <f t="shared" si="0"/>
        <v>2922000</v>
      </c>
      <c r="G39">
        <v>6</v>
      </c>
      <c r="H39">
        <f t="shared" si="1"/>
        <v>8000</v>
      </c>
    </row>
    <row r="40" spans="6:8" x14ac:dyDescent="0.3">
      <c r="F40" s="45">
        <f t="shared" si="0"/>
        <v>2308380</v>
      </c>
      <c r="G40">
        <v>7</v>
      </c>
      <c r="H40">
        <f t="shared" si="1"/>
        <v>6320</v>
      </c>
    </row>
    <row r="41" spans="6:8" x14ac:dyDescent="0.3">
      <c r="F41" s="45">
        <f t="shared" si="0"/>
        <v>1823693.25</v>
      </c>
      <c r="G41">
        <v>8</v>
      </c>
      <c r="H41">
        <f t="shared" si="1"/>
        <v>4993</v>
      </c>
    </row>
    <row r="42" spans="6:8" x14ac:dyDescent="0.3">
      <c r="F42" s="45">
        <f t="shared" si="0"/>
        <v>1440546</v>
      </c>
      <c r="G42">
        <v>9</v>
      </c>
      <c r="H42">
        <f t="shared" si="1"/>
        <v>3944</v>
      </c>
    </row>
    <row r="43" spans="6:8" x14ac:dyDescent="0.3">
      <c r="F43" s="45">
        <f t="shared" si="0"/>
        <v>1138119</v>
      </c>
      <c r="G43">
        <v>10</v>
      </c>
      <c r="H43">
        <f t="shared" si="1"/>
        <v>3116</v>
      </c>
    </row>
    <row r="44" spans="6:8" x14ac:dyDescent="0.3">
      <c r="F44" s="45">
        <f t="shared" si="0"/>
        <v>899245.5</v>
      </c>
      <c r="G44">
        <v>11</v>
      </c>
      <c r="H44">
        <f t="shared" si="1"/>
        <v>2462</v>
      </c>
    </row>
    <row r="45" spans="6:8" x14ac:dyDescent="0.3">
      <c r="F45" s="45">
        <f t="shared" si="0"/>
        <v>710411.25</v>
      </c>
      <c r="G45">
        <v>12</v>
      </c>
      <c r="H45">
        <f t="shared" si="1"/>
        <v>1945</v>
      </c>
    </row>
    <row r="46" spans="6:8" x14ac:dyDescent="0.3">
      <c r="F46" s="45">
        <f t="shared" si="0"/>
        <v>561389.25</v>
      </c>
      <c r="G46">
        <v>13</v>
      </c>
      <c r="H46">
        <f t="shared" si="1"/>
        <v>1537</v>
      </c>
    </row>
    <row r="47" spans="6:8" x14ac:dyDescent="0.3">
      <c r="F47" s="45">
        <f t="shared" si="0"/>
        <v>443413.5</v>
      </c>
      <c r="G47">
        <v>14</v>
      </c>
      <c r="H47">
        <f t="shared" si="1"/>
        <v>1214</v>
      </c>
    </row>
    <row r="48" spans="6:8" x14ac:dyDescent="0.3">
      <c r="F48" s="45">
        <f t="shared" si="0"/>
        <v>350274.75</v>
      </c>
      <c r="G48">
        <v>15</v>
      </c>
      <c r="H48">
        <f t="shared" si="1"/>
        <v>959</v>
      </c>
    </row>
    <row r="49" spans="6:8" x14ac:dyDescent="0.3">
      <c r="F49" s="45">
        <f t="shared" si="0"/>
        <v>276859.5</v>
      </c>
      <c r="G49">
        <v>16</v>
      </c>
      <c r="H49">
        <f t="shared" si="1"/>
        <v>758</v>
      </c>
    </row>
    <row r="50" spans="6:8" x14ac:dyDescent="0.3">
      <c r="F50" s="45">
        <f t="shared" si="0"/>
        <v>218784.75</v>
      </c>
      <c r="G50">
        <v>17</v>
      </c>
      <c r="H50">
        <f t="shared" si="1"/>
        <v>599</v>
      </c>
    </row>
    <row r="51" spans="6:8" x14ac:dyDescent="0.3">
      <c r="F51" s="47">
        <f t="shared" si="0"/>
        <v>172763.25</v>
      </c>
      <c r="G51" s="48">
        <v>18</v>
      </c>
      <c r="H51" s="48">
        <f t="shared" si="1"/>
        <v>473</v>
      </c>
    </row>
    <row r="53" spans="6:8" x14ac:dyDescent="0.3">
      <c r="F53" s="35" t="s">
        <v>58</v>
      </c>
      <c r="G53" s="51" cm="1">
        <f t="array" ref="G53">NPV(D25,(D23-D22-D21)*F34:F50)</f>
        <v>553027809.63912582</v>
      </c>
    </row>
    <row r="54" spans="6:8" x14ac:dyDescent="0.3">
      <c r="G54" s="1"/>
    </row>
    <row r="55" spans="6:8" x14ac:dyDescent="0.3">
      <c r="F55" s="35" t="s">
        <v>60</v>
      </c>
      <c r="G55" s="53">
        <f>G53-G31-G23-G15-L9-L17</f>
        <v>484943772.50583375</v>
      </c>
    </row>
  </sheetData>
  <dataValidations count="1">
    <dataValidation type="list" allowBlank="1" showInputMessage="1" showErrorMessage="1" sqref="C2" xr:uid="{B0A0F7A3-ADAA-4EDB-AE72-D96B93BBE73A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21E5-1BE8-486D-BEAE-0A7ECF20E534}">
  <dimension ref="B2:N55"/>
  <sheetViews>
    <sheetView topLeftCell="B35" workbookViewId="0">
      <selection activeCell="G55" sqref="G55"/>
    </sheetView>
  </sheetViews>
  <sheetFormatPr defaultRowHeight="14.4" x14ac:dyDescent="0.3"/>
  <cols>
    <col min="2" max="2" width="33.77734375" bestFit="1" customWidth="1"/>
    <col min="3" max="3" width="13.6640625" bestFit="1" customWidth="1"/>
    <col min="4" max="4" width="18.109375" bestFit="1" customWidth="1"/>
    <col min="6" max="6" width="40.88671875" bestFit="1" customWidth="1"/>
    <col min="7" max="7" width="15.44140625" bestFit="1" customWidth="1"/>
    <col min="8" max="8" width="13.6640625" bestFit="1" customWidth="1"/>
    <col min="11" max="11" width="18.33203125" bestFit="1" customWidth="1"/>
    <col min="12" max="12" width="15.109375" bestFit="1" customWidth="1"/>
    <col min="13" max="13" width="13.6640625" bestFit="1" customWidth="1"/>
  </cols>
  <sheetData>
    <row r="2" spans="2:14" x14ac:dyDescent="0.3">
      <c r="B2" s="35" t="s">
        <v>28</v>
      </c>
      <c r="C2" s="34" t="b">
        <v>1</v>
      </c>
    </row>
    <row r="3" spans="2:14" x14ac:dyDescent="0.3">
      <c r="K3" t="s">
        <v>73</v>
      </c>
      <c r="L3" s="1" t="s">
        <v>36</v>
      </c>
      <c r="M3" t="s">
        <v>38</v>
      </c>
      <c r="N3" t="s">
        <v>37</v>
      </c>
    </row>
    <row r="4" spans="2:14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83</v>
      </c>
      <c r="G4">
        <f>(D5 + D10*3)*(1-D6-3*D7)</f>
        <v>19200</v>
      </c>
      <c r="K4" s="35" t="s">
        <v>52</v>
      </c>
      <c r="L4" s="1">
        <f>-PV(D25,N4,0,M4)</f>
        <v>112904.9523814623</v>
      </c>
      <c r="M4" s="41">
        <f>H10</f>
        <v>1215000</v>
      </c>
      <c r="N4">
        <f>G5</f>
        <v>17</v>
      </c>
    </row>
    <row r="5" spans="2:14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ROUNDDOWN(LOG(C9/(G4+D10))/LOG(1-$D$6-4*$D$7),0)+2</f>
        <v>17</v>
      </c>
      <c r="K5" s="35" t="s">
        <v>54</v>
      </c>
      <c r="L5" s="1">
        <f>-PV(G7,ROUNDDOWN(G5/D19, 0),D17)</f>
        <v>646582.12238653714</v>
      </c>
    </row>
    <row r="6" spans="2:14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35" t="s">
        <v>55</v>
      </c>
      <c r="L6" s="1">
        <f>-PV(D25,G5,D18)</f>
        <v>1209432.151021715</v>
      </c>
    </row>
    <row r="7" spans="2:14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35" t="s">
        <v>62</v>
      </c>
      <c r="L7" s="1">
        <f>D13+D14</f>
        <v>3750000</v>
      </c>
    </row>
    <row r="8" spans="2:14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L8" s="1"/>
    </row>
    <row r="9" spans="2:14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  <c r="K9" s="35" t="s">
        <v>74</v>
      </c>
      <c r="L9" s="1">
        <f>SUM(L4:L7)</f>
        <v>5718919.2257897146</v>
      </c>
    </row>
    <row r="10" spans="2:14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112904.9523814623</v>
      </c>
      <c r="H10" s="41">
        <f>D15*(D13+D14+D17*G6+D18*G5)</f>
        <v>1215000</v>
      </c>
      <c r="I10">
        <f>G5</f>
        <v>17</v>
      </c>
      <c r="L10" s="1"/>
    </row>
    <row r="11" spans="2:14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1">
        <f>-PV(D25,_xlfn.CEILING.MATH(D11,D19)-D11, 0,-PV(G7,G6,D17)+D17)</f>
        <v>1503185.4109801548</v>
      </c>
      <c r="K11" t="s">
        <v>76</v>
      </c>
      <c r="L11" s="1" t="s">
        <v>36</v>
      </c>
      <c r="M11" t="s">
        <v>38</v>
      </c>
      <c r="N11" t="s">
        <v>37</v>
      </c>
    </row>
    <row r="12" spans="2:14" x14ac:dyDescent="0.3">
      <c r="C12" s="17"/>
      <c r="D12" s="17"/>
      <c r="F12" s="35" t="s">
        <v>42</v>
      </c>
      <c r="G12" s="1">
        <f>-PV(D25,G5,D18)</f>
        <v>1209432.151021715</v>
      </c>
      <c r="K12" s="35" t="s">
        <v>52</v>
      </c>
      <c r="L12" s="51">
        <f>-PV(D25,N12,0,M12)</f>
        <v>112904.9523814623</v>
      </c>
      <c r="M12" s="41">
        <f>H18</f>
        <v>1215000</v>
      </c>
      <c r="N12">
        <f>G5</f>
        <v>17</v>
      </c>
    </row>
    <row r="13" spans="2:14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  <c r="K13" s="35" t="s">
        <v>54</v>
      </c>
      <c r="L13" s="51">
        <f>-PV(G7,ROUNDDOWN((G5-1)/D19, 0),D17)</f>
        <v>646582.12238653714</v>
      </c>
    </row>
    <row r="14" spans="2:14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2825522.5143833319</v>
      </c>
      <c r="K14" s="35" t="s">
        <v>55</v>
      </c>
      <c r="L14" s="51">
        <f>-PV(D25,1,0,-PV(D25,G5-1,D18))</f>
        <v>1035519.1075434543</v>
      </c>
    </row>
    <row r="15" spans="2:14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45208360.23013331</v>
      </c>
      <c r="K15" s="35" t="s">
        <v>62</v>
      </c>
      <c r="L15" s="51">
        <f>-PV(D25,1,0,D13+D14)</f>
        <v>3260869.5652173916</v>
      </c>
    </row>
    <row r="16" spans="2:14" x14ac:dyDescent="0.3">
      <c r="C16" s="17"/>
      <c r="D16" s="17"/>
      <c r="G16" s="1"/>
    </row>
    <row r="17" spans="2:12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  <c r="K17" s="35" t="s">
        <v>74</v>
      </c>
      <c r="L17" s="42">
        <f>SUM(L12:L15)</f>
        <v>5055875.7475288454</v>
      </c>
    </row>
    <row r="18" spans="2:12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112904.9523814623</v>
      </c>
      <c r="H18" s="41">
        <f>H10</f>
        <v>1215000</v>
      </c>
      <c r="I18">
        <f>I10</f>
        <v>17</v>
      </c>
    </row>
    <row r="19" spans="2:12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1">
        <f>-PV(G7,ROUNDDOWN(G5/D19, 0),D17)</f>
        <v>646582.12238653714</v>
      </c>
    </row>
    <row r="20" spans="2:12" x14ac:dyDescent="0.3">
      <c r="F20" s="35" t="s">
        <v>55</v>
      </c>
      <c r="G20" s="1">
        <f>-PV(D25,G5,D18)</f>
        <v>1209432.151021715</v>
      </c>
    </row>
    <row r="21" spans="2:12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</row>
    <row r="22" spans="2:12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12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5718919.2257897146</v>
      </c>
    </row>
    <row r="25" spans="2:12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t="s">
        <v>68</v>
      </c>
      <c r="G25" s="1" t="s">
        <v>36</v>
      </c>
      <c r="H25" t="s">
        <v>38</v>
      </c>
      <c r="I25" t="s">
        <v>37</v>
      </c>
    </row>
    <row r="26" spans="2:12" ht="15" thickTop="1" x14ac:dyDescent="0.3">
      <c r="B26" s="12" t="s">
        <v>32</v>
      </c>
      <c r="C26" s="39"/>
      <c r="D26" s="40">
        <f>IF($C$2=TRUE,'Global Parameters'!D24,C26)</f>
        <v>0.87</v>
      </c>
      <c r="F26" s="35" t="s">
        <v>52</v>
      </c>
      <c r="G26" s="1">
        <f>-PV(D25,G5,0,H26)</f>
        <v>112904.9523814623</v>
      </c>
      <c r="H26" s="41">
        <f>H18</f>
        <v>1215000</v>
      </c>
      <c r="I26">
        <f>I18</f>
        <v>17</v>
      </c>
    </row>
    <row r="27" spans="2:12" x14ac:dyDescent="0.3">
      <c r="F27" s="35" t="s">
        <v>54</v>
      </c>
      <c r="G27" s="1">
        <f>-PV(G7,ROUNDDOWN(G5/D19, 0),D17)</f>
        <v>646582.12238653714</v>
      </c>
    </row>
    <row r="28" spans="2:12" x14ac:dyDescent="0.3">
      <c r="B28" s="35" t="s">
        <v>66</v>
      </c>
      <c r="C28">
        <v>0</v>
      </c>
      <c r="D28" t="s">
        <v>46</v>
      </c>
      <c r="F28" s="35" t="s">
        <v>55</v>
      </c>
      <c r="G28" s="1">
        <f>-PV(D25,G5,D18)</f>
        <v>1209432.151021715</v>
      </c>
    </row>
    <row r="29" spans="2:12" x14ac:dyDescent="0.3">
      <c r="F29" s="35" t="s">
        <v>62</v>
      </c>
      <c r="G29" s="1">
        <f>D14+D13</f>
        <v>3750000</v>
      </c>
    </row>
    <row r="31" spans="2:12" x14ac:dyDescent="0.3">
      <c r="F31" s="35" t="s">
        <v>69</v>
      </c>
      <c r="G31" s="51">
        <f>SUM(G26:G29)</f>
        <v>5718919.2257897146</v>
      </c>
    </row>
    <row r="33" spans="6:8" ht="15" thickBot="1" x14ac:dyDescent="0.35">
      <c r="F33" s="13" t="s">
        <v>45</v>
      </c>
      <c r="G33" s="46" t="s">
        <v>46</v>
      </c>
      <c r="H33" s="46" t="s">
        <v>57</v>
      </c>
    </row>
    <row r="34" spans="6:8" ht="15" thickTop="1" x14ac:dyDescent="0.3">
      <c r="F34" s="45">
        <f>365.25*H34</f>
        <v>8766000</v>
      </c>
      <c r="G34">
        <v>1</v>
      </c>
      <c r="H34">
        <f>D5+3*D10</f>
        <v>24000</v>
      </c>
    </row>
    <row r="35" spans="6:8" x14ac:dyDescent="0.3">
      <c r="F35" s="45">
        <f t="shared" ref="F35:F51" si="0">365.25*H35</f>
        <v>7743300</v>
      </c>
      <c r="G35">
        <v>2</v>
      </c>
      <c r="H35">
        <f>G4+D10</f>
        <v>21200</v>
      </c>
    </row>
    <row r="36" spans="6:8" x14ac:dyDescent="0.3">
      <c r="F36" s="45">
        <f t="shared" si="0"/>
        <v>6117207</v>
      </c>
      <c r="G36">
        <v>3</v>
      </c>
      <c r="H36">
        <f t="shared" ref="H36:H51" si="1">ROUND(H35*(1-$D$6-4*$D$7), 0)</f>
        <v>16748</v>
      </c>
    </row>
    <row r="37" spans="6:8" x14ac:dyDescent="0.3">
      <c r="F37" s="45">
        <f t="shared" si="0"/>
        <v>4832622.75</v>
      </c>
      <c r="G37">
        <v>4</v>
      </c>
      <c r="H37">
        <f t="shared" si="1"/>
        <v>13231</v>
      </c>
    </row>
    <row r="38" spans="6:8" x14ac:dyDescent="0.3">
      <c r="F38" s="45">
        <f t="shared" si="0"/>
        <v>3817593</v>
      </c>
      <c r="G38">
        <v>5</v>
      </c>
      <c r="H38">
        <f t="shared" si="1"/>
        <v>10452</v>
      </c>
    </row>
    <row r="39" spans="6:8" x14ac:dyDescent="0.3">
      <c r="F39" s="45">
        <f t="shared" si="0"/>
        <v>3015869.25</v>
      </c>
      <c r="G39">
        <v>6</v>
      </c>
      <c r="H39">
        <f t="shared" si="1"/>
        <v>8257</v>
      </c>
    </row>
    <row r="40" spans="6:8" x14ac:dyDescent="0.3">
      <c r="F40" s="45">
        <f t="shared" si="0"/>
        <v>2382525.75</v>
      </c>
      <c r="G40">
        <v>7</v>
      </c>
      <c r="H40">
        <f t="shared" si="1"/>
        <v>6523</v>
      </c>
    </row>
    <row r="41" spans="6:8" x14ac:dyDescent="0.3">
      <c r="F41" s="45">
        <f t="shared" si="0"/>
        <v>1882133.25</v>
      </c>
      <c r="G41">
        <v>8</v>
      </c>
      <c r="H41">
        <f t="shared" si="1"/>
        <v>5153</v>
      </c>
    </row>
    <row r="42" spans="6:8" x14ac:dyDescent="0.3">
      <c r="F42" s="45">
        <f t="shared" si="0"/>
        <v>1486932.75</v>
      </c>
      <c r="G42">
        <v>9</v>
      </c>
      <c r="H42">
        <f t="shared" si="1"/>
        <v>4071</v>
      </c>
    </row>
    <row r="43" spans="6:8" x14ac:dyDescent="0.3">
      <c r="F43" s="45">
        <f t="shared" si="0"/>
        <v>1174644</v>
      </c>
      <c r="G43">
        <v>10</v>
      </c>
      <c r="H43">
        <f t="shared" si="1"/>
        <v>3216</v>
      </c>
    </row>
    <row r="44" spans="6:8" x14ac:dyDescent="0.3">
      <c r="F44" s="45">
        <f t="shared" si="0"/>
        <v>928100.25</v>
      </c>
      <c r="G44">
        <v>11</v>
      </c>
      <c r="H44">
        <f t="shared" si="1"/>
        <v>2541</v>
      </c>
    </row>
    <row r="45" spans="6:8" x14ac:dyDescent="0.3">
      <c r="F45" s="45">
        <f t="shared" si="0"/>
        <v>733056.75</v>
      </c>
      <c r="G45">
        <v>12</v>
      </c>
      <c r="H45">
        <f t="shared" si="1"/>
        <v>2007</v>
      </c>
    </row>
    <row r="46" spans="6:8" x14ac:dyDescent="0.3">
      <c r="F46" s="45">
        <f t="shared" si="0"/>
        <v>579286.5</v>
      </c>
      <c r="G46">
        <v>13</v>
      </c>
      <c r="H46">
        <f t="shared" si="1"/>
        <v>1586</v>
      </c>
    </row>
    <row r="47" spans="6:8" x14ac:dyDescent="0.3">
      <c r="F47" s="45">
        <f t="shared" si="0"/>
        <v>457658.25</v>
      </c>
      <c r="G47">
        <v>14</v>
      </c>
      <c r="H47">
        <f t="shared" si="1"/>
        <v>1253</v>
      </c>
    </row>
    <row r="48" spans="6:8" x14ac:dyDescent="0.3">
      <c r="F48" s="45">
        <f t="shared" si="0"/>
        <v>361597.5</v>
      </c>
      <c r="G48">
        <v>15</v>
      </c>
      <c r="H48">
        <f t="shared" si="1"/>
        <v>990</v>
      </c>
    </row>
    <row r="49" spans="6:8" x14ac:dyDescent="0.3">
      <c r="F49" s="45">
        <f t="shared" si="0"/>
        <v>285625.5</v>
      </c>
      <c r="G49">
        <v>16</v>
      </c>
      <c r="H49">
        <f t="shared" si="1"/>
        <v>782</v>
      </c>
    </row>
    <row r="50" spans="6:8" x14ac:dyDescent="0.3">
      <c r="F50" s="45">
        <f t="shared" si="0"/>
        <v>225724.5</v>
      </c>
      <c r="G50">
        <v>17</v>
      </c>
      <c r="H50">
        <f t="shared" si="1"/>
        <v>618</v>
      </c>
    </row>
    <row r="51" spans="6:8" x14ac:dyDescent="0.3">
      <c r="F51" s="47">
        <f t="shared" si="0"/>
        <v>178242</v>
      </c>
      <c r="G51" s="48">
        <v>18</v>
      </c>
      <c r="H51" s="48">
        <f t="shared" si="1"/>
        <v>488</v>
      </c>
    </row>
    <row r="53" spans="6:8" x14ac:dyDescent="0.3">
      <c r="F53" s="35" t="s">
        <v>58</v>
      </c>
      <c r="G53" s="51" cm="1">
        <f t="array" ref="G53">NPV(D25,(D23-D22-D21)*F34:F50)</f>
        <v>551880088.13108706</v>
      </c>
    </row>
    <row r="54" spans="6:8" x14ac:dyDescent="0.3">
      <c r="G54" s="1"/>
    </row>
    <row r="55" spans="6:8" x14ac:dyDescent="0.3">
      <c r="F55" s="35" t="s">
        <v>60</v>
      </c>
      <c r="G55" s="53">
        <f>G53-G31-G23-G15-L9-L17</f>
        <v>484459094.47605586</v>
      </c>
    </row>
  </sheetData>
  <dataValidations count="1">
    <dataValidation type="list" allowBlank="1" showInputMessage="1" showErrorMessage="1" sqref="C2" xr:uid="{C879682A-5AA0-400E-9E52-A2911781EEFA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7AFB-36DE-481F-8453-79E9459A8E29}">
  <dimension ref="B2:O41"/>
  <sheetViews>
    <sheetView topLeftCell="C22" zoomScaleNormal="100" workbookViewId="0">
      <selection activeCell="G41" sqref="G41"/>
    </sheetView>
  </sheetViews>
  <sheetFormatPr defaultRowHeight="14.4" x14ac:dyDescent="0.3"/>
  <cols>
    <col min="2" max="2" width="36.44140625" customWidth="1"/>
    <col min="3" max="3" width="19.33203125" customWidth="1"/>
    <col min="4" max="4" width="18.44140625" customWidth="1"/>
    <col min="6" max="6" width="42.6640625" customWidth="1"/>
    <col min="7" max="7" width="20" customWidth="1"/>
    <col min="8" max="8" width="16.6640625" customWidth="1"/>
    <col min="9" max="9" width="18.33203125" bestFit="1" customWidth="1"/>
    <col min="11" max="11" width="15.44140625" customWidth="1"/>
    <col min="12" max="12" width="17.6640625" bestFit="1" customWidth="1"/>
    <col min="15" max="15" width="15.44140625" bestFit="1" customWidth="1"/>
  </cols>
  <sheetData>
    <row r="2" spans="2:15" x14ac:dyDescent="0.3">
      <c r="B2" s="35" t="s">
        <v>28</v>
      </c>
      <c r="C2" s="34" t="b">
        <v>1</v>
      </c>
    </row>
    <row r="4" spans="2:15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30</v>
      </c>
      <c r="G4">
        <f>ROUNDUP(LOG(D9/D5)/LOG(1-D6),0)</f>
        <v>20</v>
      </c>
      <c r="K4" s="60" t="s">
        <v>46</v>
      </c>
      <c r="L4" s="54" t="s">
        <v>80</v>
      </c>
      <c r="N4" s="60" t="s">
        <v>78</v>
      </c>
      <c r="O4" s="54" t="s">
        <v>79</v>
      </c>
    </row>
    <row r="5" spans="2:15" ht="15" thickBot="1" x14ac:dyDescent="0.35">
      <c r="B5" s="13" t="s">
        <v>0</v>
      </c>
      <c r="C5" s="36">
        <v>18000</v>
      </c>
      <c r="D5" s="37">
        <f>IF($C$2=TRUE,'Global Parameters'!D3,'DN with Inflation'!C5)</f>
        <v>18000</v>
      </c>
      <c r="F5" s="35" t="s">
        <v>33</v>
      </c>
      <c r="G5">
        <f>ROUNDUP((G4+D11)/D19,0)</f>
        <v>4</v>
      </c>
      <c r="K5" s="60">
        <v>2010</v>
      </c>
      <c r="L5" s="55">
        <v>23.06</v>
      </c>
      <c r="N5" s="60">
        <v>2023</v>
      </c>
      <c r="O5" s="54">
        <f>'Well 17 Year 0 with Inflation'!O5</f>
        <v>18</v>
      </c>
    </row>
    <row r="6" spans="2:15" ht="15.6" thickTop="1" thickBot="1" x14ac:dyDescent="0.35">
      <c r="B6" s="11" t="s">
        <v>9</v>
      </c>
      <c r="C6" s="7">
        <v>0.17</v>
      </c>
      <c r="D6" s="19">
        <f>IF($C$2=TRUE,'Global Parameters'!D4,'DN with Inflation'!C6)</f>
        <v>0.17</v>
      </c>
      <c r="F6" s="35" t="s">
        <v>40</v>
      </c>
      <c r="G6" s="2">
        <f>(1+D25)^D19-1</f>
        <v>1.6600198804687483</v>
      </c>
      <c r="K6" s="60">
        <v>2011</v>
      </c>
      <c r="L6" s="55">
        <v>14.91</v>
      </c>
      <c r="N6" s="60">
        <v>2024</v>
      </c>
      <c r="O6" s="54">
        <f>'Well 17 Year 0 with Inflation'!O6</f>
        <v>20</v>
      </c>
    </row>
    <row r="7" spans="2:15" ht="15.6" thickTop="1" thickBot="1" x14ac:dyDescent="0.35">
      <c r="B7" s="11" t="s">
        <v>10</v>
      </c>
      <c r="C7" s="7">
        <v>0.01</v>
      </c>
      <c r="D7" s="19">
        <f>IF($C$2=TRUE,'Global Parameters'!D5,'DN with Inflation'!C7)</f>
        <v>0.01</v>
      </c>
      <c r="K7" s="60">
        <v>2012</v>
      </c>
      <c r="L7" s="55">
        <v>4.99</v>
      </c>
      <c r="N7" s="60">
        <v>2025</v>
      </c>
      <c r="O7" s="54">
        <f>'Well 17 Year 0 with Inflation'!O7</f>
        <v>15</v>
      </c>
    </row>
    <row r="8" spans="2:15" ht="15.6" thickTop="1" thickBot="1" x14ac:dyDescent="0.35">
      <c r="B8" s="11" t="s">
        <v>18</v>
      </c>
      <c r="C8" s="8">
        <v>16</v>
      </c>
      <c r="D8" s="20">
        <f>IF($C$2=TRUE,'Global Parameters'!D6,'DN with Inflation'!C8)</f>
        <v>16</v>
      </c>
      <c r="G8" t="s">
        <v>36</v>
      </c>
      <c r="H8" t="s">
        <v>38</v>
      </c>
      <c r="I8" t="s">
        <v>37</v>
      </c>
      <c r="K8" s="60">
        <v>2013</v>
      </c>
      <c r="L8" s="55">
        <v>1.39</v>
      </c>
      <c r="N8" s="60">
        <v>2026</v>
      </c>
      <c r="O8" s="54">
        <f>'Well 17 Year 0 with Inflation'!O8</f>
        <v>12</v>
      </c>
    </row>
    <row r="9" spans="2:15" ht="15.6" thickTop="1" thickBot="1" x14ac:dyDescent="0.35">
      <c r="B9" s="11" t="s">
        <v>24</v>
      </c>
      <c r="C9" s="8">
        <v>500</v>
      </c>
      <c r="D9" s="20">
        <f>IF($C$2=TRUE,'Global Parameters'!D7,'DN with Inflation'!C9)</f>
        <v>500</v>
      </c>
      <c r="F9" s="35" t="s">
        <v>39</v>
      </c>
      <c r="G9" s="1">
        <f>-PV(D25,G4,0,H9)</f>
        <v>77902.855649205332</v>
      </c>
      <c r="H9" s="41">
        <f>D15*(D13+D14+D17*G5+D18*G4)</f>
        <v>1275000</v>
      </c>
      <c r="I9">
        <f>G4</f>
        <v>20</v>
      </c>
      <c r="K9" s="60">
        <v>2014</v>
      </c>
      <c r="L9" s="55">
        <v>-59.29</v>
      </c>
      <c r="N9" s="60">
        <v>2027</v>
      </c>
      <c r="O9" s="54">
        <f>'Well 17 Year 0 with Inflation'!O9</f>
        <v>6</v>
      </c>
    </row>
    <row r="10" spans="2:15" ht="15.6" thickTop="1" thickBot="1" x14ac:dyDescent="0.35">
      <c r="B10" s="11" t="s">
        <v>48</v>
      </c>
      <c r="C10" s="8">
        <v>2000</v>
      </c>
      <c r="D10" s="20">
        <f>IF($C$2=TRUE,'Global Parameters'!D8,'DN with Inflation'!C10)</f>
        <v>2000</v>
      </c>
      <c r="F10" s="35" t="s">
        <v>41</v>
      </c>
      <c r="G10" s="1">
        <f>-PV(D25,IF(MOD(D19,D11) &gt; 0, MOD(D19,D11), 0), 0,-PV(G6,G5,D17)+D17)</f>
        <v>1503185.4109801548</v>
      </c>
      <c r="K10" s="60">
        <v>2015</v>
      </c>
      <c r="L10" s="55">
        <v>-34.81</v>
      </c>
      <c r="N10" s="60">
        <v>2028</v>
      </c>
      <c r="O10" s="54">
        <f>'Well 17 Year 0 with Inflation'!O10</f>
        <v>3</v>
      </c>
    </row>
    <row r="11" spans="2:15" ht="15" thickTop="1" x14ac:dyDescent="0.3">
      <c r="B11" s="12" t="s">
        <v>25</v>
      </c>
      <c r="C11" s="25">
        <v>5</v>
      </c>
      <c r="D11" s="21">
        <f>IF($C$2=TRUE,'Global Parameters'!D9,'DN with Inflation'!C11)</f>
        <v>5</v>
      </c>
      <c r="F11" s="35" t="s">
        <v>42</v>
      </c>
      <c r="G11" s="1">
        <f>-PV(D25,G4,D18)</f>
        <v>1251866.2947459291</v>
      </c>
      <c r="K11" s="60">
        <v>2016</v>
      </c>
      <c r="L11" s="55">
        <v>46.57</v>
      </c>
      <c r="N11" s="60">
        <v>2029</v>
      </c>
      <c r="O11" s="54">
        <f>'Well 17 Year 0 with Inflation'!O11</f>
        <v>1</v>
      </c>
    </row>
    <row r="12" spans="2:15" x14ac:dyDescent="0.3">
      <c r="C12" s="17"/>
      <c r="D12" s="17"/>
      <c r="G12" s="1"/>
      <c r="K12" s="60">
        <v>2017</v>
      </c>
      <c r="L12" s="55">
        <v>15.88</v>
      </c>
      <c r="N12" s="60">
        <v>2030</v>
      </c>
      <c r="O12" s="54">
        <f>'Well 17 Year 0 with Inflation'!O12</f>
        <v>-1</v>
      </c>
    </row>
    <row r="13" spans="2:15" ht="15" thickBot="1" x14ac:dyDescent="0.35">
      <c r="B13" s="13" t="s">
        <v>4</v>
      </c>
      <c r="C13" s="3">
        <v>2000000</v>
      </c>
      <c r="D13" s="14">
        <f>IF($C$2=TRUE,'Global Parameters'!D11,'DN with Inflation'!C13)</f>
        <v>2000000</v>
      </c>
      <c r="F13" s="35" t="s">
        <v>43</v>
      </c>
      <c r="G13" s="1">
        <f>SUM(G9:G11)</f>
        <v>2832954.5613752892</v>
      </c>
      <c r="K13" s="60">
        <v>2018</v>
      </c>
      <c r="L13" s="55">
        <v>-15.89</v>
      </c>
      <c r="N13" s="60">
        <v>2031</v>
      </c>
      <c r="O13" s="54">
        <f>'Well 17 Year 0 with Inflation'!O13</f>
        <v>-2.5</v>
      </c>
    </row>
    <row r="14" spans="2:15" ht="15.6" thickTop="1" thickBot="1" x14ac:dyDescent="0.35">
      <c r="B14" s="11" t="s">
        <v>5</v>
      </c>
      <c r="C14" s="5">
        <v>1750000</v>
      </c>
      <c r="D14" s="15">
        <f>IF($C$2=TRUE,'Global Parameters'!D12,'DN with Inflation'!C14)</f>
        <v>1750000</v>
      </c>
      <c r="F14" s="35" t="s">
        <v>44</v>
      </c>
      <c r="G14" s="1">
        <f>D8*G13</f>
        <v>45327272.982004628</v>
      </c>
      <c r="K14" s="60">
        <v>2019</v>
      </c>
      <c r="L14" s="55">
        <v>22.21</v>
      </c>
      <c r="N14" s="60">
        <v>2032</v>
      </c>
      <c r="O14" s="54">
        <f>'Well 17 Year 0 with Inflation'!O14</f>
        <v>-0.5</v>
      </c>
    </row>
    <row r="15" spans="2:15" ht="15" thickTop="1" x14ac:dyDescent="0.3">
      <c r="B15" s="12" t="s">
        <v>16</v>
      </c>
      <c r="C15" s="28">
        <v>0.1</v>
      </c>
      <c r="D15" s="18">
        <f>IF($C$2=TRUE,'Global Parameters'!D13,'DN with Inflation'!C15)</f>
        <v>0.1</v>
      </c>
      <c r="K15" s="60">
        <v>2020</v>
      </c>
      <c r="L15" s="55">
        <v>7.08</v>
      </c>
      <c r="N15" s="60">
        <v>2034</v>
      </c>
      <c r="O15" s="54">
        <f>'Well 17 Year 0 with Inflation'!O15</f>
        <v>1</v>
      </c>
    </row>
    <row r="16" spans="2:15" ht="15" thickBot="1" x14ac:dyDescent="0.35">
      <c r="C16" s="17"/>
      <c r="D16" s="17"/>
      <c r="F16" s="13" t="s">
        <v>45</v>
      </c>
      <c r="G16" s="46" t="s">
        <v>46</v>
      </c>
      <c r="H16" s="4" t="s">
        <v>57</v>
      </c>
      <c r="I16" s="4" t="s">
        <v>84</v>
      </c>
      <c r="K16" s="60">
        <v>2021</v>
      </c>
      <c r="L16" s="55">
        <v>45.26</v>
      </c>
      <c r="N16" s="60">
        <v>2035</v>
      </c>
      <c r="O16" s="54">
        <f>'Well 17 Year 0 with Inflation'!O16</f>
        <v>2.1</v>
      </c>
    </row>
    <row r="17" spans="2:15" ht="15.6" thickTop="1" thickBot="1" x14ac:dyDescent="0.35">
      <c r="B17" s="13" t="s">
        <v>11</v>
      </c>
      <c r="C17" s="3">
        <v>1250000</v>
      </c>
      <c r="D17" s="14">
        <f>IF($C$2=TRUE,'Global Parameters'!D15,'DN with Inflation'!C17)</f>
        <v>1250000</v>
      </c>
      <c r="F17" s="45">
        <f>365.25*H17</f>
        <v>6574500</v>
      </c>
      <c r="G17">
        <v>1</v>
      </c>
      <c r="H17" s="34">
        <f>D5</f>
        <v>18000</v>
      </c>
      <c r="I17" s="41">
        <f>($D$23-$D$22-$D$21)*(1+O5/100)</f>
        <v>24.779999999999998</v>
      </c>
      <c r="K17" s="60">
        <v>2022</v>
      </c>
      <c r="L17" s="55">
        <v>14.98</v>
      </c>
      <c r="N17" s="60">
        <v>2036</v>
      </c>
      <c r="O17" s="54">
        <f>'Well 17 Year 0 with Inflation'!O17</f>
        <v>1.5</v>
      </c>
    </row>
    <row r="18" spans="2:15" ht="15.6" thickTop="1" thickBot="1" x14ac:dyDescent="0.35">
      <c r="B18" s="11" t="s">
        <v>12</v>
      </c>
      <c r="C18" s="5">
        <v>200000</v>
      </c>
      <c r="D18" s="15">
        <f>IF($C$2=TRUE,'Global Parameters'!D16,'DN with Inflation'!C18)</f>
        <v>200000</v>
      </c>
      <c r="F18" s="45">
        <f t="shared" ref="F18:F37" si="0">365.25*H18</f>
        <v>5456835</v>
      </c>
      <c r="G18">
        <v>2</v>
      </c>
      <c r="H18" s="34">
        <f>ROUND(H17*(1-$D$6), 0)</f>
        <v>14940</v>
      </c>
      <c r="I18" s="41">
        <f>I17*(1+O6/100)</f>
        <v>29.735999999999997</v>
      </c>
    </row>
    <row r="19" spans="2:15" ht="15" thickTop="1" x14ac:dyDescent="0.3">
      <c r="B19" s="12" t="s">
        <v>34</v>
      </c>
      <c r="C19" s="25">
        <v>7</v>
      </c>
      <c r="D19" s="21">
        <f>IF($C$2=TRUE,'Global Parameters'!D17,'DN with Inflation'!C19)</f>
        <v>7</v>
      </c>
      <c r="F19" s="45">
        <f t="shared" si="0"/>
        <v>4529100</v>
      </c>
      <c r="G19">
        <v>3</v>
      </c>
      <c r="H19" s="34">
        <f t="shared" ref="H19:H37" si="1">ROUND(H18*(1-$D$6), 0)</f>
        <v>12400</v>
      </c>
      <c r="I19" s="41">
        <f t="shared" ref="I19:I29" si="2">I18*(1+O7/100)</f>
        <v>34.196399999999997</v>
      </c>
    </row>
    <row r="20" spans="2:15" x14ac:dyDescent="0.3">
      <c r="F20" s="45">
        <f t="shared" si="0"/>
        <v>3759153</v>
      </c>
      <c r="G20">
        <v>4</v>
      </c>
      <c r="H20" s="34">
        <f t="shared" si="1"/>
        <v>10292</v>
      </c>
      <c r="I20" s="41">
        <f t="shared" si="2"/>
        <v>38.299968</v>
      </c>
    </row>
    <row r="21" spans="2:15" ht="15" thickBot="1" x14ac:dyDescent="0.35">
      <c r="B21" s="13" t="s">
        <v>20</v>
      </c>
      <c r="C21" s="3">
        <v>5.25</v>
      </c>
      <c r="D21" s="14">
        <f>IF($C$2=TRUE,'Global Parameters'!D19,'DN with Inflation'!C21)</f>
        <v>5.25</v>
      </c>
      <c r="F21" s="45">
        <f t="shared" si="0"/>
        <v>3119965.5</v>
      </c>
      <c r="G21">
        <v>5</v>
      </c>
      <c r="H21" s="34">
        <f t="shared" si="1"/>
        <v>8542</v>
      </c>
      <c r="I21" s="41">
        <f t="shared" si="2"/>
        <v>40.597966079999999</v>
      </c>
    </row>
    <row r="22" spans="2:15" ht="15.6" thickTop="1" thickBot="1" x14ac:dyDescent="0.35">
      <c r="B22" s="11" t="s">
        <v>21</v>
      </c>
      <c r="C22" s="5">
        <v>3.75</v>
      </c>
      <c r="D22" s="15">
        <f>IF($C$2=TRUE,'Global Parameters'!D20,'DN with Inflation'!C22)</f>
        <v>3.75</v>
      </c>
      <c r="F22" s="45">
        <f t="shared" si="0"/>
        <v>2589622.5</v>
      </c>
      <c r="G22">
        <v>6</v>
      </c>
      <c r="H22" s="34">
        <f t="shared" si="1"/>
        <v>7090</v>
      </c>
      <c r="I22" s="41">
        <f t="shared" si="2"/>
        <v>41.815905062399999</v>
      </c>
    </row>
    <row r="23" spans="2:15" ht="15" thickTop="1" x14ac:dyDescent="0.3">
      <c r="B23" s="12" t="s">
        <v>22</v>
      </c>
      <c r="C23" s="9">
        <v>30</v>
      </c>
      <c r="D23" s="16">
        <f>IF($C$2=TRUE,'Global Parameters'!D21,'DN with Inflation'!C23)</f>
        <v>30</v>
      </c>
      <c r="F23" s="45">
        <f t="shared" si="0"/>
        <v>2149496.25</v>
      </c>
      <c r="G23">
        <v>7</v>
      </c>
      <c r="H23" s="34">
        <f t="shared" si="1"/>
        <v>5885</v>
      </c>
      <c r="I23" s="41">
        <f t="shared" si="2"/>
        <v>42.234064113023997</v>
      </c>
    </row>
    <row r="24" spans="2:15" x14ac:dyDescent="0.3">
      <c r="F24" s="45">
        <f t="shared" si="0"/>
        <v>1784246.25</v>
      </c>
      <c r="G24">
        <v>8</v>
      </c>
      <c r="H24" s="34">
        <f t="shared" si="1"/>
        <v>4885</v>
      </c>
      <c r="I24" s="41">
        <f t="shared" si="2"/>
        <v>41.811723471893757</v>
      </c>
    </row>
    <row r="25" spans="2:15" ht="15" thickBot="1" x14ac:dyDescent="0.35">
      <c r="B25" s="13" t="s">
        <v>31</v>
      </c>
      <c r="C25" s="38">
        <v>0.15</v>
      </c>
      <c r="D25" s="30">
        <f>IF($C$2=TRUE,'Global Parameters'!D23,'DN with Inflation'!C25)</f>
        <v>0.15</v>
      </c>
      <c r="F25" s="45">
        <f t="shared" si="0"/>
        <v>1481088.75</v>
      </c>
      <c r="G25">
        <v>9</v>
      </c>
      <c r="H25" s="34">
        <f t="shared" si="1"/>
        <v>4055</v>
      </c>
      <c r="I25" s="41">
        <f t="shared" si="2"/>
        <v>40.766430385096413</v>
      </c>
    </row>
    <row r="26" spans="2:15" ht="15" thickTop="1" x14ac:dyDescent="0.3">
      <c r="B26" s="12" t="s">
        <v>32</v>
      </c>
      <c r="C26" s="39"/>
      <c r="D26" s="40">
        <f>IF($C$2=TRUE,'Global Parameters'!D24,'DN with Inflation'!C26)</f>
        <v>0.87</v>
      </c>
      <c r="F26" s="45">
        <f t="shared" si="0"/>
        <v>1229431.5</v>
      </c>
      <c r="G26">
        <v>10</v>
      </c>
      <c r="H26" s="34">
        <f t="shared" si="1"/>
        <v>3366</v>
      </c>
      <c r="I26" s="41">
        <f t="shared" si="2"/>
        <v>40.562598233170931</v>
      </c>
    </row>
    <row r="27" spans="2:15" x14ac:dyDescent="0.3">
      <c r="F27" s="45">
        <f t="shared" si="0"/>
        <v>1020508.5</v>
      </c>
      <c r="G27">
        <v>11</v>
      </c>
      <c r="H27" s="34">
        <f t="shared" si="1"/>
        <v>2794</v>
      </c>
      <c r="I27" s="41">
        <f t="shared" si="2"/>
        <v>40.968224215502637</v>
      </c>
    </row>
    <row r="28" spans="2:15" x14ac:dyDescent="0.3">
      <c r="F28" s="45">
        <f t="shared" si="0"/>
        <v>847014.75</v>
      </c>
      <c r="G28">
        <v>12</v>
      </c>
      <c r="H28" s="34">
        <f t="shared" si="1"/>
        <v>2319</v>
      </c>
      <c r="I28" s="41">
        <f t="shared" si="2"/>
        <v>41.828556924028192</v>
      </c>
    </row>
    <row r="29" spans="2:15" x14ac:dyDescent="0.3">
      <c r="F29" s="45">
        <f t="shared" si="0"/>
        <v>703106.25</v>
      </c>
      <c r="G29">
        <v>13</v>
      </c>
      <c r="H29" s="34">
        <f t="shared" si="1"/>
        <v>1925</v>
      </c>
      <c r="I29" s="41">
        <f t="shared" si="2"/>
        <v>42.455985277888608</v>
      </c>
    </row>
    <row r="30" spans="2:15" x14ac:dyDescent="0.3">
      <c r="F30" s="45">
        <f t="shared" si="0"/>
        <v>583669.5</v>
      </c>
      <c r="G30">
        <v>14</v>
      </c>
      <c r="H30" s="34">
        <f t="shared" si="1"/>
        <v>1598</v>
      </c>
      <c r="I30" s="41">
        <f>I29</f>
        <v>42.455985277888608</v>
      </c>
    </row>
    <row r="31" spans="2:15" x14ac:dyDescent="0.3">
      <c r="F31" s="45">
        <f t="shared" si="0"/>
        <v>484321.5</v>
      </c>
      <c r="G31">
        <v>15</v>
      </c>
      <c r="H31" s="34">
        <f t="shared" si="1"/>
        <v>1326</v>
      </c>
      <c r="I31" s="41">
        <f>I29</f>
        <v>42.455985277888608</v>
      </c>
    </row>
    <row r="32" spans="2:15" x14ac:dyDescent="0.3">
      <c r="F32" s="45">
        <f t="shared" si="0"/>
        <v>402140.25</v>
      </c>
      <c r="G32">
        <v>16</v>
      </c>
      <c r="H32" s="34">
        <f t="shared" si="1"/>
        <v>1101</v>
      </c>
      <c r="I32" s="41">
        <f t="shared" ref="I32:I37" si="3">I30</f>
        <v>42.455985277888608</v>
      </c>
    </row>
    <row r="33" spans="6:9" x14ac:dyDescent="0.3">
      <c r="F33" s="45">
        <f t="shared" si="0"/>
        <v>333838.5</v>
      </c>
      <c r="G33">
        <v>17</v>
      </c>
      <c r="H33" s="34">
        <f t="shared" si="1"/>
        <v>914</v>
      </c>
      <c r="I33" s="41">
        <f t="shared" si="3"/>
        <v>42.455985277888608</v>
      </c>
    </row>
    <row r="34" spans="6:9" x14ac:dyDescent="0.3">
      <c r="F34" s="45">
        <f t="shared" si="0"/>
        <v>277224.75</v>
      </c>
      <c r="G34">
        <v>18</v>
      </c>
      <c r="H34" s="34">
        <f t="shared" si="1"/>
        <v>759</v>
      </c>
      <c r="I34" s="41">
        <f t="shared" si="3"/>
        <v>42.455985277888608</v>
      </c>
    </row>
    <row r="35" spans="6:9" x14ac:dyDescent="0.3">
      <c r="F35" s="45">
        <f t="shared" si="0"/>
        <v>230107.5</v>
      </c>
      <c r="G35">
        <v>19</v>
      </c>
      <c r="H35" s="34">
        <f t="shared" si="1"/>
        <v>630</v>
      </c>
      <c r="I35" s="41">
        <f t="shared" si="3"/>
        <v>42.455985277888608</v>
      </c>
    </row>
    <row r="36" spans="6:9" x14ac:dyDescent="0.3">
      <c r="F36" s="45">
        <f t="shared" si="0"/>
        <v>191025.75</v>
      </c>
      <c r="G36">
        <v>20</v>
      </c>
      <c r="H36" s="34">
        <f t="shared" si="1"/>
        <v>523</v>
      </c>
      <c r="I36" s="41">
        <f t="shared" si="3"/>
        <v>42.455985277888608</v>
      </c>
    </row>
    <row r="37" spans="6:9" x14ac:dyDescent="0.3">
      <c r="F37" s="47">
        <f t="shared" si="0"/>
        <v>158518.5</v>
      </c>
      <c r="G37" s="48">
        <v>21</v>
      </c>
      <c r="H37" s="49">
        <f t="shared" si="1"/>
        <v>434</v>
      </c>
      <c r="I37" s="61">
        <f t="shared" si="3"/>
        <v>42.455985277888608</v>
      </c>
    </row>
    <row r="39" spans="6:9" x14ac:dyDescent="0.3">
      <c r="F39" s="35" t="s">
        <v>47</v>
      </c>
      <c r="G39" s="42" cm="1">
        <f t="array" ref="G39">NPV(D25,I17:I36*F17:F36)</f>
        <v>678075493.4120003</v>
      </c>
      <c r="H39" s="42"/>
    </row>
    <row r="41" spans="6:9" x14ac:dyDescent="0.3">
      <c r="F41" s="43" t="s">
        <v>59</v>
      </c>
      <c r="G41" s="44">
        <f>G39-G14</f>
        <v>632748220.42999566</v>
      </c>
    </row>
  </sheetData>
  <dataValidations count="1">
    <dataValidation type="list" allowBlank="1" showInputMessage="1" showErrorMessage="1" sqref="C2" xr:uid="{6BD94C11-B882-4A2F-9F02-29729C0A38AE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7F1F-44B0-4B03-BAEB-05481F8BAD99}">
  <dimension ref="B2:O49"/>
  <sheetViews>
    <sheetView topLeftCell="C32" workbookViewId="0">
      <selection activeCell="F61" sqref="F61"/>
    </sheetView>
  </sheetViews>
  <sheetFormatPr defaultRowHeight="14.4" x14ac:dyDescent="0.3"/>
  <cols>
    <col min="2" max="2" width="33.6640625" bestFit="1" customWidth="1"/>
    <col min="3" max="3" width="14.33203125" bestFit="1" customWidth="1"/>
    <col min="4" max="4" width="20" customWidth="1"/>
    <col min="6" max="6" width="40.88671875" bestFit="1" customWidth="1"/>
    <col min="7" max="7" width="17.6640625" bestFit="1" customWidth="1"/>
    <col min="8" max="8" width="17.109375" customWidth="1"/>
    <col min="9" max="9" width="14.88671875" bestFit="1" customWidth="1"/>
    <col min="12" max="12" width="17.6640625" bestFit="1" customWidth="1"/>
    <col min="15" max="15" width="15.44140625" bestFit="1" customWidth="1"/>
  </cols>
  <sheetData>
    <row r="2" spans="2:15" x14ac:dyDescent="0.3">
      <c r="B2" s="35" t="s">
        <v>28</v>
      </c>
      <c r="C2" s="34" t="b">
        <v>1</v>
      </c>
    </row>
    <row r="4" spans="2:15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65</v>
      </c>
      <c r="G4">
        <f>D5</f>
        <v>18000</v>
      </c>
      <c r="K4" s="54" t="s">
        <v>46</v>
      </c>
      <c r="L4" s="54" t="s">
        <v>80</v>
      </c>
      <c r="N4" s="54" t="s">
        <v>78</v>
      </c>
      <c r="O4" s="54" t="s">
        <v>79</v>
      </c>
    </row>
    <row r="5" spans="2:15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ROUNDDOWN(LOG(D9/G4)/LOG(1-$D$6-$D$7),0)+1</f>
        <v>19</v>
      </c>
      <c r="K5" s="54">
        <v>2010</v>
      </c>
      <c r="L5" s="55">
        <v>23.06</v>
      </c>
      <c r="N5" s="54">
        <v>2023</v>
      </c>
      <c r="O5" s="54">
        <f>ROUNDDOWN(_xlfn.FORECAST.LINEAR(N5,$L$5:$L$17,$K$5:$K$17),0)</f>
        <v>18</v>
      </c>
    </row>
    <row r="6" spans="2:15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54">
        <v>2011</v>
      </c>
      <c r="L6" s="55">
        <v>14.91</v>
      </c>
      <c r="N6" s="54">
        <v>2024</v>
      </c>
      <c r="O6" s="54">
        <f t="shared" ref="O6" si="0">ROUNDDOWN(_xlfn.FORECAST.LINEAR(N6,$L$5:$L$17,$K$5:$K$17),0)</f>
        <v>20</v>
      </c>
    </row>
    <row r="7" spans="2:15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54">
        <v>2012</v>
      </c>
      <c r="L7" s="55">
        <v>4.99</v>
      </c>
      <c r="N7" s="54">
        <v>2025</v>
      </c>
      <c r="O7" s="54">
        <v>15</v>
      </c>
    </row>
    <row r="8" spans="2:15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K8" s="54">
        <v>2013</v>
      </c>
      <c r="L8" s="55">
        <v>1.39</v>
      </c>
      <c r="N8" s="54">
        <v>2026</v>
      </c>
      <c r="O8" s="54">
        <v>12</v>
      </c>
    </row>
    <row r="9" spans="2:15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  <c r="K9" s="54">
        <v>2014</v>
      </c>
      <c r="L9" s="55">
        <v>-59.29</v>
      </c>
      <c r="N9" s="54">
        <v>2027</v>
      </c>
      <c r="O9" s="54">
        <v>6</v>
      </c>
    </row>
    <row r="10" spans="2:15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88182.977580953404</v>
      </c>
      <c r="H10" s="41">
        <f>D15*(D13+D14+D17*G6+D18*G5)</f>
        <v>1255000</v>
      </c>
      <c r="I10">
        <f>G5</f>
        <v>19</v>
      </c>
      <c r="K10" s="54">
        <v>2015</v>
      </c>
      <c r="L10" s="55">
        <v>-34.81</v>
      </c>
      <c r="N10" s="54">
        <v>2028</v>
      </c>
      <c r="O10" s="54">
        <v>3</v>
      </c>
    </row>
    <row r="11" spans="2:15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1">
        <f>-PV(D25,_xlfn.CEILING.MATH(D11,D19)-D11, 0,-PV(G7,G6,D17)+D17)</f>
        <v>1503185.4109801548</v>
      </c>
      <c r="K11" s="54">
        <v>2016</v>
      </c>
      <c r="L11" s="55">
        <v>46.57</v>
      </c>
      <c r="N11" s="54">
        <v>2029</v>
      </c>
      <c r="O11" s="54">
        <v>1</v>
      </c>
    </row>
    <row r="12" spans="2:15" x14ac:dyDescent="0.3">
      <c r="C12" s="17"/>
      <c r="D12" s="17"/>
      <c r="F12" s="35" t="s">
        <v>42</v>
      </c>
      <c r="G12" s="1">
        <f>-PV(D25,G5,D18)</f>
        <v>1239646.2389578184</v>
      </c>
      <c r="K12" s="54">
        <v>2017</v>
      </c>
      <c r="L12" s="55">
        <v>15.88</v>
      </c>
      <c r="N12" s="54">
        <v>2030</v>
      </c>
      <c r="O12" s="54">
        <v>-1</v>
      </c>
    </row>
    <row r="13" spans="2:15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  <c r="K13" s="54">
        <v>2018</v>
      </c>
      <c r="L13" s="55">
        <v>-15.89</v>
      </c>
      <c r="N13" s="54">
        <v>2031</v>
      </c>
      <c r="O13" s="54">
        <v>-2.5</v>
      </c>
    </row>
    <row r="14" spans="2:15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2831014.6275189267</v>
      </c>
      <c r="K14" s="54">
        <v>2019</v>
      </c>
      <c r="L14" s="55">
        <v>22.21</v>
      </c>
      <c r="N14" s="54">
        <v>2032</v>
      </c>
      <c r="O14" s="54">
        <v>-0.5</v>
      </c>
    </row>
    <row r="15" spans="2:15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45296234.040302828</v>
      </c>
      <c r="K15" s="54">
        <v>2020</v>
      </c>
      <c r="L15" s="55">
        <v>7.08</v>
      </c>
      <c r="N15" s="54">
        <v>2034</v>
      </c>
      <c r="O15" s="54">
        <v>1</v>
      </c>
    </row>
    <row r="16" spans="2:15" x14ac:dyDescent="0.3">
      <c r="C16" s="17"/>
      <c r="D16" s="17"/>
      <c r="G16" s="1"/>
      <c r="K16" s="54">
        <v>2021</v>
      </c>
      <c r="L16" s="55">
        <v>45.26</v>
      </c>
      <c r="N16" s="54">
        <v>2035</v>
      </c>
      <c r="O16" s="54">
        <v>2.1</v>
      </c>
    </row>
    <row r="17" spans="2:15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  <c r="K17" s="54">
        <v>2022</v>
      </c>
      <c r="L17" s="55">
        <v>14.98</v>
      </c>
      <c r="N17" s="54">
        <v>2036</v>
      </c>
      <c r="O17" s="54">
        <v>1.5</v>
      </c>
    </row>
    <row r="18" spans="2:15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88182.977580953404</v>
      </c>
      <c r="H18" s="41">
        <f>H10</f>
        <v>1255000</v>
      </c>
      <c r="I18">
        <f>I10</f>
        <v>19</v>
      </c>
    </row>
    <row r="19" spans="2:15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1">
        <f>-PV(G7,ROUNDDOWN(G5/D19, 0),D17)</f>
        <v>646582.12238653714</v>
      </c>
    </row>
    <row r="20" spans="2:15" x14ac:dyDescent="0.3">
      <c r="F20" s="35" t="s">
        <v>55</v>
      </c>
      <c r="G20" s="1">
        <f>-PV(D25,G5,D18)</f>
        <v>1239646.2389578184</v>
      </c>
    </row>
    <row r="21" spans="2:15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1">
        <f>D13+D14</f>
        <v>3750000</v>
      </c>
    </row>
    <row r="22" spans="2:15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15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5724411.3389253095</v>
      </c>
    </row>
    <row r="25" spans="2:15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  <c r="I25" s="46" t="s">
        <v>77</v>
      </c>
    </row>
    <row r="26" spans="2:15" ht="15" thickTop="1" x14ac:dyDescent="0.3">
      <c r="B26" s="12" t="s">
        <v>32</v>
      </c>
      <c r="C26" s="39"/>
      <c r="D26" s="40">
        <f>IF($C$2=TRUE,'Global Parameters'!D24,C26)</f>
        <v>0.87</v>
      </c>
      <c r="F26" s="45">
        <f>365.25*H26</f>
        <v>7305000</v>
      </c>
      <c r="G26">
        <v>1</v>
      </c>
      <c r="H26">
        <f>G4+D10</f>
        <v>20000</v>
      </c>
      <c r="I26" s="41">
        <f>($D$23-$D$22-$D$21)*(1+O5/100)</f>
        <v>24.779999999999998</v>
      </c>
    </row>
    <row r="27" spans="2:15" x14ac:dyDescent="0.3">
      <c r="F27" s="45">
        <f t="shared" ref="F27:F45" si="1">365.25*H27</f>
        <v>5990100</v>
      </c>
      <c r="G27">
        <v>2</v>
      </c>
      <c r="H27">
        <f>ROUND(H26*(1-$D$6-$D$7), 0)</f>
        <v>16400</v>
      </c>
      <c r="I27" s="41">
        <f>I26*(1+O6/100)</f>
        <v>29.735999999999997</v>
      </c>
    </row>
    <row r="28" spans="2:15" x14ac:dyDescent="0.3">
      <c r="F28" s="45">
        <f t="shared" si="1"/>
        <v>4911882</v>
      </c>
      <c r="G28">
        <v>3</v>
      </c>
      <c r="H28">
        <f t="shared" ref="H28:H43" si="2">ROUND(H27*(1-$D$6-$D$7), 0)</f>
        <v>13448</v>
      </c>
      <c r="I28" s="41">
        <f t="shared" ref="I28:I37" si="3">I27*(1+O7/100)</f>
        <v>34.196399999999997</v>
      </c>
    </row>
    <row r="29" spans="2:15" x14ac:dyDescent="0.3">
      <c r="F29" s="45">
        <f t="shared" si="1"/>
        <v>4027611.75</v>
      </c>
      <c r="G29">
        <v>4</v>
      </c>
      <c r="H29">
        <f t="shared" si="2"/>
        <v>11027</v>
      </c>
      <c r="I29" s="41">
        <f t="shared" si="3"/>
        <v>38.299968</v>
      </c>
    </row>
    <row r="30" spans="2:15" x14ac:dyDescent="0.3">
      <c r="F30" s="45">
        <f t="shared" si="1"/>
        <v>3302590.5</v>
      </c>
      <c r="G30">
        <v>5</v>
      </c>
      <c r="H30">
        <f t="shared" si="2"/>
        <v>9042</v>
      </c>
      <c r="I30" s="41">
        <f t="shared" si="3"/>
        <v>40.597966079999999</v>
      </c>
    </row>
    <row r="31" spans="2:15" x14ac:dyDescent="0.3">
      <c r="F31" s="45">
        <f t="shared" si="1"/>
        <v>2707963.5</v>
      </c>
      <c r="G31">
        <v>6</v>
      </c>
      <c r="H31">
        <f>ROUND(H30*(1-$D$6-$D$7), 0)</f>
        <v>7414</v>
      </c>
      <c r="I31" s="41">
        <f t="shared" si="3"/>
        <v>41.815905062399999</v>
      </c>
    </row>
    <row r="32" spans="2:15" x14ac:dyDescent="0.3">
      <c r="F32" s="45">
        <f t="shared" si="1"/>
        <v>2220354.75</v>
      </c>
      <c r="G32">
        <v>7</v>
      </c>
      <c r="H32">
        <f t="shared" si="2"/>
        <v>6079</v>
      </c>
      <c r="I32" s="41">
        <f t="shared" si="3"/>
        <v>42.234064113023997</v>
      </c>
    </row>
    <row r="33" spans="6:9" x14ac:dyDescent="0.3">
      <c r="F33" s="45">
        <f t="shared" si="1"/>
        <v>1820771.25</v>
      </c>
      <c r="G33">
        <v>8</v>
      </c>
      <c r="H33">
        <f t="shared" si="2"/>
        <v>4985</v>
      </c>
      <c r="I33" s="41">
        <f t="shared" si="3"/>
        <v>41.811723471893757</v>
      </c>
    </row>
    <row r="34" spans="6:9" x14ac:dyDescent="0.3">
      <c r="F34" s="45">
        <f t="shared" si="1"/>
        <v>1493142</v>
      </c>
      <c r="G34">
        <v>9</v>
      </c>
      <c r="H34">
        <f t="shared" si="2"/>
        <v>4088</v>
      </c>
      <c r="I34" s="41">
        <f t="shared" si="3"/>
        <v>40.766430385096413</v>
      </c>
    </row>
    <row r="35" spans="6:9" x14ac:dyDescent="0.3">
      <c r="F35" s="45">
        <f t="shared" si="1"/>
        <v>1224318</v>
      </c>
      <c r="G35">
        <v>10</v>
      </c>
      <c r="H35">
        <f t="shared" si="2"/>
        <v>3352</v>
      </c>
      <c r="I35" s="41">
        <f t="shared" si="3"/>
        <v>40.562598233170931</v>
      </c>
    </row>
    <row r="36" spans="6:9" x14ac:dyDescent="0.3">
      <c r="F36" s="45">
        <f t="shared" si="1"/>
        <v>1004072.25</v>
      </c>
      <c r="G36">
        <v>11</v>
      </c>
      <c r="H36">
        <f t="shared" si="2"/>
        <v>2749</v>
      </c>
      <c r="I36" s="41">
        <f t="shared" si="3"/>
        <v>40.968224215502637</v>
      </c>
    </row>
    <row r="37" spans="6:9" x14ac:dyDescent="0.3">
      <c r="F37" s="45">
        <f t="shared" si="1"/>
        <v>823273.5</v>
      </c>
      <c r="G37">
        <v>12</v>
      </c>
      <c r="H37">
        <f t="shared" si="2"/>
        <v>2254</v>
      </c>
      <c r="I37" s="41">
        <f t="shared" si="3"/>
        <v>41.828556924028192</v>
      </c>
    </row>
    <row r="38" spans="6:9" x14ac:dyDescent="0.3">
      <c r="F38" s="45">
        <f t="shared" si="1"/>
        <v>674982</v>
      </c>
      <c r="G38">
        <v>13</v>
      </c>
      <c r="H38">
        <f t="shared" si="2"/>
        <v>1848</v>
      </c>
      <c r="I38" s="41">
        <f>I37*(1+O17/100)</f>
        <v>42.455985277888608</v>
      </c>
    </row>
    <row r="39" spans="6:9" x14ac:dyDescent="0.3">
      <c r="F39" s="45">
        <f t="shared" si="1"/>
        <v>553353.75</v>
      </c>
      <c r="G39">
        <v>14</v>
      </c>
      <c r="H39">
        <f t="shared" si="2"/>
        <v>1515</v>
      </c>
      <c r="I39" s="41">
        <f>I38</f>
        <v>42.455985277888608</v>
      </c>
    </row>
    <row r="40" spans="6:9" x14ac:dyDescent="0.3">
      <c r="F40" s="45">
        <f t="shared" si="1"/>
        <v>453640.5</v>
      </c>
      <c r="G40">
        <v>15</v>
      </c>
      <c r="H40">
        <f t="shared" si="2"/>
        <v>1242</v>
      </c>
      <c r="I40" s="41">
        <f t="shared" ref="I40:I45" si="4">I39</f>
        <v>42.455985277888608</v>
      </c>
    </row>
    <row r="41" spans="6:9" x14ac:dyDescent="0.3">
      <c r="F41" s="45">
        <f t="shared" si="1"/>
        <v>371824.5</v>
      </c>
      <c r="G41">
        <v>16</v>
      </c>
      <c r="H41">
        <f t="shared" si="2"/>
        <v>1018</v>
      </c>
      <c r="I41" s="41">
        <f t="shared" si="4"/>
        <v>42.455985277888608</v>
      </c>
    </row>
    <row r="42" spans="6:9" x14ac:dyDescent="0.3">
      <c r="F42" s="45">
        <f t="shared" si="1"/>
        <v>304983.75</v>
      </c>
      <c r="G42">
        <v>17</v>
      </c>
      <c r="H42">
        <f t="shared" si="2"/>
        <v>835</v>
      </c>
      <c r="I42" s="41">
        <f t="shared" si="4"/>
        <v>42.455985277888608</v>
      </c>
    </row>
    <row r="43" spans="6:9" x14ac:dyDescent="0.3">
      <c r="F43" s="45">
        <f t="shared" si="1"/>
        <v>250196.25</v>
      </c>
      <c r="G43">
        <v>18</v>
      </c>
      <c r="H43">
        <f t="shared" si="2"/>
        <v>685</v>
      </c>
      <c r="I43" s="41">
        <f t="shared" si="4"/>
        <v>42.455985277888608</v>
      </c>
    </row>
    <row r="44" spans="6:9" x14ac:dyDescent="0.3">
      <c r="F44" s="45">
        <f t="shared" si="1"/>
        <v>205270.5</v>
      </c>
      <c r="G44">
        <v>19</v>
      </c>
      <c r="H44">
        <f>ROUND(H43*(1-$D$6-$D$7), 0)</f>
        <v>562</v>
      </c>
      <c r="I44" s="41">
        <f t="shared" si="4"/>
        <v>42.455985277888608</v>
      </c>
    </row>
    <row r="45" spans="6:9" x14ac:dyDescent="0.3">
      <c r="F45" s="47">
        <f t="shared" si="1"/>
        <v>168380.25</v>
      </c>
      <c r="G45" s="48">
        <v>20</v>
      </c>
      <c r="H45" s="48">
        <f>ROUND(H44*(1-$D$6-$D$7), 0)</f>
        <v>461</v>
      </c>
      <c r="I45" s="41">
        <f t="shared" si="4"/>
        <v>42.455985277888608</v>
      </c>
    </row>
    <row r="47" spans="6:9" x14ac:dyDescent="0.3">
      <c r="F47" t="s">
        <v>58</v>
      </c>
      <c r="G47" s="42" cm="1">
        <f t="array" ref="G47">NPV(D25,I26:I44*F26:F44)</f>
        <v>726050071.15384853</v>
      </c>
    </row>
    <row r="49" spans="6:7" x14ac:dyDescent="0.3">
      <c r="F49" t="s">
        <v>60</v>
      </c>
      <c r="G49" s="44">
        <f>G47-G23-G15</f>
        <v>675029425.77462029</v>
      </c>
    </row>
  </sheetData>
  <dataValidations count="1">
    <dataValidation type="list" allowBlank="1" showInputMessage="1" showErrorMessage="1" sqref="C2" xr:uid="{82B82DEA-0894-43CF-8AF1-0B2B42D53510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4879-14F1-4F0A-8FEE-020C8B461BA8}">
  <dimension ref="B2:O49"/>
  <sheetViews>
    <sheetView topLeftCell="C35" workbookViewId="0">
      <selection activeCell="G49" sqref="G49"/>
    </sheetView>
  </sheetViews>
  <sheetFormatPr defaultRowHeight="14.4" x14ac:dyDescent="0.3"/>
  <cols>
    <col min="2" max="2" width="33.6640625" bestFit="1" customWidth="1"/>
    <col min="3" max="3" width="14.33203125" bestFit="1" customWidth="1"/>
    <col min="4" max="4" width="20" customWidth="1"/>
    <col min="6" max="6" width="40.88671875" bestFit="1" customWidth="1"/>
    <col min="7" max="7" width="17.6640625" bestFit="1" customWidth="1"/>
    <col min="8" max="8" width="17.109375" customWidth="1"/>
    <col min="9" max="9" width="14.88671875" bestFit="1" customWidth="1"/>
    <col min="12" max="12" width="17.6640625" bestFit="1" customWidth="1"/>
    <col min="15" max="15" width="15.44140625" bestFit="1" customWidth="1"/>
  </cols>
  <sheetData>
    <row r="2" spans="2:15" x14ac:dyDescent="0.3">
      <c r="B2" s="35" t="s">
        <v>28</v>
      </c>
      <c r="C2" s="34" t="b">
        <v>1</v>
      </c>
    </row>
    <row r="4" spans="2:15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64</v>
      </c>
      <c r="G4">
        <f>D5*(1-D6)</f>
        <v>14940</v>
      </c>
      <c r="K4" s="60" t="s">
        <v>46</v>
      </c>
      <c r="L4" s="54" t="s">
        <v>80</v>
      </c>
      <c r="N4" s="60" t="s">
        <v>78</v>
      </c>
      <c r="O4" s="54" t="s">
        <v>79</v>
      </c>
    </row>
    <row r="5" spans="2:15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ROUNDDOWN(LOG(D9/G4)/LOG(1-$D$6-$D$7),0)+2</f>
        <v>19</v>
      </c>
      <c r="K5" s="60">
        <v>2010</v>
      </c>
      <c r="L5" s="55">
        <v>23.06</v>
      </c>
      <c r="N5" s="60">
        <v>2023</v>
      </c>
      <c r="O5" s="54">
        <f>'Well 17 Year 0 with Inflation'!O5</f>
        <v>18</v>
      </c>
    </row>
    <row r="6" spans="2:15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60">
        <v>2011</v>
      </c>
      <c r="L6" s="55">
        <v>14.91</v>
      </c>
      <c r="N6" s="60">
        <v>2024</v>
      </c>
      <c r="O6" s="54">
        <f>'Well 17 Year 0 with Inflation'!O6</f>
        <v>20</v>
      </c>
    </row>
    <row r="7" spans="2:15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60">
        <v>2012</v>
      </c>
      <c r="L7" s="55">
        <v>4.99</v>
      </c>
      <c r="N7" s="60">
        <v>2025</v>
      </c>
      <c r="O7" s="54">
        <f>'Well 17 Year 0 with Inflation'!O7</f>
        <v>15</v>
      </c>
    </row>
    <row r="8" spans="2:15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K8" s="60">
        <v>2013</v>
      </c>
      <c r="L8" s="55">
        <v>1.39</v>
      </c>
      <c r="N8" s="60">
        <v>2026</v>
      </c>
      <c r="O8" s="54">
        <f>'Well 17 Year 0 with Inflation'!O8</f>
        <v>12</v>
      </c>
    </row>
    <row r="9" spans="2:15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  <c r="K9" s="60">
        <v>2014</v>
      </c>
      <c r="L9" s="55">
        <v>-59.29</v>
      </c>
      <c r="N9" s="60">
        <v>2027</v>
      </c>
      <c r="O9" s="54">
        <f>'Well 17 Year 0 with Inflation'!O9</f>
        <v>6</v>
      </c>
    </row>
    <row r="10" spans="2:15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88182.977580953404</v>
      </c>
      <c r="H10" s="41">
        <f>D15*(D13+D14+D17*G6+D18*G5)</f>
        <v>1255000</v>
      </c>
      <c r="I10">
        <f>G5</f>
        <v>19</v>
      </c>
      <c r="K10" s="60">
        <v>2015</v>
      </c>
      <c r="L10" s="55">
        <v>-34.81</v>
      </c>
      <c r="N10" s="60">
        <v>2028</v>
      </c>
      <c r="O10" s="54">
        <f>'Well 17 Year 0 with Inflation'!O10</f>
        <v>3</v>
      </c>
    </row>
    <row r="11" spans="2:15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1">
        <f>-PV(D25,_xlfn.CEILING.MATH(D11,D19)-D11, 0,-PV(G7,G6,D17)+D17)</f>
        <v>1503185.4109801548</v>
      </c>
      <c r="K11" s="60">
        <v>2016</v>
      </c>
      <c r="L11" s="55">
        <v>46.57</v>
      </c>
      <c r="N11" s="60">
        <v>2029</v>
      </c>
      <c r="O11" s="54">
        <f>'Well 17 Year 0 with Inflation'!O11</f>
        <v>1</v>
      </c>
    </row>
    <row r="12" spans="2:15" x14ac:dyDescent="0.3">
      <c r="C12" s="17"/>
      <c r="D12" s="17"/>
      <c r="F12" s="35" t="s">
        <v>42</v>
      </c>
      <c r="G12" s="1">
        <f>-PV(D25,G5,D18)</f>
        <v>1239646.2389578184</v>
      </c>
      <c r="K12" s="60">
        <v>2017</v>
      </c>
      <c r="L12" s="55">
        <v>15.88</v>
      </c>
      <c r="N12" s="60">
        <v>2030</v>
      </c>
      <c r="O12" s="54">
        <f>'Well 17 Year 0 with Inflation'!O12</f>
        <v>-1</v>
      </c>
    </row>
    <row r="13" spans="2:15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  <c r="K13" s="60">
        <v>2018</v>
      </c>
      <c r="L13" s="55">
        <v>-15.89</v>
      </c>
      <c r="N13" s="60">
        <v>2031</v>
      </c>
      <c r="O13" s="54">
        <f>'Well 17 Year 0 with Inflation'!O13</f>
        <v>-2.5</v>
      </c>
    </row>
    <row r="14" spans="2:15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2831014.6275189267</v>
      </c>
      <c r="K14" s="60">
        <v>2019</v>
      </c>
      <c r="L14" s="55">
        <v>22.21</v>
      </c>
      <c r="N14" s="60">
        <v>2032</v>
      </c>
      <c r="O14" s="54">
        <f>'Well 17 Year 0 with Inflation'!O14</f>
        <v>-0.5</v>
      </c>
    </row>
    <row r="15" spans="2:15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45296234.040302828</v>
      </c>
      <c r="K15" s="60">
        <v>2020</v>
      </c>
      <c r="L15" s="55">
        <v>7.08</v>
      </c>
      <c r="N15" s="60">
        <v>2034</v>
      </c>
      <c r="O15" s="54">
        <f>'Well 17 Year 0 with Inflation'!O15</f>
        <v>1</v>
      </c>
    </row>
    <row r="16" spans="2:15" x14ac:dyDescent="0.3">
      <c r="C16" s="17"/>
      <c r="D16" s="17"/>
      <c r="G16" s="1"/>
      <c r="K16" s="60">
        <v>2021</v>
      </c>
      <c r="L16" s="55">
        <v>45.26</v>
      </c>
      <c r="N16" s="60">
        <v>2035</v>
      </c>
      <c r="O16" s="54">
        <f>'Well 17 Year 0 with Inflation'!O16</f>
        <v>2.1</v>
      </c>
    </row>
    <row r="17" spans="2:15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  <c r="K17" s="60">
        <v>2022</v>
      </c>
      <c r="L17" s="55">
        <v>14.98</v>
      </c>
      <c r="N17" s="60">
        <v>2036</v>
      </c>
      <c r="O17" s="54">
        <f>'Well 17 Year 0 with Inflation'!O17</f>
        <v>1.5</v>
      </c>
    </row>
    <row r="18" spans="2:15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88182.977580953404</v>
      </c>
      <c r="H18" s="41">
        <f>H10</f>
        <v>1255000</v>
      </c>
      <c r="I18">
        <f>I10</f>
        <v>19</v>
      </c>
    </row>
    <row r="19" spans="2:15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51">
        <f>-PV(G7,ROUNDDOWN((G5-1)/D19, 0),D17)</f>
        <v>646582.12238653714</v>
      </c>
    </row>
    <row r="20" spans="2:15" x14ac:dyDescent="0.3">
      <c r="F20" s="35" t="s">
        <v>55</v>
      </c>
      <c r="G20" s="51">
        <f>-PV(D25,G5-1,D18)</f>
        <v>1225593.1748014912</v>
      </c>
    </row>
    <row r="21" spans="2:15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51">
        <f>-PV(D25,1,0,D13+D14)</f>
        <v>3260869.5652173916</v>
      </c>
    </row>
    <row r="22" spans="2:15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15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5221227.8399863727</v>
      </c>
    </row>
    <row r="25" spans="2:15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  <c r="I25" s="46" t="s">
        <v>77</v>
      </c>
    </row>
    <row r="26" spans="2:15" ht="15" thickTop="1" x14ac:dyDescent="0.3">
      <c r="B26" s="12" t="s">
        <v>32</v>
      </c>
      <c r="C26" s="39"/>
      <c r="D26" s="40">
        <f>IF($C$2=TRUE,'Global Parameters'!D24,C26)</f>
        <v>0.87</v>
      </c>
      <c r="F26" s="45">
        <f>365.25*H26</f>
        <v>6574500</v>
      </c>
      <c r="G26">
        <v>1</v>
      </c>
      <c r="H26">
        <f>D5</f>
        <v>18000</v>
      </c>
      <c r="I26" s="41">
        <f>($D$23-$D$22-$D$21)*(1+O5/100)</f>
        <v>24.779999999999998</v>
      </c>
    </row>
    <row r="27" spans="2:15" x14ac:dyDescent="0.3">
      <c r="F27" s="45">
        <f t="shared" ref="F27:F45" si="0">365.25*H27</f>
        <v>6187335</v>
      </c>
      <c r="G27">
        <v>2</v>
      </c>
      <c r="H27">
        <f>G4+D10</f>
        <v>16940</v>
      </c>
      <c r="I27" s="41">
        <f>I26*(1+O6/100)</f>
        <v>29.735999999999997</v>
      </c>
    </row>
    <row r="28" spans="2:15" x14ac:dyDescent="0.3">
      <c r="F28" s="45">
        <f t="shared" si="0"/>
        <v>5073687.75</v>
      </c>
      <c r="G28">
        <v>3</v>
      </c>
      <c r="H28">
        <f t="shared" ref="H28:H43" si="1">ROUND(H27*(1-$D$6-$D$7), 0)</f>
        <v>13891</v>
      </c>
      <c r="I28" s="41">
        <f t="shared" ref="I28:I37" si="2">I27*(1+O7/100)</f>
        <v>34.196399999999997</v>
      </c>
    </row>
    <row r="29" spans="2:15" x14ac:dyDescent="0.3">
      <c r="F29" s="45">
        <f t="shared" si="0"/>
        <v>4160562.75</v>
      </c>
      <c r="G29">
        <v>4</v>
      </c>
      <c r="H29">
        <f t="shared" si="1"/>
        <v>11391</v>
      </c>
      <c r="I29" s="41">
        <f t="shared" si="2"/>
        <v>38.299968</v>
      </c>
    </row>
    <row r="30" spans="2:15" x14ac:dyDescent="0.3">
      <c r="F30" s="45">
        <f t="shared" si="0"/>
        <v>3411800.25</v>
      </c>
      <c r="G30">
        <v>5</v>
      </c>
      <c r="H30">
        <f t="shared" si="1"/>
        <v>9341</v>
      </c>
      <c r="I30" s="41">
        <f t="shared" si="2"/>
        <v>40.597966079999999</v>
      </c>
    </row>
    <row r="31" spans="2:15" x14ac:dyDescent="0.3">
      <c r="F31" s="45">
        <f t="shared" si="0"/>
        <v>2797815</v>
      </c>
      <c r="G31">
        <v>6</v>
      </c>
      <c r="H31">
        <f>ROUND(H30*(1-$D$6-$D$7), 0)</f>
        <v>7660</v>
      </c>
      <c r="I31" s="41">
        <f t="shared" si="2"/>
        <v>41.815905062399999</v>
      </c>
    </row>
    <row r="32" spans="2:15" x14ac:dyDescent="0.3">
      <c r="F32" s="45">
        <f t="shared" si="0"/>
        <v>2294135.25</v>
      </c>
      <c r="G32">
        <v>7</v>
      </c>
      <c r="H32">
        <f t="shared" si="1"/>
        <v>6281</v>
      </c>
      <c r="I32" s="41">
        <f t="shared" si="2"/>
        <v>42.234064113023997</v>
      </c>
    </row>
    <row r="33" spans="6:9" x14ac:dyDescent="0.3">
      <c r="F33" s="45">
        <f t="shared" si="0"/>
        <v>1881037.5</v>
      </c>
      <c r="G33">
        <v>8</v>
      </c>
      <c r="H33">
        <f t="shared" si="1"/>
        <v>5150</v>
      </c>
      <c r="I33" s="41">
        <f t="shared" si="2"/>
        <v>41.811723471893757</v>
      </c>
    </row>
    <row r="34" spans="6:9" x14ac:dyDescent="0.3">
      <c r="F34" s="45">
        <f t="shared" si="0"/>
        <v>1542450.75</v>
      </c>
      <c r="G34">
        <v>9</v>
      </c>
      <c r="H34">
        <f t="shared" si="1"/>
        <v>4223</v>
      </c>
      <c r="I34" s="41">
        <f t="shared" si="2"/>
        <v>40.766430385096413</v>
      </c>
    </row>
    <row r="35" spans="6:9" x14ac:dyDescent="0.3">
      <c r="F35" s="45">
        <f t="shared" si="0"/>
        <v>1264860.75</v>
      </c>
      <c r="G35">
        <v>10</v>
      </c>
      <c r="H35">
        <f t="shared" si="1"/>
        <v>3463</v>
      </c>
      <c r="I35" s="41">
        <f t="shared" si="2"/>
        <v>40.562598233170931</v>
      </c>
    </row>
    <row r="36" spans="6:9" x14ac:dyDescent="0.3">
      <c r="F36" s="45">
        <f t="shared" si="0"/>
        <v>1037310</v>
      </c>
      <c r="G36">
        <v>11</v>
      </c>
      <c r="H36">
        <f t="shared" si="1"/>
        <v>2840</v>
      </c>
      <c r="I36" s="41">
        <f t="shared" si="2"/>
        <v>40.968224215502637</v>
      </c>
    </row>
    <row r="37" spans="6:9" x14ac:dyDescent="0.3">
      <c r="F37" s="45">
        <f t="shared" si="0"/>
        <v>850667.25</v>
      </c>
      <c r="G37">
        <v>12</v>
      </c>
      <c r="H37">
        <f t="shared" si="1"/>
        <v>2329</v>
      </c>
      <c r="I37" s="41">
        <f t="shared" si="2"/>
        <v>41.828556924028192</v>
      </c>
    </row>
    <row r="38" spans="6:9" x14ac:dyDescent="0.3">
      <c r="F38" s="45">
        <f t="shared" si="0"/>
        <v>697627.5</v>
      </c>
      <c r="G38">
        <v>13</v>
      </c>
      <c r="H38">
        <f t="shared" si="1"/>
        <v>1910</v>
      </c>
      <c r="I38" s="41">
        <f>I37*(1+O17/100)</f>
        <v>42.455985277888608</v>
      </c>
    </row>
    <row r="39" spans="6:9" x14ac:dyDescent="0.3">
      <c r="F39" s="45">
        <f t="shared" si="0"/>
        <v>571981.5</v>
      </c>
      <c r="G39">
        <v>14</v>
      </c>
      <c r="H39">
        <f t="shared" si="1"/>
        <v>1566</v>
      </c>
      <c r="I39" s="41">
        <f>I38</f>
        <v>42.455985277888608</v>
      </c>
    </row>
    <row r="40" spans="6:9" x14ac:dyDescent="0.3">
      <c r="F40" s="45">
        <f t="shared" si="0"/>
        <v>468981</v>
      </c>
      <c r="G40">
        <v>15</v>
      </c>
      <c r="H40">
        <f t="shared" si="1"/>
        <v>1284</v>
      </c>
      <c r="I40" s="41">
        <f t="shared" ref="I40:I45" si="3">I39</f>
        <v>42.455985277888608</v>
      </c>
    </row>
    <row r="41" spans="6:9" x14ac:dyDescent="0.3">
      <c r="F41" s="45">
        <f t="shared" si="0"/>
        <v>384608.25</v>
      </c>
      <c r="G41">
        <v>16</v>
      </c>
      <c r="H41">
        <f t="shared" si="1"/>
        <v>1053</v>
      </c>
      <c r="I41" s="41">
        <f t="shared" si="3"/>
        <v>42.455985277888608</v>
      </c>
    </row>
    <row r="42" spans="6:9" x14ac:dyDescent="0.3">
      <c r="F42" s="45">
        <f t="shared" si="0"/>
        <v>315210.75</v>
      </c>
      <c r="G42">
        <v>17</v>
      </c>
      <c r="H42">
        <f t="shared" si="1"/>
        <v>863</v>
      </c>
      <c r="I42" s="41">
        <f t="shared" si="3"/>
        <v>42.455985277888608</v>
      </c>
    </row>
    <row r="43" spans="6:9" x14ac:dyDescent="0.3">
      <c r="F43" s="45">
        <f t="shared" si="0"/>
        <v>258597</v>
      </c>
      <c r="G43">
        <v>18</v>
      </c>
      <c r="H43">
        <f t="shared" si="1"/>
        <v>708</v>
      </c>
      <c r="I43" s="41">
        <f t="shared" si="3"/>
        <v>42.455985277888608</v>
      </c>
    </row>
    <row r="44" spans="6:9" x14ac:dyDescent="0.3">
      <c r="F44" s="45">
        <f t="shared" si="0"/>
        <v>212210.25</v>
      </c>
      <c r="G44">
        <v>19</v>
      </c>
      <c r="H44">
        <f>ROUND(H43*(1-$D$6-$D$7), 0)</f>
        <v>581</v>
      </c>
      <c r="I44" s="41">
        <f t="shared" si="3"/>
        <v>42.455985277888608</v>
      </c>
    </row>
    <row r="45" spans="6:9" x14ac:dyDescent="0.3">
      <c r="F45" s="47">
        <f t="shared" si="0"/>
        <v>173859</v>
      </c>
      <c r="G45" s="48">
        <v>20</v>
      </c>
      <c r="H45" s="48">
        <f>ROUND(H44*(1-$D$6-$D$7), 0)</f>
        <v>476</v>
      </c>
      <c r="I45" s="41">
        <f t="shared" si="3"/>
        <v>42.455985277888608</v>
      </c>
    </row>
    <row r="47" spans="6:9" x14ac:dyDescent="0.3">
      <c r="F47" t="s">
        <v>58</v>
      </c>
      <c r="G47" s="42" cm="1">
        <f t="array" ref="G47">NPV(D25,I26:I44*F26:F44)</f>
        <v>729098243.01748633</v>
      </c>
    </row>
    <row r="49" spans="6:7" x14ac:dyDescent="0.3">
      <c r="F49" t="s">
        <v>60</v>
      </c>
      <c r="G49" s="44">
        <f>G47-G23-G15</f>
        <v>678580781.13719714</v>
      </c>
    </row>
  </sheetData>
  <dataValidations count="1">
    <dataValidation type="list" allowBlank="1" showInputMessage="1" showErrorMessage="1" sqref="C2" xr:uid="{0031DA7F-D057-42C0-AB2C-03BE4A7ADD2A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BB7A-C261-48E6-ADBF-E42020028491}">
  <dimension ref="B2:O49"/>
  <sheetViews>
    <sheetView topLeftCell="A32" workbookViewId="0">
      <selection activeCell="G49" sqref="G49"/>
    </sheetView>
  </sheetViews>
  <sheetFormatPr defaultRowHeight="14.4" x14ac:dyDescent="0.3"/>
  <cols>
    <col min="2" max="2" width="33.6640625" bestFit="1" customWidth="1"/>
    <col min="3" max="3" width="14.33203125" bestFit="1" customWidth="1"/>
    <col min="4" max="4" width="20" customWidth="1"/>
    <col min="6" max="6" width="40.88671875" bestFit="1" customWidth="1"/>
    <col min="7" max="7" width="17.6640625" bestFit="1" customWidth="1"/>
    <col min="8" max="8" width="17.109375" customWidth="1"/>
    <col min="9" max="9" width="14.88671875" bestFit="1" customWidth="1"/>
    <col min="12" max="12" width="17.6640625" bestFit="1" customWidth="1"/>
    <col min="15" max="15" width="15.44140625" bestFit="1" customWidth="1"/>
  </cols>
  <sheetData>
    <row r="2" spans="2:15" x14ac:dyDescent="0.3">
      <c r="B2" s="35" t="s">
        <v>28</v>
      </c>
      <c r="C2" s="34" t="b">
        <v>1</v>
      </c>
    </row>
    <row r="4" spans="2:15" x14ac:dyDescent="0.3">
      <c r="B4" s="31" t="s">
        <v>2</v>
      </c>
      <c r="C4" s="32" t="s">
        <v>29</v>
      </c>
      <c r="D4" s="33" t="str">
        <f>_xlfn.CONCAT("Actual Value",IF(C2=TRUE," (Global)"," (Local)"))</f>
        <v>Actual Value (Global)</v>
      </c>
      <c r="F4" s="35" t="s">
        <v>63</v>
      </c>
      <c r="G4">
        <f>ROUND(D5*(1-D6)^2,0)</f>
        <v>12400</v>
      </c>
      <c r="K4" s="54" t="s">
        <v>46</v>
      </c>
      <c r="L4" s="54" t="s">
        <v>80</v>
      </c>
      <c r="N4" s="54" t="s">
        <v>78</v>
      </c>
      <c r="O4" s="54" t="s">
        <v>79</v>
      </c>
    </row>
    <row r="5" spans="2:15" ht="15" thickBot="1" x14ac:dyDescent="0.35">
      <c r="B5" s="13" t="s">
        <v>0</v>
      </c>
      <c r="C5" s="36">
        <v>18000</v>
      </c>
      <c r="D5" s="37">
        <f>IF($C$2=TRUE,'Global Parameters'!D3,C5)</f>
        <v>18000</v>
      </c>
      <c r="F5" s="35" t="s">
        <v>30</v>
      </c>
      <c r="G5">
        <f>ROUNDDOWN(LOG(D9/G4)/LOG(1-$D$6-$D$7),0)+3</f>
        <v>19</v>
      </c>
      <c r="K5" s="54">
        <v>2010</v>
      </c>
      <c r="L5" s="55">
        <v>23.06</v>
      </c>
      <c r="N5" s="54">
        <v>2023</v>
      </c>
      <c r="O5" s="54">
        <f>'Well 17 Year 0 with Inflation'!O5</f>
        <v>18</v>
      </c>
    </row>
    <row r="6" spans="2:15" ht="15.6" thickTop="1" thickBot="1" x14ac:dyDescent="0.35">
      <c r="B6" s="11" t="s">
        <v>9</v>
      </c>
      <c r="C6" s="7">
        <v>0.17</v>
      </c>
      <c r="D6" s="19">
        <f>IF($C$2=TRUE,'Global Parameters'!D4,C6)</f>
        <v>0.17</v>
      </c>
      <c r="F6" s="35" t="s">
        <v>33</v>
      </c>
      <c r="G6">
        <f>ROUNDUP((G5+D11)/D19,0)</f>
        <v>4</v>
      </c>
      <c r="K6" s="54">
        <v>2011</v>
      </c>
      <c r="L6" s="55">
        <v>14.91</v>
      </c>
      <c r="N6" s="54">
        <v>2024</v>
      </c>
      <c r="O6" s="54">
        <f>'Well 17 Year 0 with Inflation'!O6</f>
        <v>20</v>
      </c>
    </row>
    <row r="7" spans="2:15" ht="15.6" thickTop="1" thickBot="1" x14ac:dyDescent="0.35">
      <c r="B7" s="11" t="s">
        <v>10</v>
      </c>
      <c r="C7" s="7">
        <v>0.01</v>
      </c>
      <c r="D7" s="19">
        <f>IF($C$2=TRUE,'Global Parameters'!D5,C7)</f>
        <v>0.01</v>
      </c>
      <c r="F7" s="35" t="s">
        <v>40</v>
      </c>
      <c r="G7" s="2">
        <f>(1+D25)^D19-1</f>
        <v>1.6600198804687483</v>
      </c>
      <c r="K7" s="54">
        <v>2012</v>
      </c>
      <c r="L7" s="55">
        <v>4.99</v>
      </c>
      <c r="N7" s="54">
        <v>2025</v>
      </c>
      <c r="O7" s="54">
        <f>'Well 17 Year 0 with Inflation'!O7</f>
        <v>15</v>
      </c>
    </row>
    <row r="8" spans="2:15" ht="15.6" thickTop="1" thickBot="1" x14ac:dyDescent="0.35">
      <c r="B8" s="11" t="s">
        <v>18</v>
      </c>
      <c r="C8" s="8">
        <v>16</v>
      </c>
      <c r="D8" s="20">
        <f>IF($C$2=TRUE,'Global Parameters'!D6,C8)</f>
        <v>16</v>
      </c>
      <c r="K8" s="54">
        <v>2013</v>
      </c>
      <c r="L8" s="55">
        <v>1.39</v>
      </c>
      <c r="N8" s="54">
        <v>2026</v>
      </c>
      <c r="O8" s="54">
        <f>'Well 17 Year 0 with Inflation'!O8</f>
        <v>12</v>
      </c>
    </row>
    <row r="9" spans="2:15" ht="15.6" thickTop="1" thickBot="1" x14ac:dyDescent="0.35">
      <c r="B9" s="11" t="s">
        <v>24</v>
      </c>
      <c r="C9" s="8">
        <v>500</v>
      </c>
      <c r="D9" s="20">
        <f>IF($C$2=TRUE,'Global Parameters'!D7,C9)</f>
        <v>500</v>
      </c>
      <c r="F9" t="s">
        <v>53</v>
      </c>
      <c r="G9" t="s">
        <v>36</v>
      </c>
      <c r="H9" t="s">
        <v>38</v>
      </c>
      <c r="I9" t="s">
        <v>37</v>
      </c>
      <c r="K9" s="54">
        <v>2014</v>
      </c>
      <c r="L9" s="55">
        <v>-59.29</v>
      </c>
      <c r="N9" s="54">
        <v>2027</v>
      </c>
      <c r="O9" s="54">
        <f>'Well 17 Year 0 with Inflation'!O9</f>
        <v>6</v>
      </c>
    </row>
    <row r="10" spans="2:15" ht="15.6" thickTop="1" thickBot="1" x14ac:dyDescent="0.35">
      <c r="B10" s="11" t="s">
        <v>48</v>
      </c>
      <c r="C10" s="8">
        <v>2000</v>
      </c>
      <c r="D10" s="20">
        <f>IF($C$2=TRUE,'Global Parameters'!D8,C10)</f>
        <v>2000</v>
      </c>
      <c r="F10" s="35" t="s">
        <v>39</v>
      </c>
      <c r="G10" s="1">
        <f>-PV(D25,G5,0,H10)</f>
        <v>88182.977580953404</v>
      </c>
      <c r="H10" s="41">
        <f>D15*(D13+D14+D17*G6+D18*G5)</f>
        <v>1255000</v>
      </c>
      <c r="I10">
        <f>G5</f>
        <v>19</v>
      </c>
      <c r="K10" s="54">
        <v>2015</v>
      </c>
      <c r="L10" s="55">
        <v>-34.81</v>
      </c>
      <c r="N10" s="54">
        <v>2028</v>
      </c>
      <c r="O10" s="54">
        <f>'Well 17 Year 0 with Inflation'!O10</f>
        <v>3</v>
      </c>
    </row>
    <row r="11" spans="2:15" ht="15" thickTop="1" x14ac:dyDescent="0.3">
      <c r="B11" s="12" t="s">
        <v>25</v>
      </c>
      <c r="C11" s="25">
        <v>5</v>
      </c>
      <c r="D11" s="21">
        <f>IF($C$2=TRUE,'Global Parameters'!D9,C11)</f>
        <v>5</v>
      </c>
      <c r="F11" s="35" t="s">
        <v>41</v>
      </c>
      <c r="G11" s="1">
        <f>-PV(D25,_xlfn.CEILING.MATH(D11,D19)-D11, 0,-PV(G7,G6,D17)+D17)</f>
        <v>1503185.4109801548</v>
      </c>
      <c r="K11" s="54">
        <v>2016</v>
      </c>
      <c r="L11" s="55">
        <v>46.57</v>
      </c>
      <c r="N11" s="54">
        <v>2029</v>
      </c>
      <c r="O11" s="54">
        <f>'Well 17 Year 0 with Inflation'!O11</f>
        <v>1</v>
      </c>
    </row>
    <row r="12" spans="2:15" x14ac:dyDescent="0.3">
      <c r="C12" s="17"/>
      <c r="D12" s="17"/>
      <c r="F12" s="35" t="s">
        <v>42</v>
      </c>
      <c r="G12" s="1">
        <f>-PV(D25,G5,D18)</f>
        <v>1239646.2389578184</v>
      </c>
      <c r="K12" s="54">
        <v>2017</v>
      </c>
      <c r="L12" s="55">
        <v>15.88</v>
      </c>
      <c r="N12" s="54">
        <v>2030</v>
      </c>
      <c r="O12" s="54">
        <f>'Well 17 Year 0 with Inflation'!O12</f>
        <v>-1</v>
      </c>
    </row>
    <row r="13" spans="2:15" ht="15" thickBot="1" x14ac:dyDescent="0.35">
      <c r="B13" s="13" t="s">
        <v>4</v>
      </c>
      <c r="C13" s="3">
        <v>2000000</v>
      </c>
      <c r="D13" s="14">
        <f>IF($C$2=TRUE,'Global Parameters'!D11,C13)</f>
        <v>2000000</v>
      </c>
      <c r="G13" s="1"/>
      <c r="K13" s="54">
        <v>2018</v>
      </c>
      <c r="L13" s="55">
        <v>-15.89</v>
      </c>
      <c r="N13" s="54">
        <v>2031</v>
      </c>
      <c r="O13" s="54">
        <f>'Well 17 Year 0 with Inflation'!O13</f>
        <v>-2.5</v>
      </c>
    </row>
    <row r="14" spans="2:15" ht="15.6" thickTop="1" thickBot="1" x14ac:dyDescent="0.35">
      <c r="B14" s="11" t="s">
        <v>5</v>
      </c>
      <c r="C14" s="5">
        <v>1750000</v>
      </c>
      <c r="D14" s="15">
        <f>IF($C$2=TRUE,'Global Parameters'!D12,C14)</f>
        <v>1750000</v>
      </c>
      <c r="F14" s="35" t="s">
        <v>50</v>
      </c>
      <c r="G14" s="1">
        <f>SUM(G10:G12)</f>
        <v>2831014.6275189267</v>
      </c>
      <c r="K14" s="54">
        <v>2019</v>
      </c>
      <c r="L14" s="55">
        <v>22.21</v>
      </c>
      <c r="N14" s="54">
        <v>2032</v>
      </c>
      <c r="O14" s="54">
        <f>'Well 17 Year 0 with Inflation'!O14</f>
        <v>-0.5</v>
      </c>
    </row>
    <row r="15" spans="2:15" ht="15" thickTop="1" x14ac:dyDescent="0.3">
      <c r="B15" s="12" t="s">
        <v>61</v>
      </c>
      <c r="C15" s="28">
        <v>0.1</v>
      </c>
      <c r="D15" s="18">
        <f>IF($C$2=TRUE,'Global Parameters'!D13,C15)</f>
        <v>0.1</v>
      </c>
      <c r="F15" s="35" t="s">
        <v>49</v>
      </c>
      <c r="G15" s="1">
        <f>D8*G14</f>
        <v>45296234.040302828</v>
      </c>
      <c r="K15" s="54">
        <v>2020</v>
      </c>
      <c r="L15" s="55">
        <v>7.08</v>
      </c>
      <c r="N15" s="54">
        <v>2034</v>
      </c>
      <c r="O15" s="54">
        <f>'Well 17 Year 0 with Inflation'!O15</f>
        <v>1</v>
      </c>
    </row>
    <row r="16" spans="2:15" x14ac:dyDescent="0.3">
      <c r="C16" s="17"/>
      <c r="D16" s="17"/>
      <c r="G16" s="1"/>
      <c r="K16" s="54">
        <v>2021</v>
      </c>
      <c r="L16" s="55">
        <v>45.26</v>
      </c>
      <c r="N16" s="54">
        <v>2035</v>
      </c>
      <c r="O16" s="54">
        <f>'Well 17 Year 0 with Inflation'!O16</f>
        <v>2.1</v>
      </c>
    </row>
    <row r="17" spans="2:15" ht="15" thickBot="1" x14ac:dyDescent="0.35">
      <c r="B17" s="13" t="s">
        <v>11</v>
      </c>
      <c r="C17" s="3">
        <v>1250000</v>
      </c>
      <c r="D17" s="14">
        <f>IF($C$2=TRUE,'Global Parameters'!D15,C17)</f>
        <v>1250000</v>
      </c>
      <c r="F17" t="s">
        <v>51</v>
      </c>
      <c r="G17" s="1" t="s">
        <v>36</v>
      </c>
      <c r="H17" t="s">
        <v>38</v>
      </c>
      <c r="I17" t="s">
        <v>37</v>
      </c>
      <c r="K17" s="54">
        <v>2022</v>
      </c>
      <c r="L17" s="55">
        <v>14.98</v>
      </c>
      <c r="N17" s="54">
        <v>2036</v>
      </c>
      <c r="O17" s="54">
        <f>'Well 17 Year 0 with Inflation'!O17</f>
        <v>1.5</v>
      </c>
    </row>
    <row r="18" spans="2:15" ht="15.6" thickTop="1" thickBot="1" x14ac:dyDescent="0.35">
      <c r="B18" s="11" t="s">
        <v>12</v>
      </c>
      <c r="C18" s="5">
        <v>200000</v>
      </c>
      <c r="D18" s="15">
        <f>IF($C$2=TRUE,'Global Parameters'!D16,C18)</f>
        <v>200000</v>
      </c>
      <c r="F18" s="35" t="s">
        <v>52</v>
      </c>
      <c r="G18" s="1">
        <f>-PV(D25,G5,0,H18)</f>
        <v>88182.977580953404</v>
      </c>
      <c r="H18" s="41">
        <f>H10</f>
        <v>1255000</v>
      </c>
      <c r="I18">
        <f>I10</f>
        <v>19</v>
      </c>
    </row>
    <row r="19" spans="2:15" ht="15" thickTop="1" x14ac:dyDescent="0.3">
      <c r="B19" s="12" t="s">
        <v>34</v>
      </c>
      <c r="C19" s="25">
        <v>7</v>
      </c>
      <c r="D19" s="21">
        <f>IF($C$2=TRUE,'Global Parameters'!D17,C19)</f>
        <v>7</v>
      </c>
      <c r="F19" s="35" t="s">
        <v>54</v>
      </c>
      <c r="G19" s="51">
        <f>-PV(G7,ROUNDDOWN((G5-2)/D19, 0),D17)</f>
        <v>646582.12238653714</v>
      </c>
    </row>
    <row r="20" spans="2:15" x14ac:dyDescent="0.3">
      <c r="F20" s="35" t="s">
        <v>55</v>
      </c>
      <c r="G20" s="51">
        <f>-PV(D25,G5-2,D18)</f>
        <v>1209432.151021715</v>
      </c>
    </row>
    <row r="21" spans="2:15" ht="15" thickBot="1" x14ac:dyDescent="0.35">
      <c r="B21" s="13" t="s">
        <v>20</v>
      </c>
      <c r="C21" s="3">
        <v>5.25</v>
      </c>
      <c r="D21" s="14">
        <f>IF($C$2=TRUE,'Global Parameters'!D19,C21)</f>
        <v>5.25</v>
      </c>
      <c r="F21" s="35" t="s">
        <v>62</v>
      </c>
      <c r="G21" s="51">
        <f>-PV(D25,2,0,D13+D14)</f>
        <v>2835538.7523629493</v>
      </c>
    </row>
    <row r="22" spans="2:15" ht="15.6" thickTop="1" thickBot="1" x14ac:dyDescent="0.35">
      <c r="B22" s="11" t="s">
        <v>21</v>
      </c>
      <c r="C22" s="5">
        <v>3.75</v>
      </c>
      <c r="D22" s="15">
        <f>IF($C$2=TRUE,'Global Parameters'!D20,C22)</f>
        <v>3.75</v>
      </c>
    </row>
    <row r="23" spans="2:15" ht="15" thickTop="1" x14ac:dyDescent="0.3">
      <c r="B23" s="12" t="s">
        <v>22</v>
      </c>
      <c r="C23" s="9">
        <v>30</v>
      </c>
      <c r="D23" s="16">
        <f>IF($C$2=TRUE,'Global Parameters'!D21,C23)</f>
        <v>30</v>
      </c>
      <c r="F23" s="35" t="s">
        <v>56</v>
      </c>
      <c r="G23" s="42">
        <f>SUM(G18:G21)</f>
        <v>4779736.003352155</v>
      </c>
    </row>
    <row r="25" spans="2:15" ht="15" thickBot="1" x14ac:dyDescent="0.35">
      <c r="B25" s="13" t="s">
        <v>31</v>
      </c>
      <c r="C25" s="38">
        <v>0.15</v>
      </c>
      <c r="D25" s="30">
        <f>IF($C$2=TRUE,'Global Parameters'!D23,C25)</f>
        <v>0.15</v>
      </c>
      <c r="F25" s="13" t="s">
        <v>45</v>
      </c>
      <c r="G25" s="46" t="s">
        <v>46</v>
      </c>
      <c r="H25" s="46" t="s">
        <v>57</v>
      </c>
      <c r="I25" s="46" t="s">
        <v>77</v>
      </c>
    </row>
    <row r="26" spans="2:15" ht="15" thickTop="1" x14ac:dyDescent="0.3">
      <c r="B26" s="12" t="s">
        <v>32</v>
      </c>
      <c r="C26" s="39"/>
      <c r="D26" s="40">
        <f>IF($C$2=TRUE,'Global Parameters'!D24,C26)</f>
        <v>0.87</v>
      </c>
      <c r="F26" s="45">
        <f>365.25*H26</f>
        <v>6574500</v>
      </c>
      <c r="G26">
        <v>1</v>
      </c>
      <c r="H26">
        <f>D5</f>
        <v>18000</v>
      </c>
      <c r="I26" s="41">
        <f>($D$23-$D$22-$D$21)*(1+O5/100)</f>
        <v>24.779999999999998</v>
      </c>
    </row>
    <row r="27" spans="2:15" x14ac:dyDescent="0.3">
      <c r="F27" s="45">
        <f t="shared" ref="F27:F45" si="0">365.25*H27</f>
        <v>5456835</v>
      </c>
      <c r="G27">
        <v>2</v>
      </c>
      <c r="H27">
        <f>H26*(1-$D$6)</f>
        <v>14940</v>
      </c>
      <c r="I27" s="41">
        <f>I26*(1+O6/100)</f>
        <v>29.735999999999997</v>
      </c>
    </row>
    <row r="28" spans="2:15" x14ac:dyDescent="0.3">
      <c r="F28" s="45">
        <f t="shared" si="0"/>
        <v>5259600</v>
      </c>
      <c r="G28">
        <v>3</v>
      </c>
      <c r="H28">
        <f>G4+D10</f>
        <v>14400</v>
      </c>
      <c r="I28" s="41">
        <f t="shared" ref="I28:I37" si="1">I27*(1+O7/100)</f>
        <v>34.196399999999997</v>
      </c>
    </row>
    <row r="29" spans="2:15" x14ac:dyDescent="0.3">
      <c r="F29" s="45">
        <f t="shared" si="0"/>
        <v>4312872</v>
      </c>
      <c r="G29">
        <v>4</v>
      </c>
      <c r="H29">
        <f>ROUND(H28*(1-$D$6-$D$7), 0)</f>
        <v>11808</v>
      </c>
      <c r="I29" s="41">
        <f t="shared" si="1"/>
        <v>38.299968</v>
      </c>
    </row>
    <row r="30" spans="2:15" x14ac:dyDescent="0.3">
      <c r="F30" s="45">
        <f t="shared" si="0"/>
        <v>3536715.75</v>
      </c>
      <c r="G30">
        <v>5</v>
      </c>
      <c r="H30">
        <f t="shared" ref="H30:H43" si="2">ROUND(H29*(1-$D$6-$D$7), 0)</f>
        <v>9683</v>
      </c>
      <c r="I30" s="41">
        <f t="shared" si="1"/>
        <v>40.597966079999999</v>
      </c>
    </row>
    <row r="31" spans="2:15" x14ac:dyDescent="0.3">
      <c r="F31" s="45">
        <f t="shared" si="0"/>
        <v>2900085</v>
      </c>
      <c r="G31">
        <v>6</v>
      </c>
      <c r="H31">
        <f>ROUND(H30*(1-$D$6-$D$7), 0)</f>
        <v>7940</v>
      </c>
      <c r="I31" s="41">
        <f t="shared" si="1"/>
        <v>41.815905062399999</v>
      </c>
    </row>
    <row r="32" spans="2:15" x14ac:dyDescent="0.3">
      <c r="F32" s="45">
        <f t="shared" si="0"/>
        <v>2378142.75</v>
      </c>
      <c r="G32">
        <v>7</v>
      </c>
      <c r="H32">
        <f t="shared" si="2"/>
        <v>6511</v>
      </c>
      <c r="I32" s="41">
        <f t="shared" si="1"/>
        <v>42.234064113023997</v>
      </c>
    </row>
    <row r="33" spans="6:9" x14ac:dyDescent="0.3">
      <c r="F33" s="45">
        <f t="shared" si="0"/>
        <v>1950069.75</v>
      </c>
      <c r="G33">
        <v>8</v>
      </c>
      <c r="H33">
        <f t="shared" si="2"/>
        <v>5339</v>
      </c>
      <c r="I33" s="41">
        <f t="shared" si="1"/>
        <v>41.811723471893757</v>
      </c>
    </row>
    <row r="34" spans="6:9" x14ac:dyDescent="0.3">
      <c r="F34" s="45">
        <f t="shared" si="0"/>
        <v>1599064.5</v>
      </c>
      <c r="G34">
        <v>9</v>
      </c>
      <c r="H34">
        <f t="shared" si="2"/>
        <v>4378</v>
      </c>
      <c r="I34" s="41">
        <f t="shared" si="1"/>
        <v>40.766430385096413</v>
      </c>
    </row>
    <row r="35" spans="6:9" x14ac:dyDescent="0.3">
      <c r="F35" s="45">
        <f t="shared" si="0"/>
        <v>1311247.5</v>
      </c>
      <c r="G35">
        <v>10</v>
      </c>
      <c r="H35">
        <f t="shared" si="2"/>
        <v>3590</v>
      </c>
      <c r="I35" s="41">
        <f t="shared" si="1"/>
        <v>40.562598233170931</v>
      </c>
    </row>
    <row r="36" spans="6:9" x14ac:dyDescent="0.3">
      <c r="F36" s="45">
        <f t="shared" si="0"/>
        <v>1075296</v>
      </c>
      <c r="G36">
        <v>11</v>
      </c>
      <c r="H36">
        <f t="shared" si="2"/>
        <v>2944</v>
      </c>
      <c r="I36" s="41">
        <f t="shared" si="1"/>
        <v>40.968224215502637</v>
      </c>
    </row>
    <row r="37" spans="6:9" x14ac:dyDescent="0.3">
      <c r="F37" s="45">
        <f t="shared" si="0"/>
        <v>881713.5</v>
      </c>
      <c r="G37">
        <v>12</v>
      </c>
      <c r="H37">
        <f t="shared" si="2"/>
        <v>2414</v>
      </c>
      <c r="I37" s="41">
        <f t="shared" si="1"/>
        <v>41.828556924028192</v>
      </c>
    </row>
    <row r="38" spans="6:9" x14ac:dyDescent="0.3">
      <c r="F38" s="45">
        <f t="shared" si="0"/>
        <v>722829.75</v>
      </c>
      <c r="G38">
        <v>13</v>
      </c>
      <c r="H38">
        <f t="shared" si="2"/>
        <v>1979</v>
      </c>
      <c r="I38" s="41">
        <f>I37*(1+O17/100)</f>
        <v>42.455985277888608</v>
      </c>
    </row>
    <row r="39" spans="6:9" x14ac:dyDescent="0.3">
      <c r="F39" s="45">
        <f t="shared" si="0"/>
        <v>592800.75</v>
      </c>
      <c r="G39">
        <v>14</v>
      </c>
      <c r="H39">
        <f t="shared" si="2"/>
        <v>1623</v>
      </c>
      <c r="I39" s="41">
        <f>I38</f>
        <v>42.455985277888608</v>
      </c>
    </row>
    <row r="40" spans="6:9" x14ac:dyDescent="0.3">
      <c r="F40" s="45">
        <f t="shared" si="0"/>
        <v>486147.75</v>
      </c>
      <c r="G40">
        <v>15</v>
      </c>
      <c r="H40">
        <f t="shared" si="2"/>
        <v>1331</v>
      </c>
      <c r="I40" s="41">
        <f t="shared" ref="I40:I45" si="3">I39</f>
        <v>42.455985277888608</v>
      </c>
    </row>
    <row r="41" spans="6:9" x14ac:dyDescent="0.3">
      <c r="F41" s="45">
        <f t="shared" si="0"/>
        <v>398487.75</v>
      </c>
      <c r="G41">
        <v>16</v>
      </c>
      <c r="H41">
        <f t="shared" si="2"/>
        <v>1091</v>
      </c>
      <c r="I41" s="41">
        <f t="shared" si="3"/>
        <v>42.455985277888608</v>
      </c>
    </row>
    <row r="42" spans="6:9" x14ac:dyDescent="0.3">
      <c r="F42" s="45">
        <f t="shared" si="0"/>
        <v>326898.75</v>
      </c>
      <c r="G42">
        <v>17</v>
      </c>
      <c r="H42">
        <f t="shared" si="2"/>
        <v>895</v>
      </c>
      <c r="I42" s="41">
        <f t="shared" si="3"/>
        <v>42.455985277888608</v>
      </c>
    </row>
    <row r="43" spans="6:9" x14ac:dyDescent="0.3">
      <c r="F43" s="45">
        <f t="shared" si="0"/>
        <v>268093.5</v>
      </c>
      <c r="G43">
        <v>18</v>
      </c>
      <c r="H43">
        <f t="shared" si="2"/>
        <v>734</v>
      </c>
      <c r="I43" s="41">
        <f t="shared" si="3"/>
        <v>42.455985277888608</v>
      </c>
    </row>
    <row r="44" spans="6:9" x14ac:dyDescent="0.3">
      <c r="F44" s="45">
        <f t="shared" si="0"/>
        <v>219880.5</v>
      </c>
      <c r="G44">
        <v>19</v>
      </c>
      <c r="H44">
        <f>ROUND(H43*(1-$D$6-$D$7), 0)</f>
        <v>602</v>
      </c>
      <c r="I44" s="41">
        <f t="shared" si="3"/>
        <v>42.455985277888608</v>
      </c>
    </row>
    <row r="45" spans="6:9" x14ac:dyDescent="0.3">
      <c r="F45" s="47">
        <f t="shared" si="0"/>
        <v>180433.5</v>
      </c>
      <c r="G45" s="48">
        <v>20</v>
      </c>
      <c r="H45" s="48">
        <f>ROUND(H44*(1-$D$6-$D$7), 0)</f>
        <v>494</v>
      </c>
      <c r="I45" s="41">
        <f t="shared" si="3"/>
        <v>42.455985277888608</v>
      </c>
    </row>
    <row r="47" spans="6:9" x14ac:dyDescent="0.3">
      <c r="F47" t="s">
        <v>58</v>
      </c>
      <c r="G47" s="42" cm="1">
        <f t="array" ref="G47">NPV(D25,I26:I44*F26:F44)</f>
        <v>729087524.63097811</v>
      </c>
    </row>
    <row r="49" spans="6:7" x14ac:dyDescent="0.3">
      <c r="F49" t="s">
        <v>60</v>
      </c>
      <c r="G49" s="44">
        <f>G47-G23-G15</f>
        <v>679011554.58732307</v>
      </c>
    </row>
  </sheetData>
  <dataValidations count="1">
    <dataValidation type="list" allowBlank="1" showInputMessage="1" showErrorMessage="1" sqref="C2" xr:uid="{FBABB3C0-F0D5-44DD-8F56-984CA37E7E9D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Global Parameters</vt:lpstr>
      <vt:lpstr>DN</vt:lpstr>
      <vt:lpstr>Well 17 at Year 0</vt:lpstr>
      <vt:lpstr>Well 17 at Year 1</vt:lpstr>
      <vt:lpstr>Well 17 at Year 2</vt:lpstr>
      <vt:lpstr>Well 18 at Year 0</vt:lpstr>
      <vt:lpstr>Well 18 at Year 1</vt:lpstr>
      <vt:lpstr>Well 19 at Year 0</vt:lpstr>
      <vt:lpstr>Well 19 at Year 1</vt:lpstr>
      <vt:lpstr>Well 20 at Year 0</vt:lpstr>
      <vt:lpstr>Well 20 at Year 1</vt:lpstr>
      <vt:lpstr>DN with Inflation</vt:lpstr>
      <vt:lpstr>Well 17 Year 0 with Inflation</vt:lpstr>
      <vt:lpstr>Well 17 Year 1 with Inflation</vt:lpstr>
      <vt:lpstr>Well 17 Year 2 with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Youssof Nsouli</dc:creator>
  <cp:lastModifiedBy>Youssof Nsouli</cp:lastModifiedBy>
  <dcterms:created xsi:type="dcterms:W3CDTF">2015-06-05T18:17:20Z</dcterms:created>
  <dcterms:modified xsi:type="dcterms:W3CDTF">2023-01-21T18:36:49Z</dcterms:modified>
</cp:coreProperties>
</file>