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D:\PLANTILLAS\REFORMAS DE VEHICULOS\PLANTILLAS DE PROYECTOS UTILIZADOS ACTUALMENTE\"/>
    </mc:Choice>
  </mc:AlternateContent>
  <xr:revisionPtr revIDLastSave="0" documentId="13_ncr:1_{5F750492-0E21-4BA3-A934-3A1EFA9D66BD}" xr6:coauthVersionLast="47" xr6:coauthVersionMax="47" xr10:uidLastSave="{00000000-0000-0000-0000-000000000000}"/>
  <bookViews>
    <workbookView xWindow="3510" yWindow="3510" windowWidth="21600" windowHeight="11385" firstSheet="13" activeTab="15" xr2:uid="{00000000-000D-0000-FFFF-FFFF00000000}"/>
  </bookViews>
  <sheets>
    <sheet name="REPARTO DE PESOS ESTIMADO" sheetId="3" r:id="rId1"/>
    <sheet name="CALCULOS VARIOS POTENCIA" sheetId="11" r:id="rId2"/>
    <sheet name="CAMBIO DE RUEDAS" sheetId="2" r:id="rId3"/>
    <sheet name="TOTALES" sheetId="23" r:id="rId4"/>
    <sheet name="SUSPENSION" sheetId="33" r:id="rId5"/>
    <sheet name="BALLESTAS" sheetId="16" r:id="rId6"/>
    <sheet name="TACOS EN SUSPENSION" sheetId="39" r:id="rId7"/>
    <sheet name="ALETINES" sheetId="25" r:id="rId8"/>
    <sheet name="SNORKEL" sheetId="26" r:id="rId9"/>
    <sheet name="CABRESTANTE" sheetId="32" r:id="rId10"/>
    <sheet name="SOPORTES LUCES DE TRABAJO" sheetId="34" r:id="rId11"/>
    <sheet name="LUCES INCRUSTADAS EN PARAGOLPES" sheetId="35" r:id="rId12"/>
    <sheet name="PARAGOLPES DELANTERO" sheetId="29" r:id="rId13"/>
    <sheet name="PARAGOLPES TRASERO" sheetId="30" r:id="rId14"/>
    <sheet name="ESTRIBOS LATERALES" sheetId="31" r:id="rId15"/>
    <sheet name="MOBILIARIO INTERIOR CAMPER" sheetId="38" r:id="rId16"/>
    <sheet name="ESTABILIDAD VEHICULO" sheetId="21" r:id="rId17"/>
    <sheet name="ENGANCHE REMOLQUE" sheetId="9" r:id="rId18"/>
    <sheet name="FRENOS TAMBOR" sheetId="22" r:id="rId19"/>
    <sheet name="FRENOS DISCO" sheetId="20" r:id="rId20"/>
    <sheet name="PRESUPUESTO PROYECTO" sheetId="37" r:id="rId21"/>
  </sheets>
  <calcPr calcId="191029"/>
</workbook>
</file>

<file path=xl/calcChain.xml><?xml version="1.0" encoding="utf-8"?>
<calcChain xmlns="http://schemas.openxmlformats.org/spreadsheetml/2006/main">
  <c r="D39" i="39" l="1"/>
  <c r="D38" i="39"/>
  <c r="G30" i="39"/>
  <c r="D36" i="39"/>
  <c r="D25" i="39"/>
  <c r="D24" i="39"/>
  <c r="D22" i="39"/>
  <c r="E10" i="39"/>
  <c r="E9" i="39"/>
  <c r="G16" i="39" s="1"/>
  <c r="E8" i="39"/>
  <c r="C69" i="16" l="1"/>
  <c r="C75" i="16" s="1"/>
  <c r="A61" i="23"/>
  <c r="A48" i="23"/>
  <c r="A47" i="23"/>
  <c r="A44" i="23"/>
  <c r="E32" i="23"/>
  <c r="E9" i="16"/>
  <c r="E8" i="16"/>
  <c r="E7" i="16"/>
  <c r="E9" i="33"/>
  <c r="E8" i="33"/>
  <c r="E7" i="33"/>
  <c r="G90" i="38"/>
  <c r="G89" i="38"/>
  <c r="E90" i="38"/>
  <c r="E89" i="38"/>
  <c r="B89" i="38"/>
  <c r="C89" i="38"/>
  <c r="D89" i="38"/>
  <c r="B90" i="38"/>
  <c r="C90" i="38"/>
  <c r="D90" i="38"/>
  <c r="A90" i="38"/>
  <c r="A89" i="38"/>
  <c r="E75" i="38"/>
  <c r="E76" i="38"/>
  <c r="E77" i="38"/>
  <c r="E78" i="38"/>
  <c r="E79" i="38"/>
  <c r="E80" i="38"/>
  <c r="E81" i="38"/>
  <c r="E74" i="38"/>
  <c r="B74" i="38"/>
  <c r="C74" i="38"/>
  <c r="B75" i="38"/>
  <c r="C75" i="38"/>
  <c r="B76" i="38"/>
  <c r="C76" i="38"/>
  <c r="B77" i="38"/>
  <c r="C77" i="38"/>
  <c r="B78" i="38"/>
  <c r="C78" i="38"/>
  <c r="B79" i="38"/>
  <c r="C79" i="38"/>
  <c r="B80" i="38"/>
  <c r="C80" i="38"/>
  <c r="B81" i="38"/>
  <c r="C81" i="38"/>
  <c r="A75" i="38"/>
  <c r="A76" i="38"/>
  <c r="A77" i="38"/>
  <c r="A78" i="38"/>
  <c r="A79" i="38"/>
  <c r="A80" i="38"/>
  <c r="A81" i="38"/>
  <c r="A74" i="38"/>
  <c r="A47" i="38"/>
  <c r="A48" i="38"/>
  <c r="A49" i="38"/>
  <c r="A50" i="38"/>
  <c r="A51" i="38"/>
  <c r="A52" i="38"/>
  <c r="A53" i="38"/>
  <c r="A46" i="38"/>
  <c r="G53" i="38"/>
  <c r="G52" i="38"/>
  <c r="G51" i="38"/>
  <c r="G50" i="38"/>
  <c r="G49" i="38"/>
  <c r="G48" i="38"/>
  <c r="G47" i="38"/>
  <c r="G46" i="38"/>
  <c r="C13" i="38"/>
  <c r="D79" i="38" s="1"/>
  <c r="C9" i="38"/>
  <c r="C14" i="38" s="1"/>
  <c r="C9" i="23"/>
  <c r="C12" i="23" s="1"/>
  <c r="D11" i="37"/>
  <c r="C183" i="35"/>
  <c r="C172" i="35"/>
  <c r="C126" i="35"/>
  <c r="C95" i="35"/>
  <c r="C84" i="35"/>
  <c r="G53" i="35"/>
  <c r="C48" i="35"/>
  <c r="C62" i="35" s="1"/>
  <c r="C109" i="35" s="1"/>
  <c r="D26" i="35"/>
  <c r="C26" i="35"/>
  <c r="D23" i="35"/>
  <c r="B23" i="35"/>
  <c r="A23" i="35"/>
  <c r="C9" i="35"/>
  <c r="D15" i="35" s="1"/>
  <c r="C23" i="35" s="1"/>
  <c r="C183" i="34"/>
  <c r="C172" i="34"/>
  <c r="C126" i="34"/>
  <c r="C95" i="34"/>
  <c r="C84" i="34"/>
  <c r="C62" i="34"/>
  <c r="C109" i="34" s="1"/>
  <c r="G53" i="34"/>
  <c r="C48" i="34"/>
  <c r="D26" i="34"/>
  <c r="C26" i="34"/>
  <c r="D23" i="34"/>
  <c r="B23" i="34"/>
  <c r="A23" i="34"/>
  <c r="C9" i="34"/>
  <c r="D15" i="34" s="1"/>
  <c r="C23" i="34" s="1"/>
  <c r="C32" i="23"/>
  <c r="D26" i="31"/>
  <c r="C26" i="31"/>
  <c r="D23" i="31"/>
  <c r="B23" i="31"/>
  <c r="A23" i="31"/>
  <c r="C9" i="31"/>
  <c r="D26" i="30"/>
  <c r="C26" i="30"/>
  <c r="D23" i="30"/>
  <c r="B23" i="30"/>
  <c r="A23" i="30"/>
  <c r="C9" i="30"/>
  <c r="D15" i="30" s="1"/>
  <c r="C23" i="30" s="1"/>
  <c r="D26" i="29"/>
  <c r="C26" i="29"/>
  <c r="D23" i="29"/>
  <c r="B23" i="29"/>
  <c r="A23" i="29"/>
  <c r="C9" i="29"/>
  <c r="D15" i="29" s="1"/>
  <c r="C23" i="29" s="1"/>
  <c r="D26" i="26"/>
  <c r="C26" i="26"/>
  <c r="D23" i="26"/>
  <c r="B23" i="26"/>
  <c r="A23" i="26"/>
  <c r="C9" i="26"/>
  <c r="D15" i="26" s="1"/>
  <c r="C23" i="26" s="1"/>
  <c r="C26" i="25"/>
  <c r="F17" i="23"/>
  <c r="A81" i="33"/>
  <c r="B76" i="33"/>
  <c r="C76" i="33" s="1"/>
  <c r="D58" i="33"/>
  <c r="D59" i="33" s="1"/>
  <c r="B70" i="33" s="1"/>
  <c r="A49" i="33"/>
  <c r="F90" i="38" l="1"/>
  <c r="H90" i="38" s="1"/>
  <c r="D77" i="38"/>
  <c r="F77" i="38" s="1"/>
  <c r="D78" i="38"/>
  <c r="F78" i="38" s="1"/>
  <c r="D74" i="38"/>
  <c r="F74" i="38" s="1"/>
  <c r="D76" i="38"/>
  <c r="F76" i="38" s="1"/>
  <c r="D81" i="38"/>
  <c r="F81" i="38" s="1"/>
  <c r="D75" i="38"/>
  <c r="F75" i="38" s="1"/>
  <c r="D80" i="38"/>
  <c r="F80" i="38" s="1"/>
  <c r="F79" i="38"/>
  <c r="F89" i="38"/>
  <c r="H89" i="38" s="1"/>
  <c r="E23" i="26"/>
  <c r="A26" i="26" s="1"/>
  <c r="E26" i="26" s="1"/>
  <c r="C137" i="34"/>
  <c r="C142" i="34" s="1"/>
  <c r="E206" i="34" s="1"/>
  <c r="C210" i="34" s="1"/>
  <c r="D15" i="31"/>
  <c r="C23" i="31" s="1"/>
  <c r="E23" i="31" s="1"/>
  <c r="A26" i="31" s="1"/>
  <c r="E26" i="31" s="1"/>
  <c r="D76" i="33"/>
  <c r="E76" i="33" s="1"/>
  <c r="F76" i="33" s="1"/>
  <c r="E23" i="35"/>
  <c r="A26" i="35" s="1"/>
  <c r="E26" i="35" s="1"/>
  <c r="C137" i="35"/>
  <c r="C142" i="35" s="1"/>
  <c r="E206" i="35" s="1"/>
  <c r="C210" i="35" s="1"/>
  <c r="E23" i="34"/>
  <c r="A26" i="34" s="1"/>
  <c r="E26" i="34" s="1"/>
  <c r="E23" i="29"/>
  <c r="A26" i="29" s="1"/>
  <c r="E26" i="29" s="1"/>
  <c r="E23" i="30"/>
  <c r="A26" i="30" s="1"/>
  <c r="E26" i="30" s="1"/>
  <c r="D64" i="33"/>
  <c r="C70" i="33"/>
  <c r="D70" i="33" s="1"/>
  <c r="D63" i="33"/>
  <c r="B81" i="33" s="1"/>
  <c r="C81" i="33" s="1"/>
  <c r="D81" i="33" s="1"/>
  <c r="B44" i="33" l="1"/>
  <c r="C44" i="33" s="1"/>
  <c r="C345" i="33"/>
  <c r="D289" i="33"/>
  <c r="E267" i="33"/>
  <c r="D263" i="33"/>
  <c r="D212" i="33"/>
  <c r="D220" i="33" s="1"/>
  <c r="D26" i="33"/>
  <c r="D27" i="33" s="1"/>
  <c r="D32" i="33" s="1"/>
  <c r="D29" i="32"/>
  <c r="B17" i="32" s="1"/>
  <c r="C183" i="31"/>
  <c r="C172" i="31"/>
  <c r="C126" i="31"/>
  <c r="C95" i="31"/>
  <c r="C84" i="31"/>
  <c r="G53" i="31"/>
  <c r="C48" i="31"/>
  <c r="C62" i="31" s="1"/>
  <c r="C109" i="31" s="1"/>
  <c r="C183" i="30"/>
  <c r="C172" i="30"/>
  <c r="C126" i="30"/>
  <c r="C95" i="30"/>
  <c r="C84" i="30"/>
  <c r="G53" i="30"/>
  <c r="C48" i="30"/>
  <c r="C62" i="30" s="1"/>
  <c r="C109" i="30" s="1"/>
  <c r="C183" i="29"/>
  <c r="C172" i="29"/>
  <c r="C126" i="29"/>
  <c r="C95" i="29"/>
  <c r="C84" i="29"/>
  <c r="G53" i="29"/>
  <c r="C48" i="29"/>
  <c r="C62" i="29" s="1"/>
  <c r="C109" i="29" s="1"/>
  <c r="C183" i="26"/>
  <c r="C172" i="26"/>
  <c r="C126" i="26"/>
  <c r="C95" i="26"/>
  <c r="C84" i="26"/>
  <c r="G53" i="26"/>
  <c r="C48" i="26"/>
  <c r="C62" i="26" s="1"/>
  <c r="C109" i="26" s="1"/>
  <c r="D26" i="25"/>
  <c r="D23" i="25"/>
  <c r="D238" i="33" l="1"/>
  <c r="D246" i="33" s="1"/>
  <c r="D265" i="33" s="1"/>
  <c r="D267" i="33" s="1"/>
  <c r="B38" i="33"/>
  <c r="C38" i="33" s="1"/>
  <c r="D38" i="33" s="1"/>
  <c r="C137" i="29"/>
  <c r="C142" i="29" s="1"/>
  <c r="E206" i="29" s="1"/>
  <c r="C210" i="29" s="1"/>
  <c r="C132" i="33"/>
  <c r="C137" i="26"/>
  <c r="C142" i="26" s="1"/>
  <c r="E206" i="26" s="1"/>
  <c r="C210" i="26" s="1"/>
  <c r="D44" i="33"/>
  <c r="E44" i="33" s="1"/>
  <c r="F44" i="33" s="1"/>
  <c r="C350" i="33"/>
  <c r="D31" i="33"/>
  <c r="C157" i="33"/>
  <c r="C166" i="33" s="1"/>
  <c r="D262" i="33"/>
  <c r="E30" i="32"/>
  <c r="B19" i="32" s="1"/>
  <c r="C137" i="31"/>
  <c r="C142" i="31" s="1"/>
  <c r="E206" i="31" s="1"/>
  <c r="C210" i="31" s="1"/>
  <c r="C137" i="30"/>
  <c r="C142" i="30" s="1"/>
  <c r="E206" i="30" s="1"/>
  <c r="C210" i="30" s="1"/>
  <c r="D304" i="33" l="1"/>
  <c r="B49" i="33"/>
  <c r="D187" i="33"/>
  <c r="D184" i="33"/>
  <c r="B23" i="25"/>
  <c r="A23" i="25"/>
  <c r="C9" i="25"/>
  <c r="D15" i="25" s="1"/>
  <c r="C23" i="25" s="1"/>
  <c r="C183" i="25"/>
  <c r="C172" i="25"/>
  <c r="C126" i="25"/>
  <c r="C95" i="25"/>
  <c r="C84" i="25"/>
  <c r="G53" i="25"/>
  <c r="C48" i="25"/>
  <c r="C62" i="25" s="1"/>
  <c r="C109" i="25" s="1"/>
  <c r="C49" i="33" l="1"/>
  <c r="D49" i="33" s="1"/>
  <c r="D308" i="33"/>
  <c r="D318" i="33" s="1"/>
  <c r="D321" i="33" s="1"/>
  <c r="E23" i="25"/>
  <c r="A26" i="25" s="1"/>
  <c r="E26" i="25" s="1"/>
  <c r="C137" i="25"/>
  <c r="C142" i="25" s="1"/>
  <c r="E206" i="25" s="1"/>
  <c r="C210" i="25" s="1"/>
  <c r="C61" i="23" l="1"/>
  <c r="C47" i="23"/>
  <c r="C58" i="23" s="1"/>
  <c r="C46" i="23"/>
  <c r="C57" i="23" s="1"/>
  <c r="C59" i="23"/>
  <c r="C55" i="23"/>
  <c r="E51" i="23"/>
  <c r="E63" i="23" s="1"/>
  <c r="D51" i="23"/>
  <c r="D63" i="23" s="1"/>
  <c r="C51" i="23"/>
  <c r="C63" i="23" s="1"/>
  <c r="A57" i="23"/>
  <c r="A59" i="23"/>
  <c r="E59" i="23" s="1"/>
  <c r="D59" i="23" s="1"/>
  <c r="P44" i="23"/>
  <c r="B16" i="23"/>
  <c r="E43" i="23"/>
  <c r="E54" i="23" s="1"/>
  <c r="D43" i="23"/>
  <c r="D54" i="23" s="1"/>
  <c r="E57" i="23" l="1"/>
  <c r="D57" i="23" s="1"/>
  <c r="E61" i="23"/>
  <c r="D61" i="23" s="1"/>
  <c r="E47" i="23"/>
  <c r="A58" i="23"/>
  <c r="E58" i="23" s="1"/>
  <c r="D58" i="23" s="1"/>
  <c r="A46" i="23"/>
  <c r="E46" i="23" s="1"/>
  <c r="A55" i="23"/>
  <c r="E55" i="23" s="1"/>
  <c r="D55" i="23" s="1"/>
  <c r="A60" i="23"/>
  <c r="H6" i="23"/>
  <c r="C43" i="23"/>
  <c r="E44" i="23"/>
  <c r="E45" i="23" s="1"/>
  <c r="E56" i="23" s="1"/>
  <c r="E48" i="23"/>
  <c r="D20" i="22"/>
  <c r="B42" i="22" s="1"/>
  <c r="B51" i="22" s="1"/>
  <c r="B85" i="22" s="1"/>
  <c r="E5" i="22"/>
  <c r="E4" i="22"/>
  <c r="B20" i="23" l="1"/>
  <c r="C49" i="23" s="1"/>
  <c r="C60" i="23" s="1"/>
  <c r="C45" i="23"/>
  <c r="C54" i="23"/>
  <c r="D44" i="23"/>
  <c r="D47" i="23"/>
  <c r="D46" i="23"/>
  <c r="D48" i="23"/>
  <c r="B104" i="22"/>
  <c r="B120" i="22" s="1"/>
  <c r="B131" i="22" s="1"/>
  <c r="E60" i="23" l="1"/>
  <c r="D60" i="23" s="1"/>
  <c r="E49" i="23"/>
  <c r="D49" i="23" s="1"/>
  <c r="C50" i="23"/>
  <c r="C56" i="23"/>
  <c r="C62" i="23" s="1"/>
  <c r="D45" i="23"/>
  <c r="D56" i="23" s="1"/>
  <c r="D23" i="20"/>
  <c r="B45" i="20" s="1"/>
  <c r="E50" i="23" l="1"/>
  <c r="D50" i="23"/>
  <c r="D62" i="23" s="1"/>
  <c r="B54" i="20"/>
  <c r="B86" i="20" s="1"/>
  <c r="B100" i="20" s="1"/>
  <c r="D105" i="20" s="1"/>
  <c r="E4" i="20"/>
  <c r="E6" i="20"/>
  <c r="E5" i="20"/>
  <c r="E62" i="23" l="1"/>
  <c r="B15" i="20"/>
  <c r="B117" i="20" s="1"/>
  <c r="B173" i="21"/>
  <c r="C173" i="21"/>
  <c r="C86" i="21"/>
  <c r="B86" i="21"/>
  <c r="B87" i="21" s="1"/>
  <c r="B171" i="21" s="1"/>
  <c r="C87" i="21" l="1"/>
  <c r="C88" i="21" s="1"/>
  <c r="B172" i="21"/>
  <c r="B88" i="21"/>
  <c r="C171" i="21"/>
  <c r="C172" i="21" s="1"/>
  <c r="B135" i="20"/>
  <c r="B144" i="20" s="1"/>
  <c r="C49" i="16" l="1"/>
  <c r="C55" i="16" s="1"/>
  <c r="Q18" i="11" l="1"/>
  <c r="Q13" i="11"/>
  <c r="P8" i="11"/>
  <c r="Q6" i="11"/>
  <c r="E19" i="11"/>
  <c r="E14" i="11"/>
  <c r="D9" i="11"/>
  <c r="E7" i="11"/>
  <c r="G28" i="9" l="1"/>
  <c r="B28" i="9"/>
  <c r="J18" i="2" l="1"/>
  <c r="U33" i="2"/>
  <c r="L16" i="3" l="1"/>
  <c r="H14" i="3"/>
  <c r="D28" i="3"/>
  <c r="D27" i="3"/>
  <c r="D23" i="3"/>
  <c r="L11" i="3" s="1"/>
  <c r="H10" i="3" l="1"/>
  <c r="H12" i="3" s="1"/>
  <c r="H16" i="3" s="1"/>
  <c r="L10" i="3"/>
  <c r="L14" i="3" s="1"/>
  <c r="L18" i="3" s="1"/>
  <c r="J34" i="2" l="1"/>
  <c r="D34" i="2"/>
  <c r="O25" i="2" s="1"/>
  <c r="D18" i="2"/>
  <c r="O10" i="2" s="1"/>
  <c r="O18" i="2" l="1"/>
  <c r="S1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author>
    <author>CHOPO</author>
  </authors>
  <commentList>
    <comment ref="B6" authorId="0" shapeId="0" xr:uid="{00000000-0006-0000-0B00-000001000000}">
      <text>
        <r>
          <rPr>
            <b/>
            <sz val="9"/>
            <color indexed="81"/>
            <rFont val="Tahoma"/>
            <family val="2"/>
          </rPr>
          <t>LUIS:</t>
        </r>
        <r>
          <rPr>
            <sz val="9"/>
            <color indexed="81"/>
            <rFont val="Tahoma"/>
            <family val="2"/>
          </rPr>
          <t xml:space="preserve">
PONER EN CM</t>
        </r>
      </text>
    </comment>
    <comment ref="C6" authorId="0" shapeId="0" xr:uid="{00000000-0006-0000-0B00-000002000000}">
      <text>
        <r>
          <rPr>
            <b/>
            <sz val="9"/>
            <color indexed="81"/>
            <rFont val="Tahoma"/>
            <family val="2"/>
          </rPr>
          <t>LUIS:</t>
        </r>
        <r>
          <rPr>
            <sz val="9"/>
            <color indexed="81"/>
            <rFont val="Tahoma"/>
            <family val="2"/>
          </rPr>
          <t xml:space="preserve">
PONER LAS CANTIDADES EN CM
POR DEFECTO VIENE EN MM</t>
        </r>
      </text>
    </comment>
    <comment ref="G7" authorId="1" shapeId="0" xr:uid="{00000000-0006-0000-0B00-000003000000}">
      <text>
        <r>
          <rPr>
            <sz val="8"/>
            <color indexed="81"/>
            <rFont val="Tahoma"/>
            <family val="2"/>
          </rPr>
          <t>si por error se elimina alguna fórmula, esta se ha guardado también en la hoja2.</t>
        </r>
      </text>
    </comment>
    <comment ref="G9" authorId="0" shapeId="0" xr:uid="{00000000-0006-0000-0B00-000004000000}">
      <text>
        <r>
          <rPr>
            <b/>
            <sz val="9"/>
            <color indexed="81"/>
            <rFont val="Tahoma"/>
            <family val="2"/>
          </rPr>
          <t>LUIS:</t>
        </r>
        <r>
          <rPr>
            <sz val="9"/>
            <color indexed="81"/>
            <rFont val="Tahoma"/>
            <family val="2"/>
          </rPr>
          <t xml:space="preserve">
EL PRIMER NUMERO DE LA FICHA TECNICA ES EL DIAMETRO Y EL SEGUNDO LA CARRERA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Serrano Artesero, Luis</author>
  </authors>
  <commentList>
    <comment ref="F9" authorId="0" shapeId="0" xr:uid="{6742B039-5AB1-49B2-9479-6F4E11AC03B4}">
      <text>
        <r>
          <rPr>
            <b/>
            <sz val="9"/>
            <color indexed="81"/>
            <rFont val="Tahoma"/>
            <family val="2"/>
          </rPr>
          <t>Serrano Artesero, Luis:</t>
        </r>
        <r>
          <rPr>
            <sz val="9"/>
            <color indexed="81"/>
            <rFont val="Tahoma"/>
            <family val="2"/>
          </rPr>
          <t xml:space="preserve">
VER EN TABLAS DE TORNILLERIA</t>
        </r>
      </text>
    </comment>
    <comment ref="C56" authorId="0" shapeId="0" xr:uid="{B34BF934-CF37-4CFE-8F6D-B74239DFEA42}">
      <text>
        <r>
          <rPr>
            <b/>
            <sz val="9"/>
            <color indexed="81"/>
            <rFont val="Tahoma"/>
            <family val="2"/>
          </rPr>
          <t>Serrano Artesero, Luis:</t>
        </r>
        <r>
          <rPr>
            <sz val="9"/>
            <color indexed="81"/>
            <rFont val="Tahoma"/>
            <family val="2"/>
          </rPr>
          <t xml:space="preserve">
VER EN TABLAS DE TORNILLERIA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Serrano Artesero, Luis</author>
  </authors>
  <commentList>
    <comment ref="F9" authorId="0" shapeId="0" xr:uid="{7278EA63-BA55-414C-B93D-3013C2ED84A9}">
      <text>
        <r>
          <rPr>
            <b/>
            <sz val="9"/>
            <color indexed="81"/>
            <rFont val="Tahoma"/>
            <family val="2"/>
          </rPr>
          <t>Serrano Artesero, Luis:</t>
        </r>
        <r>
          <rPr>
            <sz val="9"/>
            <color indexed="81"/>
            <rFont val="Tahoma"/>
            <family val="2"/>
          </rPr>
          <t xml:space="preserve">
VER EN TABLAS DE TORNILLERIA</t>
        </r>
      </text>
    </comment>
    <comment ref="C56" authorId="0" shapeId="0" xr:uid="{333AA40E-7D7F-4C27-9DE8-ED5F68DCBD9A}">
      <text>
        <r>
          <rPr>
            <b/>
            <sz val="9"/>
            <color indexed="81"/>
            <rFont val="Tahoma"/>
            <family val="2"/>
          </rPr>
          <t>Serrano Artesero, Luis:</t>
        </r>
        <r>
          <rPr>
            <sz val="9"/>
            <color indexed="81"/>
            <rFont val="Tahoma"/>
            <family val="2"/>
          </rPr>
          <t xml:space="preserve">
VER EN TABLAS DE TORNILLERIA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Serrano Artesero, Luis</author>
  </authors>
  <commentList>
    <comment ref="F9" authorId="0" shapeId="0" xr:uid="{36EB72D3-47DA-4FFA-8AE3-626F74B9E7F1}">
      <text>
        <r>
          <rPr>
            <b/>
            <sz val="9"/>
            <color indexed="81"/>
            <rFont val="Tahoma"/>
            <family val="2"/>
          </rPr>
          <t>Serrano Artesero, Luis:</t>
        </r>
        <r>
          <rPr>
            <sz val="9"/>
            <color indexed="81"/>
            <rFont val="Tahoma"/>
            <family val="2"/>
          </rPr>
          <t xml:space="preserve">
VER EN TABLAS DE TORNILLERIA</t>
        </r>
      </text>
    </comment>
    <comment ref="C56" authorId="0" shapeId="0" xr:uid="{90243DC8-E204-4E5F-9D79-25034A31EF6D}">
      <text>
        <r>
          <rPr>
            <b/>
            <sz val="9"/>
            <color indexed="81"/>
            <rFont val="Tahoma"/>
            <family val="2"/>
          </rPr>
          <t>Serrano Artesero, Luis:</t>
        </r>
        <r>
          <rPr>
            <sz val="9"/>
            <color indexed="81"/>
            <rFont val="Tahoma"/>
            <family val="2"/>
          </rPr>
          <t xml:space="preserve">
VER EN TABLAS DE TORNILLERIA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Serrano Artesero, Luis</author>
  </authors>
  <commentList>
    <comment ref="F9" authorId="0" shapeId="0" xr:uid="{2426BA2F-6AF1-4E91-8B8C-F636420E139E}">
      <text>
        <r>
          <rPr>
            <b/>
            <sz val="9"/>
            <color indexed="81"/>
            <rFont val="Tahoma"/>
            <family val="2"/>
          </rPr>
          <t>Serrano Artesero, Luis:</t>
        </r>
        <r>
          <rPr>
            <sz val="9"/>
            <color indexed="81"/>
            <rFont val="Tahoma"/>
            <family val="2"/>
          </rPr>
          <t xml:space="preserve">
VER EN TABLAS DE TORNILLERIA</t>
        </r>
      </text>
    </comment>
    <comment ref="C56" authorId="0" shapeId="0" xr:uid="{2B426357-63AC-4622-A50E-425E3A893CAE}">
      <text>
        <r>
          <rPr>
            <b/>
            <sz val="9"/>
            <color indexed="81"/>
            <rFont val="Tahoma"/>
            <family val="2"/>
          </rPr>
          <t>Serrano Artesero, Luis:</t>
        </r>
        <r>
          <rPr>
            <sz val="9"/>
            <color indexed="81"/>
            <rFont val="Tahoma"/>
            <family val="2"/>
          </rPr>
          <t xml:space="preserve">
VER EN TABLAS DE TORNILLERIA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Serrano Artesero, Luis</author>
  </authors>
  <commentList>
    <comment ref="F9" authorId="0" shapeId="0" xr:uid="{114B4299-B089-419F-9A86-297C517620D1}">
      <text>
        <r>
          <rPr>
            <b/>
            <sz val="9"/>
            <color indexed="81"/>
            <rFont val="Tahoma"/>
            <family val="2"/>
          </rPr>
          <t>Serrano Artesero, Luis:</t>
        </r>
        <r>
          <rPr>
            <sz val="9"/>
            <color indexed="81"/>
            <rFont val="Tahoma"/>
            <family val="2"/>
          </rPr>
          <t xml:space="preserve">
VER EN TABLAS DE TORNILLERIA</t>
        </r>
      </text>
    </comment>
    <comment ref="C56" authorId="0" shapeId="0" xr:uid="{71AE1BBF-CD6F-458E-8F53-10362595F399}">
      <text>
        <r>
          <rPr>
            <b/>
            <sz val="9"/>
            <color indexed="81"/>
            <rFont val="Tahoma"/>
            <family val="2"/>
          </rPr>
          <t>Serrano Artesero, Luis:</t>
        </r>
        <r>
          <rPr>
            <sz val="9"/>
            <color indexed="81"/>
            <rFont val="Tahoma"/>
            <family val="2"/>
          </rPr>
          <t xml:space="preserve">
VER EN TABLAS DE TORNILLERIA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Serrano Artesero, Luis</author>
  </authors>
  <commentList>
    <comment ref="F9" authorId="0" shapeId="0" xr:uid="{070BCC66-91CD-402B-ADBF-0F13B6E4913D}">
      <text>
        <r>
          <rPr>
            <b/>
            <sz val="9"/>
            <color indexed="81"/>
            <rFont val="Tahoma"/>
            <family val="2"/>
          </rPr>
          <t>Serrano Artesero, Luis:</t>
        </r>
        <r>
          <rPr>
            <sz val="9"/>
            <color indexed="81"/>
            <rFont val="Tahoma"/>
            <family val="2"/>
          </rPr>
          <t xml:space="preserve">
VER EN TABLAS DE TORNILLERIA</t>
        </r>
      </text>
    </comment>
    <comment ref="C56" authorId="0" shapeId="0" xr:uid="{4D144786-00D5-433D-97F4-32043185A2B8}">
      <text>
        <r>
          <rPr>
            <b/>
            <sz val="9"/>
            <color indexed="81"/>
            <rFont val="Tahoma"/>
            <family val="2"/>
          </rPr>
          <t>Serrano Artesero, Luis:</t>
        </r>
        <r>
          <rPr>
            <sz val="9"/>
            <color indexed="81"/>
            <rFont val="Tahoma"/>
            <family val="2"/>
          </rPr>
          <t xml:space="preserve">
VER EN TABLAS DE TORNILLERIA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Serrano Artesero, Luis</author>
  </authors>
  <commentList>
    <comment ref="F9" authorId="0" shapeId="0" xr:uid="{348A66BD-C4DA-4264-981F-6DA8750AC8EB}">
      <text>
        <r>
          <rPr>
            <b/>
            <sz val="9"/>
            <color indexed="81"/>
            <rFont val="Tahoma"/>
            <family val="2"/>
          </rPr>
          <t>Serrano Artesero, Luis:</t>
        </r>
        <r>
          <rPr>
            <sz val="9"/>
            <color indexed="81"/>
            <rFont val="Tahoma"/>
            <family val="2"/>
          </rPr>
          <t xml:space="preserve">
VER EN TABLAS DE TORNILLERIA</t>
        </r>
      </text>
    </comment>
    <comment ref="C56" authorId="0" shapeId="0" xr:uid="{9E32261F-3B1B-4CD9-8D32-A32A09838372}">
      <text>
        <r>
          <rPr>
            <b/>
            <sz val="9"/>
            <color indexed="81"/>
            <rFont val="Tahoma"/>
            <family val="2"/>
          </rPr>
          <t>Serrano Artesero, Luis:</t>
        </r>
        <r>
          <rPr>
            <sz val="9"/>
            <color indexed="81"/>
            <rFont val="Tahoma"/>
            <family val="2"/>
          </rPr>
          <t xml:space="preserve">
VER EN TABLAS DE TORNILLERIA</t>
        </r>
      </text>
    </comment>
  </commentList>
</comments>
</file>

<file path=xl/sharedStrings.xml><?xml version="1.0" encoding="utf-8"?>
<sst xmlns="http://schemas.openxmlformats.org/spreadsheetml/2006/main" count="1182" uniqueCount="446">
  <si>
    <r>
      <t>Kg/mm</t>
    </r>
    <r>
      <rPr>
        <vertAlign val="superscript"/>
        <sz val="11"/>
        <color theme="1"/>
        <rFont val="Calibri"/>
        <family val="2"/>
        <scheme val="minor"/>
      </rPr>
      <t>2</t>
    </r>
  </si>
  <si>
    <r>
      <t>Resistencia mecánica (R</t>
    </r>
    <r>
      <rPr>
        <vertAlign val="subscript"/>
        <sz val="11"/>
        <color theme="1"/>
        <rFont val="Calibri"/>
        <family val="2"/>
        <scheme val="minor"/>
      </rPr>
      <t>m</t>
    </r>
    <r>
      <rPr>
        <sz val="11"/>
        <color theme="1"/>
        <rFont val="Calibri"/>
        <family val="2"/>
        <scheme val="minor"/>
      </rPr>
      <t>)</t>
    </r>
  </si>
  <si>
    <t>Mpa</t>
  </si>
  <si>
    <r>
      <t>Resistencia elástica (R</t>
    </r>
    <r>
      <rPr>
        <vertAlign val="subscript"/>
        <sz val="11"/>
        <color theme="1"/>
        <rFont val="Calibri"/>
        <family val="2"/>
        <scheme val="minor"/>
      </rPr>
      <t>e</t>
    </r>
    <r>
      <rPr>
        <sz val="11"/>
        <color theme="1"/>
        <rFont val="Calibri"/>
        <family val="2"/>
        <scheme val="minor"/>
      </rPr>
      <t>)</t>
    </r>
  </si>
  <si>
    <t>Incremento del alargamiento mínimo (A)</t>
  </si>
  <si>
    <r>
      <t>Resistencia práctica del aero a cizalla/cortadura (R</t>
    </r>
    <r>
      <rPr>
        <vertAlign val="subscript"/>
        <sz val="11"/>
        <color theme="1"/>
        <rFont val="Calibri"/>
        <family val="2"/>
        <scheme val="minor"/>
      </rPr>
      <t>c</t>
    </r>
    <r>
      <rPr>
        <sz val="11"/>
        <color theme="1"/>
        <rFont val="Calibri"/>
        <family val="2"/>
        <scheme val="minor"/>
      </rPr>
      <t>)</t>
    </r>
  </si>
  <si>
    <t>Módulo de elasticidad al cizallamiento</t>
  </si>
  <si>
    <t>Características del material NORMALMENTE ACERO EN 12070-2 SiCr</t>
  </si>
  <si>
    <t>CÁLCULO JUSTIFICATIVOS SUSTITUCIÓN MUELLES</t>
  </si>
  <si>
    <t>mm</t>
  </si>
  <si>
    <r>
      <t>Diámetro exterior (D</t>
    </r>
    <r>
      <rPr>
        <vertAlign val="subscript"/>
        <sz val="11"/>
        <color theme="1"/>
        <rFont val="Calibri"/>
        <family val="2"/>
        <scheme val="minor"/>
      </rPr>
      <t>ext</t>
    </r>
    <r>
      <rPr>
        <sz val="11"/>
        <color theme="1"/>
        <rFont val="Calibri"/>
        <family val="2"/>
        <scheme val="minor"/>
      </rPr>
      <t>)</t>
    </r>
  </si>
  <si>
    <r>
      <t>Diámetro interior (D</t>
    </r>
    <r>
      <rPr>
        <vertAlign val="subscript"/>
        <sz val="11"/>
        <color theme="1"/>
        <rFont val="Calibri"/>
        <family val="2"/>
        <scheme val="minor"/>
      </rPr>
      <t>int</t>
    </r>
    <r>
      <rPr>
        <sz val="11"/>
        <color theme="1"/>
        <rFont val="Calibri"/>
        <family val="2"/>
        <scheme val="minor"/>
      </rPr>
      <t>)</t>
    </r>
  </si>
  <si>
    <r>
      <t>Diámetro medio (D</t>
    </r>
    <r>
      <rPr>
        <vertAlign val="subscript"/>
        <sz val="11"/>
        <color theme="1"/>
        <rFont val="Calibri"/>
        <family val="2"/>
        <scheme val="minor"/>
      </rPr>
      <t>m</t>
    </r>
    <r>
      <rPr>
        <sz val="11"/>
        <color theme="1"/>
        <rFont val="Calibri"/>
        <family val="2"/>
        <scheme val="minor"/>
      </rPr>
      <t>)</t>
    </r>
  </si>
  <si>
    <r>
      <t>Diámetro de espira (D</t>
    </r>
    <r>
      <rPr>
        <vertAlign val="subscript"/>
        <sz val="11"/>
        <color theme="1"/>
        <rFont val="Calibri"/>
        <family val="2"/>
        <scheme val="minor"/>
      </rPr>
      <t>e</t>
    </r>
    <r>
      <rPr>
        <sz val="11"/>
        <color theme="1"/>
        <rFont val="Calibri"/>
        <family val="2"/>
        <scheme val="minor"/>
      </rPr>
      <t>)</t>
    </r>
  </si>
  <si>
    <r>
      <t>Longitud libre (L</t>
    </r>
    <r>
      <rPr>
        <vertAlign val="subscript"/>
        <sz val="11"/>
        <color theme="1"/>
        <rFont val="Calibri"/>
        <family val="2"/>
        <scheme val="minor"/>
      </rPr>
      <t>max</t>
    </r>
    <r>
      <rPr>
        <sz val="11"/>
        <color theme="1"/>
        <rFont val="Calibri"/>
        <family val="2"/>
        <scheme val="minor"/>
      </rPr>
      <t>)=L0</t>
    </r>
  </si>
  <si>
    <t>Curvatura ( C )</t>
  </si>
  <si>
    <t>N/mm</t>
  </si>
  <si>
    <r>
      <t xml:space="preserve">Características del geométricas, medidas sobre el muelle </t>
    </r>
    <r>
      <rPr>
        <b/>
        <u/>
        <sz val="11"/>
        <color theme="1"/>
        <rFont val="Calibri"/>
        <family val="2"/>
        <scheme val="minor"/>
      </rPr>
      <t>(EJE DELANTERO)</t>
    </r>
  </si>
  <si>
    <t>CARACTERÍSTICAS DEL VEHÍCULO</t>
  </si>
  <si>
    <t>Las MMA a considerar en los cálculos son las siguientes</t>
  </si>
  <si>
    <t>MTMA/MMA (Kg)</t>
  </si>
  <si>
    <t>CÁLCULO DE LA RIGIDEZ DE LOS MUELLES</t>
  </si>
  <si>
    <t>K=</t>
  </si>
  <si>
    <r>
      <t>0,018</t>
    </r>
    <r>
      <rPr>
        <vertAlign val="superscript"/>
        <sz val="14"/>
        <color theme="1"/>
        <rFont val="Calibri"/>
        <family val="2"/>
        <scheme val="minor"/>
      </rPr>
      <t>4</t>
    </r>
    <r>
      <rPr>
        <sz val="14"/>
        <color theme="1"/>
        <rFont val="Calibri"/>
        <family val="2"/>
        <scheme val="minor"/>
      </rPr>
      <t>*79500,24*10</t>
    </r>
    <r>
      <rPr>
        <vertAlign val="superscript"/>
        <sz val="14"/>
        <color theme="1"/>
        <rFont val="Calibri"/>
        <family val="2"/>
        <scheme val="minor"/>
      </rPr>
      <t>6</t>
    </r>
  </si>
  <si>
    <r>
      <t>8*0,097</t>
    </r>
    <r>
      <rPr>
        <vertAlign val="superscript"/>
        <sz val="14"/>
        <color theme="1"/>
        <rFont val="Calibri"/>
        <family val="2"/>
        <scheme val="minor"/>
      </rPr>
      <t>3</t>
    </r>
    <r>
      <rPr>
        <sz val="14"/>
        <color theme="1"/>
        <rFont val="Calibri"/>
        <family val="2"/>
        <scheme val="minor"/>
      </rPr>
      <t>*2</t>
    </r>
  </si>
  <si>
    <t>CÁLCULO DEL ESFUERZO MÁXIMO CORTANTE (EMC)</t>
  </si>
  <si>
    <t>EMC (del)=</t>
  </si>
  <si>
    <r>
      <t>π*0,018</t>
    </r>
    <r>
      <rPr>
        <vertAlign val="superscript"/>
        <sz val="11"/>
        <color theme="1"/>
        <rFont val="Calibri"/>
        <family val="2"/>
      </rPr>
      <t>3</t>
    </r>
    <r>
      <rPr>
        <sz val="11"/>
        <color theme="1"/>
        <rFont val="Calibri"/>
        <family val="2"/>
      </rPr>
      <t>*1118,34*10</t>
    </r>
    <r>
      <rPr>
        <vertAlign val="superscript"/>
        <sz val="11"/>
        <color theme="1"/>
        <rFont val="Calibri"/>
        <family val="2"/>
      </rPr>
      <t>6</t>
    </r>
  </si>
  <si>
    <t>8*0,097</t>
  </si>
  <si>
    <t>N</t>
  </si>
  <si>
    <t>EMC=</t>
  </si>
  <si>
    <t>2*EMC</t>
  </si>
  <si>
    <t>K(del)=</t>
  </si>
  <si>
    <t>1135*9,81</t>
  </si>
  <si>
    <t>≥ 1</t>
  </si>
  <si>
    <r>
      <t>Si K</t>
    </r>
    <r>
      <rPr>
        <sz val="11"/>
        <color theme="1"/>
        <rFont val="Calibri"/>
        <family val="2"/>
      </rPr>
      <t>≥1</t>
    </r>
  </si>
  <si>
    <t>Si K&lt;1</t>
  </si>
  <si>
    <t>LOS MUELLES NO SON VÁLIDOS</t>
  </si>
  <si>
    <t>LOS MUELLES SON VÁLIDOS</t>
  </si>
  <si>
    <t>CÁLCULO LA CARGA MÁX (Q) EN FUNCIÓN DE LA FLECHA DEL MUELLE</t>
  </si>
  <si>
    <t>Número de espiras (n) (empezamos por 0)</t>
  </si>
  <si>
    <t>Lmin --&gt; longitud mínima del muelle</t>
  </si>
  <si>
    <t>N --&gt; nº de espiras</t>
  </si>
  <si>
    <t>d --&gt; diámetro de la espira</t>
  </si>
  <si>
    <t>Lmin= 2*18</t>
  </si>
  <si>
    <t>Lmin=</t>
  </si>
  <si>
    <t>f = lmax - lmin</t>
  </si>
  <si>
    <t>f=</t>
  </si>
  <si>
    <t>Q=</t>
  </si>
  <si>
    <r>
      <t>0,352*79500,24*10</t>
    </r>
    <r>
      <rPr>
        <vertAlign val="superscript"/>
        <sz val="11"/>
        <color theme="1"/>
        <rFont val="Calibri"/>
        <family val="2"/>
        <scheme val="minor"/>
      </rPr>
      <t>6</t>
    </r>
    <r>
      <rPr>
        <sz val="11"/>
        <color theme="1"/>
        <rFont val="Calibri"/>
        <family val="2"/>
        <scheme val="minor"/>
      </rPr>
      <t>*0,018</t>
    </r>
    <r>
      <rPr>
        <vertAlign val="superscript"/>
        <sz val="11"/>
        <color theme="1"/>
        <rFont val="Calibri"/>
        <family val="2"/>
        <scheme val="minor"/>
      </rPr>
      <t>4</t>
    </r>
  </si>
  <si>
    <r>
      <t>64*2*(0,097/2)</t>
    </r>
    <r>
      <rPr>
        <vertAlign val="superscript"/>
        <sz val="11"/>
        <color theme="1"/>
        <rFont val="Calibri"/>
        <family val="2"/>
        <scheme val="minor"/>
      </rPr>
      <t>3</t>
    </r>
  </si>
  <si>
    <t>Q(del)=</t>
  </si>
  <si>
    <t>K(Q)=</t>
  </si>
  <si>
    <t>Q(del) = 2* Q = 2*190884,09</t>
  </si>
  <si>
    <t>T=</t>
  </si>
  <si>
    <t>K(t)=</t>
  </si>
  <si>
    <t>=</t>
  </si>
  <si>
    <t>1135-2*35</t>
  </si>
  <si>
    <t>Kg</t>
  </si>
  <si>
    <t>2*raiz ((571,51*1000)*</t>
  </si>
  <si>
    <t>(N*s)/m</t>
  </si>
  <si>
    <t>Debemos recabar del fabricante los valores de:</t>
  </si>
  <si>
    <t>Ns/m</t>
  </si>
  <si>
    <r>
      <t>C</t>
    </r>
    <r>
      <rPr>
        <vertAlign val="subscript"/>
        <sz val="11"/>
        <color theme="1"/>
        <rFont val="Calibri"/>
        <family val="2"/>
        <scheme val="minor"/>
      </rPr>
      <t>com</t>
    </r>
  </si>
  <si>
    <r>
      <t>C</t>
    </r>
    <r>
      <rPr>
        <vertAlign val="subscript"/>
        <sz val="11"/>
        <color theme="1"/>
        <rFont val="Calibri"/>
        <family val="2"/>
        <scheme val="minor"/>
      </rPr>
      <t>exp</t>
    </r>
  </si>
  <si>
    <r>
      <t>C</t>
    </r>
    <r>
      <rPr>
        <vertAlign val="subscript"/>
        <sz val="11"/>
        <color theme="1"/>
        <rFont val="Calibri"/>
        <family val="2"/>
        <scheme val="minor"/>
      </rPr>
      <t>com</t>
    </r>
    <r>
      <rPr>
        <sz val="11"/>
        <color theme="1"/>
        <rFont val="Calibri"/>
        <family val="2"/>
        <scheme val="minor"/>
      </rPr>
      <t>= Coeficiente a compresión</t>
    </r>
  </si>
  <si>
    <r>
      <t>C</t>
    </r>
    <r>
      <rPr>
        <vertAlign val="subscript"/>
        <sz val="11"/>
        <color theme="1"/>
        <rFont val="Calibri"/>
        <family val="2"/>
        <scheme val="minor"/>
      </rPr>
      <t>exp</t>
    </r>
    <r>
      <rPr>
        <sz val="11"/>
        <color theme="1"/>
        <rFont val="Calibri"/>
        <family val="2"/>
        <scheme val="minor"/>
      </rPr>
      <t>= Coeficiente a expansión</t>
    </r>
  </si>
  <si>
    <t>VARIACIÓN DEL NEUMÁTICO</t>
  </si>
  <si>
    <t>ANCHO</t>
  </si>
  <si>
    <t>PERFIL</t>
  </si>
  <si>
    <t>RADIO</t>
  </si>
  <si>
    <t>INDICE CARGA</t>
  </si>
  <si>
    <t>INDICE VEL</t>
  </si>
  <si>
    <t>ORIGINAL</t>
  </si>
  <si>
    <t>REFORMA</t>
  </si>
  <si>
    <t>CENTIMETROS</t>
  </si>
  <si>
    <t>MEDIDA</t>
  </si>
  <si>
    <t>PULGADAS</t>
  </si>
  <si>
    <t>criterios de equivalencia:</t>
  </si>
  <si>
    <t>Índice de capacidad de carga igual o superior.</t>
  </si>
  <si>
    <t>Código de categoría de velocidad igual o superior.</t>
  </si>
  <si>
    <t>Igual diámetro exterior con una tolerancia de ±3 %.</t>
  </si>
  <si>
    <t>Que el perfil de la llanta de montaje sea el correspondiente al neumático.</t>
  </si>
  <si>
    <t>SI NO SON EQUIVALENTES Y SU DIFERENCIA ES SUPERIOR AL 10%</t>
  </si>
  <si>
    <t>PRUEBA DE FRENADO</t>
  </si>
  <si>
    <t>PRUEBA DE VELOCIMETRO</t>
  </si>
  <si>
    <t>PRUEBA DE RUIDO</t>
  </si>
  <si>
    <t>PRUEBA DE DIRECCIÓN</t>
  </si>
  <si>
    <t>PRUEBAS</t>
  </si>
  <si>
    <t>CERTIFICADO</t>
  </si>
  <si>
    <t>675+IVA</t>
  </si>
  <si>
    <t>199+IVA</t>
  </si>
  <si>
    <t>LÍMITE 10%</t>
  </si>
  <si>
    <t>VARIACIÓN ALTURA (cm)</t>
  </si>
  <si>
    <t>SOLAMENTE PRUEBA DE FRENADO</t>
  </si>
  <si>
    <t>250+IVA</t>
  </si>
  <si>
    <t>REPARTO DE PESOS</t>
  </si>
  <si>
    <t>EJE DELANTERO</t>
  </si>
  <si>
    <t>EJE TRASERO</t>
  </si>
  <si>
    <t>TARA eje delantero</t>
  </si>
  <si>
    <t>Peso elem. Desmontados</t>
  </si>
  <si>
    <t>Peso elem. Montados</t>
  </si>
  <si>
    <t>Peso ocupantes sobre eje</t>
  </si>
  <si>
    <t>MMA EJE DELANTERO</t>
  </si>
  <si>
    <t>TARA eje trasero</t>
  </si>
  <si>
    <t>MMA EJE TRASERO</t>
  </si>
  <si>
    <t>¿CUMPLE?</t>
  </si>
  <si>
    <t>SUMATORIO</t>
  </si>
  <si>
    <t>MASAS DEL VEHICULO</t>
  </si>
  <si>
    <t>TARA DEL VEHÍCULO</t>
  </si>
  <si>
    <t>MOM</t>
  </si>
  <si>
    <t>PESO DEL CONDUCTOR</t>
  </si>
  <si>
    <t>Nº PLAZAS DELANTERAS</t>
  </si>
  <si>
    <t>Nº PLAZAS TRASERAS</t>
  </si>
  <si>
    <t>PESO OCUPANTES PLAZAS DELANTERAS</t>
  </si>
  <si>
    <t>PESO OCUPANTES PLAZAS TRASERAS</t>
  </si>
  <si>
    <t>Carga útil (equipaje)</t>
  </si>
  <si>
    <t>Carga enganche</t>
  </si>
  <si>
    <t>MMA VEHÍCULO</t>
  </si>
  <si>
    <t>CARACTERÍSTICAS DE LA PIEZA</t>
  </si>
  <si>
    <t>Peso de la pieza en Kg</t>
  </si>
  <si>
    <t>Coef. aerodinámico</t>
  </si>
  <si>
    <t>SUJECIÓN</t>
  </si>
  <si>
    <t>nº tornillos</t>
  </si>
  <si>
    <t>Métrica</t>
  </si>
  <si>
    <t>Calidad</t>
  </si>
  <si>
    <t>P=</t>
  </si>
  <si>
    <t>F(fr)=</t>
  </si>
  <si>
    <t>CARACTERÍSTICAS PARA FUERZA PRODUCIDA POR PRESIÓN DEL AIRE</t>
  </si>
  <si>
    <t>Cw (Coef. Aerodinámico)</t>
  </si>
  <si>
    <t>A (área de la pieza)</t>
  </si>
  <si>
    <t>p (densidad del aire)</t>
  </si>
  <si>
    <t>m/s</t>
  </si>
  <si>
    <r>
      <t>m</t>
    </r>
    <r>
      <rPr>
        <vertAlign val="superscript"/>
        <sz val="11"/>
        <color theme="1"/>
        <rFont val="Calibri"/>
        <family val="2"/>
        <scheme val="minor"/>
      </rPr>
      <t>2</t>
    </r>
  </si>
  <si>
    <r>
      <t>Kg/m</t>
    </r>
    <r>
      <rPr>
        <vertAlign val="superscript"/>
        <sz val="11"/>
        <color theme="1"/>
        <rFont val="Calibri"/>
        <family val="2"/>
        <scheme val="minor"/>
      </rPr>
      <t>3</t>
    </r>
  </si>
  <si>
    <r>
      <t>V</t>
    </r>
    <r>
      <rPr>
        <vertAlign val="superscript"/>
        <sz val="11"/>
        <color theme="1"/>
        <rFont val="Calibri"/>
        <family val="2"/>
        <scheme val="minor"/>
      </rPr>
      <t>2</t>
    </r>
    <r>
      <rPr>
        <sz val="11"/>
        <color theme="1"/>
        <rFont val="Calibri"/>
        <family val="2"/>
        <scheme val="minor"/>
      </rPr>
      <t xml:space="preserve"> (velocidad del aire 140Km/h) </t>
    </r>
  </si>
  <si>
    <t>Ra=</t>
  </si>
  <si>
    <t>F(C)=</t>
  </si>
  <si>
    <t>R (radio de curva)</t>
  </si>
  <si>
    <t>m</t>
  </si>
  <si>
    <t>F(T)=</t>
  </si>
  <si>
    <t>Aplicando un coeficiente de seguridad K=3, obtenemos la fuerza de diseño Fd que ha de soportar por</t>
  </si>
  <si>
    <t>los anclajes dispuestos</t>
  </si>
  <si>
    <t>F(d)=</t>
  </si>
  <si>
    <t>K (coeficiente de seguridad)</t>
  </si>
  <si>
    <t>Siendo:</t>
  </si>
  <si>
    <t>Sustituyendo en la 1a fórmula</t>
  </si>
  <si>
    <t>Fv(max)=</t>
  </si>
  <si>
    <t>As( Sección resistente)</t>
  </si>
  <si>
    <t>Sustituyendo en la 2a fórmula</t>
  </si>
  <si>
    <t>Ft(max)=</t>
  </si>
  <si>
    <t>Si los dos son verdes Válido</t>
  </si>
  <si>
    <t>COMPROBACION</t>
  </si>
  <si>
    <t>Anchura de la pieza en m</t>
  </si>
  <si>
    <t>Altura de la pieza en m</t>
  </si>
  <si>
    <r>
      <t>Superficie frontal m</t>
    </r>
    <r>
      <rPr>
        <vertAlign val="superscript"/>
        <sz val="11"/>
        <color theme="1"/>
        <rFont val="Calibri"/>
        <family val="2"/>
        <scheme val="minor"/>
      </rPr>
      <t>2</t>
    </r>
  </si>
  <si>
    <t>F=</t>
  </si>
  <si>
    <t>Kb=</t>
  </si>
  <si>
    <t>VARIACION %</t>
  </si>
  <si>
    <t>CONCEPTO</t>
  </si>
  <si>
    <t>N/CM2</t>
  </si>
  <si>
    <t>Res. Tracción Mín tornillo DIN7981:</t>
  </si>
  <si>
    <t>BAJA CALIDAD</t>
  </si>
  <si>
    <t>PARA EL RESTO DE CALIDADES DE ACERO</t>
  </si>
  <si>
    <t>LA CONSTANTE SERÁ 0,5</t>
  </si>
  <si>
    <t>kg</t>
  </si>
  <si>
    <t>g</t>
  </si>
  <si>
    <t>Coeficiente de rozamiento</t>
  </si>
  <si>
    <t>m/s2</t>
  </si>
  <si>
    <t>UM8.8</t>
  </si>
  <si>
    <t>Diámetro nominal (mm)</t>
  </si>
  <si>
    <t>Paso de rosca(mm)</t>
  </si>
  <si>
    <t>Sección de tensión(mm2)</t>
  </si>
  <si>
    <t>Resistencia material (kg/mm2)</t>
  </si>
  <si>
    <t>Carga máx. en límite elástico (Kg)</t>
  </si>
  <si>
    <t>Par de apriete(mm)</t>
  </si>
  <si>
    <t>Radio sección sin roscar(mm)</t>
  </si>
  <si>
    <t>Radio efectivo(mm)</t>
  </si>
  <si>
    <t>Componente / Diámetro tornillo (mm)</t>
  </si>
  <si>
    <t>total</t>
  </si>
  <si>
    <t>D</t>
  </si>
  <si>
    <t>T=MTMA</t>
  </si>
  <si>
    <t>R (MMR)</t>
  </si>
  <si>
    <t>MTMA</t>
  </si>
  <si>
    <t>S</t>
  </si>
  <si>
    <t>KN</t>
  </si>
  <si>
    <t>Tn</t>
  </si>
  <si>
    <t>R</t>
  </si>
  <si>
    <t>La entrada de datos en las casillas en rojo, las fórmulas están en las casillas en verde (RESULTADOS)</t>
  </si>
  <si>
    <t>A: cuando sabes el número de cilindros y la cilindrada obtenida con el diámetro y la carrera</t>
  </si>
  <si>
    <t>DIÁMETRO</t>
  </si>
  <si>
    <t>CARRERA</t>
  </si>
  <si>
    <t>POT. FISCAL</t>
  </si>
  <si>
    <t>NOTA</t>
  </si>
  <si>
    <t>N CILINDROS</t>
  </si>
  <si>
    <t>CILINDRADA</t>
  </si>
  <si>
    <t>B: cuando sabes el número de cilindros y la cilindrada directamente</t>
  </si>
  <si>
    <t>C: cuando tienes la cilindrada y la potencia fiscal</t>
  </si>
  <si>
    <t>POT FISCAL</t>
  </si>
  <si>
    <t>D: resulta imposible determinar cual es el diámetro y la carrera si solo sabemos la cilindrada y el número de cilindros.</t>
  </si>
  <si>
    <t>MOTOR 4 TIEMPOS</t>
  </si>
  <si>
    <t>MOTOR 2 TIEMPOS</t>
  </si>
  <si>
    <t>CÁLCULO POTENCIA DE UN MOTOR</t>
  </si>
  <si>
    <t>Diámetro de cada perno</t>
  </si>
  <si>
    <t>10 mm</t>
  </si>
  <si>
    <t>Material del perno</t>
  </si>
  <si>
    <t>Acero 8.8</t>
  </si>
  <si>
    <t>Tensión min., rotura cortante acero</t>
  </si>
  <si>
    <t>Número de penos</t>
  </si>
  <si>
    <t>Tc = Tiro de cabrestante / Sección de los pernos.</t>
  </si>
  <si>
    <t>La tensión cortante de rotura es inferior a la mínima tensión cortante de los pernos obteniendo un coeficiente de seguridad para el material de 1,19 y considerando esta dirección técnica que es suficiente para la aplicación de cargas a realizar.</t>
  </si>
  <si>
    <t>3.100 Kg/cm2</t>
  </si>
  <si>
    <t>Tc= 6120 / [(π. R2).4] =  6120 / 4,71 =2604 Kg/cm2</t>
  </si>
  <si>
    <t>TC=</t>
  </si>
  <si>
    <t>tensión máx del cabestrante dividido por la sección de los pernos por el nº de pernos</t>
  </si>
  <si>
    <t>Tc=</t>
  </si>
  <si>
    <t>COEF. SEGURIDAD</t>
  </si>
  <si>
    <t>Número de pistones</t>
  </si>
  <si>
    <t>Nm</t>
  </si>
  <si>
    <t>Número de hojas: N=</t>
  </si>
  <si>
    <t>Ancho de la hoja    b=</t>
  </si>
  <si>
    <t>Espesor de la hoja e=</t>
  </si>
  <si>
    <t>Longitud total ballesta 2L=</t>
  </si>
  <si>
    <r>
      <t xml:space="preserve">Esfuerzo de la flexión </t>
    </r>
    <r>
      <rPr>
        <sz val="11"/>
        <color theme="1"/>
        <rFont val="Calibri"/>
        <family val="2"/>
      </rPr>
      <t>σ</t>
    </r>
    <r>
      <rPr>
        <sz val="12.65"/>
        <color theme="1"/>
        <rFont val="Calibri"/>
        <family val="2"/>
      </rPr>
      <t>=</t>
    </r>
  </si>
  <si>
    <t>2F=</t>
  </si>
  <si>
    <t>M8.8</t>
  </si>
  <si>
    <t>K</t>
  </si>
  <si>
    <t>Q1</t>
  </si>
  <si>
    <t>Q2</t>
  </si>
  <si>
    <t>Q3</t>
  </si>
  <si>
    <t>Q4</t>
  </si>
  <si>
    <t>Q5</t>
  </si>
  <si>
    <t>Q6</t>
  </si>
  <si>
    <t>Q7</t>
  </si>
  <si>
    <t>Q8</t>
  </si>
  <si>
    <t>ESFUERZOS VERTICALES</t>
  </si>
  <si>
    <t>Cond. Originales</t>
  </si>
  <si>
    <t>Cond. Actuales</t>
  </si>
  <si>
    <t>MMA Total</t>
  </si>
  <si>
    <t>Altura (h)</t>
  </si>
  <si>
    <t>MMA eje 1</t>
  </si>
  <si>
    <t>Ancho de vía más desfav. (d):</t>
  </si>
  <si>
    <t>MMA eje 2</t>
  </si>
  <si>
    <t>Distancia entre ejes:</t>
  </si>
  <si>
    <t>Tara:</t>
  </si>
  <si>
    <t>Carga útil (Qútil):</t>
  </si>
  <si>
    <t>Altura al bastidor (hb):</t>
  </si>
  <si>
    <t>RESULTADOS</t>
  </si>
  <si>
    <t>ACTUAL</t>
  </si>
  <si>
    <t>hcu</t>
  </si>
  <si>
    <t>hcg</t>
  </si>
  <si>
    <t>Inclinación</t>
  </si>
  <si>
    <t>X</t>
  </si>
  <si>
    <t>FRENO DE DISCO</t>
  </si>
  <si>
    <t>Diámetro exterior (m)</t>
  </si>
  <si>
    <t>Diámetro interior (m)</t>
  </si>
  <si>
    <t>Diámetro piston (m)</t>
  </si>
  <si>
    <t>Ángulo de contacto entre pastilla y disco rad</t>
  </si>
  <si>
    <t>Radio efectivo</t>
  </si>
  <si>
    <t>ØDET</t>
  </si>
  <si>
    <t>ØDIT</t>
  </si>
  <si>
    <t>ØPP</t>
  </si>
  <si>
    <t>RDIT</t>
  </si>
  <si>
    <t>RDET</t>
  </si>
  <si>
    <t>MASA EJE DELANTERO</t>
  </si>
  <si>
    <t>𝐴𝑙𝑡𝑢𝑟𝑎 𝑑𝑒𝑙 𝑝𝑒𝑑𝑎𝑙 𝑝𝑖𝑠𝑎_xD835_  →</t>
  </si>
  <si>
    <t>𝐹𝑢𝑒𝑟𝑧𝑎 𝑒𝑗𝑒𝑟𝑐𝑖𝑑𝑎 𝑒𝑛 𝑒𝑙 𝑝𝑒𝑑𝑎𝑙  → 𝐹𝑒𝑝</t>
  </si>
  <si>
    <t>𝐴𝑙𝑡𝑢𝑟𝑎 𝑑𝑒𝑙 𝑝𝑒𝑑𝑎𝑙 𝑒𝑛 𝑟𝑒𝑝𝑜𝑠𝑜  →  ℎ𝑝𝑟</t>
  </si>
  <si>
    <t>𝑅𝑒𝑙𝑎𝑐𝑖ó𝑛 𝑑𝑒 𝑑𝑒𝑠𝑚𝑢𝑙𝑡𝑖𝑝𝑙𝑖𝑐𝑎𝑐𝑖ó𝑛 𝑑𝑒𝑙 𝑝𝑒𝑑𝑎𝑙→ 𝑅𝑝</t>
  </si>
  <si>
    <t>Se ha mantenido original todo el circuito del líquido de frenos</t>
  </si>
  <si>
    <t>Una vez conocidos todos los datos, empezamos a realizar los cálculos.</t>
  </si>
  <si>
    <t>Para conocer la influencia del pedal de freno sobre el sistema, cabe resaltar que el pedal es un elemento amplificador de la fuerza que ejerce el conductor. Las ecuaciones que se muestran a</t>
  </si>
  <si>
    <t xml:space="preserve">continuación son para un sistema de frenado sin servofreno. Por lo tanto, para conocer el valor de la fuerza que se ejerce sobre el sistema se emplea la siguiente expresión, donde se </t>
  </si>
  <si>
    <t>puede apreciar como la fuerza aplicada por el conductor (𝐹𝑒𝑝) se multiplica por la relación del pedal (𝑅𝑝).</t>
  </si>
  <si>
    <t>Fsp=</t>
  </si>
  <si>
    <t>1:</t>
  </si>
  <si>
    <t>coeficiente de fricción que hay entre el disco y la pastilla (𝜇𝐹)</t>
  </si>
  <si>
    <t>Como tenemos dos discos en el eje trasero</t>
  </si>
  <si>
    <r>
      <t>N</t>
    </r>
    <r>
      <rPr>
        <vertAlign val="subscript"/>
        <sz val="18"/>
        <color theme="1"/>
        <rFont val="Calibri"/>
        <family val="2"/>
        <scheme val="minor"/>
      </rPr>
      <t>F</t>
    </r>
    <r>
      <rPr>
        <sz val="18"/>
        <color theme="1"/>
        <rFont val="Calibri"/>
        <family val="2"/>
        <scheme val="minor"/>
      </rPr>
      <t>=</t>
    </r>
  </si>
  <si>
    <r>
      <t>F</t>
    </r>
    <r>
      <rPr>
        <vertAlign val="subscript"/>
        <sz val="18"/>
        <color theme="1"/>
        <rFont val="Calibri"/>
        <family val="2"/>
        <scheme val="minor"/>
      </rPr>
      <t>TFF</t>
    </r>
    <r>
      <rPr>
        <sz val="18"/>
        <color theme="1"/>
        <rFont val="Calibri"/>
        <family val="2"/>
        <scheme val="minor"/>
      </rPr>
      <t>=</t>
    </r>
  </si>
  <si>
    <r>
      <t>2*F</t>
    </r>
    <r>
      <rPr>
        <vertAlign val="subscript"/>
        <sz val="18"/>
        <color theme="1"/>
        <rFont val="Calibri"/>
        <family val="2"/>
        <scheme val="minor"/>
      </rPr>
      <t>FF</t>
    </r>
  </si>
  <si>
    <r>
      <t>F</t>
    </r>
    <r>
      <rPr>
        <vertAlign val="subscript"/>
        <sz val="18"/>
        <color theme="1"/>
        <rFont val="Calibri"/>
        <family val="2"/>
        <scheme val="minor"/>
      </rPr>
      <t>FF</t>
    </r>
    <r>
      <rPr>
        <sz val="18"/>
        <color theme="1"/>
        <rFont val="Calibri"/>
        <family val="2"/>
        <scheme val="minor"/>
      </rPr>
      <t>=</t>
    </r>
  </si>
  <si>
    <r>
      <t>F</t>
    </r>
    <r>
      <rPr>
        <vertAlign val="subscript"/>
        <sz val="18"/>
        <color theme="1"/>
        <rFont val="Calibri"/>
        <family val="2"/>
        <scheme val="minor"/>
      </rPr>
      <t>PT=</t>
    </r>
  </si>
  <si>
    <r>
      <t>N/m</t>
    </r>
    <r>
      <rPr>
        <vertAlign val="superscript"/>
        <sz val="18"/>
        <color theme="1"/>
        <rFont val="Calibri"/>
        <family val="2"/>
        <scheme val="minor"/>
      </rPr>
      <t>2</t>
    </r>
  </si>
  <si>
    <t>Radio del neumático</t>
  </si>
  <si>
    <r>
      <t>F</t>
    </r>
    <r>
      <rPr>
        <vertAlign val="subscript"/>
        <sz val="18"/>
        <color theme="1"/>
        <rFont val="Calibri"/>
        <family val="2"/>
        <scheme val="minor"/>
      </rPr>
      <t>FRT=</t>
    </r>
  </si>
  <si>
    <r>
      <t>F</t>
    </r>
    <r>
      <rPr>
        <vertAlign val="subscript"/>
        <sz val="18"/>
        <color theme="1"/>
        <rFont val="Calibri"/>
        <family val="2"/>
        <scheme val="minor"/>
      </rPr>
      <t>TF</t>
    </r>
    <r>
      <rPr>
        <sz val="18"/>
        <color theme="1"/>
        <rFont val="Calibri"/>
        <family val="2"/>
        <scheme val="minor"/>
      </rPr>
      <t>=</t>
    </r>
  </si>
  <si>
    <t>FRENO DE TAMBOR</t>
  </si>
  <si>
    <t>Diámetro</t>
  </si>
  <si>
    <t>ØD</t>
  </si>
  <si>
    <t>coeficiente de fricción (𝜇𝐹)</t>
  </si>
  <si>
    <t>coeficiente de fricción (𝜇𝐹)=0,3</t>
  </si>
  <si>
    <t>FR=864991,685</t>
  </si>
  <si>
    <t xml:space="preserve">CA= </t>
  </si>
  <si>
    <t>(del diagrama para  (𝜇𝐹)=0,3 y freno simplex</t>
  </si>
  <si>
    <t>Fperiferica=</t>
  </si>
  <si>
    <t>FFR=</t>
  </si>
  <si>
    <t>Diámetro bomba</t>
  </si>
  <si>
    <t>Delantero</t>
  </si>
  <si>
    <t>Trasera</t>
  </si>
  <si>
    <t>MMA</t>
  </si>
  <si>
    <t>Diámetro rueda antes</t>
  </si>
  <si>
    <t>Diámetro rueda después</t>
  </si>
  <si>
    <t>Distancia entre ejes</t>
  </si>
  <si>
    <t>Distancia CDG a eje delantero (mm)</t>
  </si>
  <si>
    <t>Tara del vehículo tras la reforma</t>
  </si>
  <si>
    <t>Total</t>
  </si>
  <si>
    <t>Trasero</t>
  </si>
  <si>
    <t xml:space="preserve">Tara Vehículo </t>
  </si>
  <si>
    <t>Conductor</t>
  </si>
  <si>
    <t>Masa Real</t>
  </si>
  <si>
    <t>Ocup. Delant</t>
  </si>
  <si>
    <t>Ocup. 2ª fila</t>
  </si>
  <si>
    <t>Ocup. 3ª fila</t>
  </si>
  <si>
    <t>Carga útil</t>
  </si>
  <si>
    <t>Suma de cargas</t>
  </si>
  <si>
    <t>Ocupantes adic.</t>
  </si>
  <si>
    <t>Total Kg ocup. Adicion.</t>
  </si>
  <si>
    <t>TOTALES</t>
  </si>
  <si>
    <t>Carga vertical acopl</t>
  </si>
  <si>
    <t>Carga vert. Acopl.</t>
  </si>
  <si>
    <t>CAMPERS</t>
  </si>
  <si>
    <t>Elemento</t>
  </si>
  <si>
    <t>Peso (Kg)</t>
  </si>
  <si>
    <t>Nº Tornillos</t>
  </si>
  <si>
    <t>Área útil</t>
  </si>
  <si>
    <t>Área total</t>
  </si>
  <si>
    <t>mm en real</t>
  </si>
  <si>
    <t>mm dibujo</t>
  </si>
  <si>
    <t>dist. Entre ejes</t>
  </si>
  <si>
    <t>Carga vertical</t>
  </si>
  <si>
    <t>AUMENTO DE PESO</t>
  </si>
  <si>
    <t>Resto ocup. Del</t>
  </si>
  <si>
    <t>ocupantes 2ª fila</t>
  </si>
  <si>
    <t>ocupantes 3ªfila</t>
  </si>
  <si>
    <t>peso ocupante</t>
  </si>
  <si>
    <t>Cw=Coef. Aerodinámico</t>
  </si>
  <si>
    <r>
      <t>A =área de la pieza (m</t>
    </r>
    <r>
      <rPr>
        <vertAlign val="superscript"/>
        <sz val="11"/>
        <color theme="1"/>
        <rFont val="Calibri"/>
        <family val="2"/>
        <scheme val="minor"/>
      </rPr>
      <t>2</t>
    </r>
    <r>
      <rPr>
        <sz val="11"/>
        <color theme="1"/>
        <rFont val="Calibri"/>
        <family val="2"/>
        <scheme val="minor"/>
      </rPr>
      <t>)</t>
    </r>
  </si>
  <si>
    <r>
      <t>p (densidad del aire (Kg/m</t>
    </r>
    <r>
      <rPr>
        <vertAlign val="superscript"/>
        <sz val="11"/>
        <color theme="1"/>
        <rFont val="Calibri"/>
        <family val="2"/>
        <scheme val="minor"/>
      </rPr>
      <t>3</t>
    </r>
    <r>
      <rPr>
        <sz val="11"/>
        <color theme="1"/>
        <rFont val="Calibri"/>
        <family val="2"/>
        <scheme val="minor"/>
      </rPr>
      <t>)</t>
    </r>
  </si>
  <si>
    <r>
      <t>V</t>
    </r>
    <r>
      <rPr>
        <vertAlign val="superscript"/>
        <sz val="11"/>
        <color theme="1"/>
        <rFont val="Calibri"/>
        <family val="2"/>
        <scheme val="minor"/>
      </rPr>
      <t>2</t>
    </r>
    <r>
      <rPr>
        <sz val="11"/>
        <color theme="1"/>
        <rFont val="Calibri"/>
        <family val="2"/>
        <scheme val="minor"/>
      </rPr>
      <t xml:space="preserve"> = velocidad del aire 140Km/h (m/s) </t>
    </r>
  </si>
  <si>
    <t>R (radio de curva) m</t>
  </si>
  <si>
    <t>Peso</t>
  </si>
  <si>
    <t>Fuerza de frenado</t>
  </si>
  <si>
    <t>Resistencia aerodinámica</t>
  </si>
  <si>
    <t>Fuerza centrífuga</t>
  </si>
  <si>
    <t>Suma de fuerzas</t>
  </si>
  <si>
    <t>La fuerza de diseño soportada por los anclajes (N)</t>
  </si>
  <si>
    <t>FUERZAS QUE ACTUAN SOBRE LA PIEZA (N)</t>
  </si>
  <si>
    <t>Fuerza máxima que soportan los tronillos a tracción (N)</t>
  </si>
  <si>
    <t>Fuerza máxima que soportan los tronillos a cortante (N)</t>
  </si>
  <si>
    <t>comprobación &lt;= 1</t>
  </si>
  <si>
    <r>
      <t>Tensión min., rotura cortante acero ( Kg/cm</t>
    </r>
    <r>
      <rPr>
        <vertAlign val="superscript"/>
        <sz val="11"/>
        <color theme="1"/>
        <rFont val="Calibri"/>
        <family val="2"/>
        <scheme val="minor"/>
      </rPr>
      <t>2</t>
    </r>
    <r>
      <rPr>
        <sz val="11"/>
        <color theme="1"/>
        <rFont val="Calibri"/>
        <family val="2"/>
        <scheme val="minor"/>
      </rPr>
      <t>)</t>
    </r>
  </si>
  <si>
    <t>Tiro máx. del cabestrante (Kg)</t>
  </si>
  <si>
    <t>CABRESTANTE</t>
  </si>
  <si>
    <t>Diámetro de cada perno (cm)</t>
  </si>
  <si>
    <t>Características del material y elementos de unión empleados</t>
  </si>
  <si>
    <t>Tensión cortante soportada por los pernos de unión al chasis</t>
  </si>
  <si>
    <r>
      <t>Tensión cortante ejercida por el tiro del cabrestante sobre los pernos de unión a la estructura de soporte de éste (Kg/cm</t>
    </r>
    <r>
      <rPr>
        <vertAlign val="superscript"/>
        <sz val="11"/>
        <color theme="1"/>
        <rFont val="Calibri"/>
        <family val="2"/>
        <scheme val="minor"/>
      </rPr>
      <t>2</t>
    </r>
    <r>
      <rPr>
        <sz val="11"/>
        <color theme="1"/>
        <rFont val="Calibri"/>
        <family val="2"/>
        <scheme val="minor"/>
      </rPr>
      <t>)</t>
    </r>
  </si>
  <si>
    <t>Coeficiente de seguridad</t>
  </si>
  <si>
    <t>MTMA/MMA eje 1</t>
  </si>
  <si>
    <t>MTMA/MMA eje 2</t>
  </si>
  <si>
    <t>Características geométricas muelles delanteros</t>
  </si>
  <si>
    <t>Rigidez (K) N/mm</t>
  </si>
  <si>
    <t>Coeficiente de seguridad K&gt;1</t>
  </si>
  <si>
    <r>
      <t>Coeficiente de seguridad K</t>
    </r>
    <r>
      <rPr>
        <vertAlign val="subscript"/>
        <sz val="11"/>
        <color theme="1"/>
        <rFont val="Calibri"/>
        <family val="2"/>
        <scheme val="minor"/>
      </rPr>
      <t>t</t>
    </r>
    <r>
      <rPr>
        <sz val="11"/>
        <color theme="1"/>
        <rFont val="Calibri"/>
        <family val="2"/>
        <scheme val="minor"/>
      </rPr>
      <t>&gt;1</t>
    </r>
  </si>
  <si>
    <t>Coef. Seguridad K(Q) &gt; 1</t>
  </si>
  <si>
    <r>
      <t>Factor de BergsträsserK</t>
    </r>
    <r>
      <rPr>
        <vertAlign val="subscript"/>
        <sz val="11"/>
        <color theme="1"/>
        <rFont val="Calibri"/>
        <family val="2"/>
        <scheme val="minor"/>
      </rPr>
      <t>b</t>
    </r>
  </si>
  <si>
    <t>Fuerza máx eje delantero (N)</t>
  </si>
  <si>
    <t>Esf. Máx. Cortante 1 muelle (N)</t>
  </si>
  <si>
    <t>Esf. Máx. Cortante eje delantero (N)</t>
  </si>
  <si>
    <t>Long. Mín muelle (mm)</t>
  </si>
  <si>
    <t>Flecha del resorte (mm)</t>
  </si>
  <si>
    <t>Carga máx en función de la flecha muelle (Q) (N)</t>
  </si>
  <si>
    <r>
      <t>Carga máx en función de la flecha eje 1 (Q</t>
    </r>
    <r>
      <rPr>
        <vertAlign val="subscript"/>
        <sz val="11"/>
        <color theme="1"/>
        <rFont val="Calibri"/>
        <family val="2"/>
        <scheme val="minor"/>
      </rPr>
      <t>del</t>
    </r>
    <r>
      <rPr>
        <sz val="11"/>
        <color theme="1"/>
        <rFont val="Calibri"/>
        <family val="2"/>
        <scheme val="minor"/>
      </rPr>
      <t>) (Q)</t>
    </r>
  </si>
  <si>
    <t>Esfuerzo del muelle (T) mPA</t>
  </si>
  <si>
    <r>
      <t xml:space="preserve">Características del geométricas, medidas sobre el muelle </t>
    </r>
    <r>
      <rPr>
        <b/>
        <u/>
        <sz val="11"/>
        <color theme="1"/>
        <rFont val="Calibri"/>
        <family val="2"/>
        <scheme val="minor"/>
      </rPr>
      <t>(EJE TRASERO)</t>
    </r>
  </si>
  <si>
    <t>MOM ANTES DE LA REFORMA</t>
  </si>
  <si>
    <t>MMR</t>
  </si>
  <si>
    <r>
      <t>Superficie frontal m</t>
    </r>
    <r>
      <rPr>
        <vertAlign val="superscript"/>
        <sz val="11"/>
        <color theme="1"/>
        <rFont val="Times New Roman"/>
        <family val="1"/>
      </rPr>
      <t>2</t>
    </r>
  </si>
  <si>
    <r>
      <t>A =área de la pieza (m</t>
    </r>
    <r>
      <rPr>
        <vertAlign val="superscript"/>
        <sz val="11"/>
        <color theme="1"/>
        <rFont val="Times New Roman"/>
        <family val="1"/>
      </rPr>
      <t>2</t>
    </r>
    <r>
      <rPr>
        <sz val="11"/>
        <color theme="1"/>
        <rFont val="Times New Roman"/>
        <family val="1"/>
      </rPr>
      <t>)</t>
    </r>
  </si>
  <si>
    <r>
      <t>p (densidad del aire (Kg/m</t>
    </r>
    <r>
      <rPr>
        <vertAlign val="superscript"/>
        <sz val="11"/>
        <color theme="1"/>
        <rFont val="Times New Roman"/>
        <family val="1"/>
      </rPr>
      <t>3</t>
    </r>
    <r>
      <rPr>
        <sz val="11"/>
        <color theme="1"/>
        <rFont val="Times New Roman"/>
        <family val="1"/>
      </rPr>
      <t>)</t>
    </r>
  </si>
  <si>
    <r>
      <t>V</t>
    </r>
    <r>
      <rPr>
        <vertAlign val="superscript"/>
        <sz val="11"/>
        <color theme="1"/>
        <rFont val="Times New Roman"/>
        <family val="1"/>
      </rPr>
      <t>2</t>
    </r>
    <r>
      <rPr>
        <sz val="11"/>
        <color theme="1"/>
        <rFont val="Times New Roman"/>
        <family val="1"/>
      </rPr>
      <t xml:space="preserve"> = velocidad del aire 140Km/h (m/s) </t>
    </r>
  </si>
  <si>
    <r>
      <t>Kg/mm</t>
    </r>
    <r>
      <rPr>
        <vertAlign val="superscript"/>
        <sz val="11"/>
        <color theme="1"/>
        <rFont val="Times New Roman"/>
        <family val="1"/>
      </rPr>
      <t>2</t>
    </r>
  </si>
  <si>
    <r>
      <t>m</t>
    </r>
    <r>
      <rPr>
        <vertAlign val="superscript"/>
        <sz val="11"/>
        <color theme="1"/>
        <rFont val="Times New Roman"/>
        <family val="1"/>
      </rPr>
      <t>2</t>
    </r>
  </si>
  <si>
    <r>
      <t>Kg/m</t>
    </r>
    <r>
      <rPr>
        <vertAlign val="superscript"/>
        <sz val="11"/>
        <color theme="1"/>
        <rFont val="Times New Roman"/>
        <family val="1"/>
      </rPr>
      <t>3</t>
    </r>
  </si>
  <si>
    <r>
      <t>V</t>
    </r>
    <r>
      <rPr>
        <vertAlign val="superscript"/>
        <sz val="11"/>
        <color theme="1"/>
        <rFont val="Times New Roman"/>
        <family val="1"/>
      </rPr>
      <t>2</t>
    </r>
    <r>
      <rPr>
        <sz val="11"/>
        <color theme="1"/>
        <rFont val="Times New Roman"/>
        <family val="1"/>
      </rPr>
      <t xml:space="preserve"> (velocidad del aire 140Km/h) </t>
    </r>
  </si>
  <si>
    <t>LUCES INCRUSTADAS</t>
  </si>
  <si>
    <t>MMA A CONSIDERAR EN CÁLCULOS</t>
  </si>
  <si>
    <t>Características muelle (Acero EN 12070-2 SiCr)</t>
  </si>
  <si>
    <t>Características geométricas muelles traseros</t>
  </si>
  <si>
    <t>EUROS</t>
  </si>
  <si>
    <t>Materiales usados en la reforma</t>
  </si>
  <si>
    <t>Mano de obra</t>
  </si>
  <si>
    <t>Total presupuesto</t>
  </si>
  <si>
    <t>Presupuesto</t>
  </si>
  <si>
    <t>M.T.M.A. (Kg)</t>
  </si>
  <si>
    <t>Velocidad máxima (Km/h)</t>
  </si>
  <si>
    <t>Tr = µ * Mt (Kg)</t>
  </si>
  <si>
    <r>
      <t>Aceleración de la gravedad (m/s</t>
    </r>
    <r>
      <rPr>
        <b/>
        <vertAlign val="superscript"/>
        <sz val="11"/>
        <color theme="1"/>
        <rFont val="Times New Roman"/>
        <family val="1"/>
      </rPr>
      <t>2</t>
    </r>
    <r>
      <rPr>
        <b/>
        <sz val="11"/>
        <color theme="1"/>
        <rFont val="Times New Roman"/>
        <family val="1"/>
      </rPr>
      <t>)</t>
    </r>
  </si>
  <si>
    <t>ESFUERZOS LONGITUDINALES</t>
  </si>
  <si>
    <t>NÚMERO DE TORNILLOS UTILIZADOS Y MÉTRICA</t>
  </si>
  <si>
    <t>Resistencia a cortadura (Kg)</t>
  </si>
  <si>
    <r>
      <t>Tensión de rotura σr≥  (Kg/mm</t>
    </r>
    <r>
      <rPr>
        <vertAlign val="superscript"/>
        <sz val="11"/>
        <color rgb="FF000000"/>
        <rFont val="Calibri"/>
        <family val="2"/>
      </rPr>
      <t>2</t>
    </r>
    <r>
      <rPr>
        <sz val="11"/>
        <color rgb="FF000000"/>
        <rFont val="Calibri"/>
        <family val="2"/>
      </rPr>
      <t>)</t>
    </r>
  </si>
  <si>
    <r>
      <t>Tensión límite de elasticidad σe≥  (Kg/mm</t>
    </r>
    <r>
      <rPr>
        <vertAlign val="superscript"/>
        <sz val="11"/>
        <color rgb="FF000000"/>
        <rFont val="Calibri"/>
        <family val="2"/>
      </rPr>
      <t>2</t>
    </r>
    <r>
      <rPr>
        <sz val="11"/>
        <color rgb="FF000000"/>
        <rFont val="Calibri"/>
        <family val="2"/>
      </rPr>
      <t>)</t>
    </r>
  </si>
  <si>
    <t>Diámetro del tornillo(mm)</t>
  </si>
  <si>
    <r>
      <t>Área resistente Ar (mm</t>
    </r>
    <r>
      <rPr>
        <vertAlign val="superscript"/>
        <sz val="11"/>
        <color rgb="FF000000"/>
        <rFont val="Calibri"/>
        <family val="2"/>
      </rPr>
      <t>2</t>
    </r>
    <r>
      <rPr>
        <sz val="11"/>
        <color rgb="FF000000"/>
        <rFont val="Calibri"/>
        <family val="2"/>
      </rPr>
      <t>)</t>
    </r>
  </si>
  <si>
    <t>Fuerza de Inercia          I (Kg)</t>
  </si>
  <si>
    <t>Resistencia a cortante máx      Rm (Kg)</t>
  </si>
  <si>
    <t>Coef. Seguridad   λ &gt; 1,25</t>
  </si>
  <si>
    <r>
      <t>Deesaceleración ar = µ * g (m/s</t>
    </r>
    <r>
      <rPr>
        <b/>
        <vertAlign val="superscript"/>
        <sz val="11"/>
        <color theme="1"/>
        <rFont val="Times New Roman"/>
        <family val="1"/>
      </rPr>
      <t>2</t>
    </r>
    <r>
      <rPr>
        <b/>
        <sz val="11"/>
        <color theme="1"/>
        <rFont val="Times New Roman"/>
        <family val="1"/>
      </rPr>
      <t>)</t>
    </r>
  </si>
  <si>
    <t>γMb= Coeficiente de seguridad</t>
  </si>
  <si>
    <t xml:space="preserve"> ESFUERZOS LONGITUDINALES      ELEMENTOS INSTALADOS</t>
  </si>
  <si>
    <t>DATOS DE PARTIDA</t>
  </si>
  <si>
    <t>CARACTERISTICAS DE LOS TORNILLOS</t>
  </si>
  <si>
    <t>projectesxalo</t>
  </si>
  <si>
    <t>Mueble alto 1250x405x325mm</t>
  </si>
  <si>
    <t>Mueble alto 1120x390x320mm</t>
  </si>
  <si>
    <t>Mueble bajo 1350x1800x900mm</t>
  </si>
  <si>
    <t>Mueble bajo 600x1420x900mm</t>
  </si>
  <si>
    <t>Mueble bajo 1200x610x580mm</t>
  </si>
  <si>
    <t>Armario 1180x320x625mm</t>
  </si>
  <si>
    <t>Mueble bajo 1080x610x580mm</t>
  </si>
  <si>
    <t>Aseo 1030x2100x590mm</t>
  </si>
  <si>
    <t>ALETINES</t>
  </si>
  <si>
    <t>SNORKEL</t>
  </si>
  <si>
    <t>SOPORTES LUCES DE TRABAJO</t>
  </si>
  <si>
    <t>PARAGOLPES DELANTERO</t>
  </si>
  <si>
    <t>PARAGOLPES TRASERO</t>
  </si>
  <si>
    <t>ESTRIBOS LATERALES</t>
  </si>
  <si>
    <t>Res. Tracción Mín tornillo 8,8 (Kg/mm2)</t>
  </si>
  <si>
    <t>CÁLCULO DE LA BALLESTA EN EL EJE 1:</t>
  </si>
  <si>
    <t>CÁLCULO DE LA BALLESTA EN EL EJE 2:</t>
  </si>
  <si>
    <t>CÁLCULO JUSTIFICATIVOS SUSTITUCIÓN BALLESTAS</t>
  </si>
  <si>
    <t>TACOS DE NYLON</t>
  </si>
  <si>
    <t>MMA/MMTA</t>
  </si>
  <si>
    <t>Nº puntos de apoyo</t>
  </si>
  <si>
    <t>PUNTOS DE APOYO</t>
  </si>
  <si>
    <t>Peso a soportar por taco (Kg)=</t>
  </si>
  <si>
    <t>Resistencia a compresión del nylon (Kg/cm2)</t>
  </si>
  <si>
    <t>DIMENSIONES DEL TACO</t>
  </si>
  <si>
    <t>Diámetro (cm)</t>
  </si>
  <si>
    <t>Espesor (cm)</t>
  </si>
  <si>
    <t>Res. Maxima a compresión (Kg)</t>
  </si>
  <si>
    <r>
      <t>Superficie (cm</t>
    </r>
    <r>
      <rPr>
        <vertAlign val="superscript"/>
        <sz val="11"/>
        <color theme="1"/>
        <rFont val="Calibri"/>
        <family val="2"/>
        <scheme val="minor"/>
      </rPr>
      <t>2</t>
    </r>
    <r>
      <rPr>
        <sz val="11"/>
        <color theme="1"/>
        <rFont val="Calibri"/>
        <family val="2"/>
        <scheme val="minor"/>
      </rPr>
      <t>)</t>
    </r>
  </si>
  <si>
    <t>Radio (cm)</t>
  </si>
  <si>
    <t>CARACTERÍSTICAS DEL VEHÍCULO Y TACOS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</si>
</sst>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4" x14ac:knownFonts="1">
    <font>
      <sz val="11"/>
      <color theme="1"/>
      <name val="Calibri"/>
      <family val="2"/>
      <scheme val="minor"/>
    </font>
    <font>
      <sz val="14"/>
      <color theme="1"/>
      <name val="Calibri"/>
      <family val="2"/>
      <scheme val="minor"/>
    </font>
    <font>
      <sz val="18"/>
      <color theme="1"/>
      <name val="Calibri"/>
      <family val="2"/>
      <scheme val="minor"/>
    </font>
    <font>
      <vertAlign val="superscript"/>
      <sz val="11"/>
      <color theme="1"/>
      <name val="Calibri"/>
      <family val="2"/>
      <scheme val="minor"/>
    </font>
    <font>
      <vertAlign val="subscript"/>
      <sz val="11"/>
      <color theme="1"/>
      <name val="Calibri"/>
      <family val="2"/>
      <scheme val="minor"/>
    </font>
    <font>
      <b/>
      <u/>
      <sz val="11"/>
      <color theme="1"/>
      <name val="Calibri"/>
      <family val="2"/>
      <scheme val="minor"/>
    </font>
    <font>
      <vertAlign val="superscript"/>
      <sz val="14"/>
      <color theme="1"/>
      <name val="Calibri"/>
      <family val="2"/>
      <scheme val="minor"/>
    </font>
    <font>
      <sz val="11"/>
      <color theme="1"/>
      <name val="Calibri"/>
      <family val="2"/>
    </font>
    <font>
      <vertAlign val="superscript"/>
      <sz val="11"/>
      <color theme="1"/>
      <name val="Calibri"/>
      <family val="2"/>
    </font>
    <font>
      <sz val="20"/>
      <color theme="1"/>
      <name val="Calibri"/>
      <family val="2"/>
      <scheme val="minor"/>
    </font>
    <font>
      <sz val="22"/>
      <color theme="1"/>
      <name val="Calibri"/>
      <family val="2"/>
      <scheme val="minor"/>
    </font>
    <font>
      <sz val="24"/>
      <color theme="1"/>
      <name val="Calibri"/>
      <family val="2"/>
      <scheme val="minor"/>
    </font>
    <font>
      <sz val="16"/>
      <color theme="1"/>
      <name val="Calibri"/>
      <family val="2"/>
      <scheme val="minor"/>
    </font>
    <font>
      <sz val="11"/>
      <color rgb="FF000000"/>
      <name val="Calibri"/>
      <family val="2"/>
      <scheme val="minor"/>
    </font>
    <font>
      <sz val="9"/>
      <color indexed="81"/>
      <name val="Tahoma"/>
      <family val="2"/>
    </font>
    <font>
      <b/>
      <sz val="9"/>
      <color indexed="81"/>
      <name val="Tahoma"/>
      <family val="2"/>
    </font>
    <font>
      <b/>
      <sz val="11"/>
      <color theme="1"/>
      <name val="Calibri"/>
      <family val="2"/>
      <scheme val="minor"/>
    </font>
    <font>
      <sz val="11"/>
      <color theme="1"/>
      <name val="Arial"/>
      <family val="2"/>
    </font>
    <font>
      <b/>
      <sz val="10"/>
      <color indexed="53"/>
      <name val="Arial"/>
      <family val="2"/>
    </font>
    <font>
      <sz val="14"/>
      <name val="Arial"/>
      <family val="2"/>
    </font>
    <font>
      <b/>
      <sz val="10"/>
      <color indexed="12"/>
      <name val="Arial"/>
      <family val="2"/>
    </font>
    <font>
      <b/>
      <sz val="10"/>
      <name val="Arial"/>
      <family val="2"/>
    </font>
    <font>
      <b/>
      <sz val="10"/>
      <color indexed="17"/>
      <name val="Arial"/>
      <family val="2"/>
    </font>
    <font>
      <sz val="12"/>
      <name val="Arial"/>
      <family val="2"/>
    </font>
    <font>
      <sz val="11"/>
      <name val="Arial"/>
      <family val="2"/>
    </font>
    <font>
      <sz val="8"/>
      <color indexed="81"/>
      <name val="Tahoma"/>
      <family val="2"/>
    </font>
    <font>
      <sz val="20"/>
      <name val="Arial"/>
      <family val="2"/>
    </font>
    <font>
      <sz val="12.65"/>
      <color theme="1"/>
      <name val="Calibri"/>
      <family val="2"/>
    </font>
    <font>
      <sz val="11"/>
      <color rgb="FF000000"/>
      <name val="Calibri"/>
      <family val="2"/>
    </font>
    <font>
      <sz val="11"/>
      <color rgb="FF000000"/>
      <name val="Times New Roman"/>
      <family val="1"/>
    </font>
    <font>
      <b/>
      <sz val="11"/>
      <color rgb="FF000000"/>
      <name val="Times New Roman"/>
      <family val="1"/>
    </font>
    <font>
      <sz val="11"/>
      <color theme="0"/>
      <name val="Calibri"/>
      <family val="2"/>
      <scheme val="minor"/>
    </font>
    <font>
      <vertAlign val="subscript"/>
      <sz val="18"/>
      <color theme="1"/>
      <name val="Calibri"/>
      <family val="2"/>
      <scheme val="minor"/>
    </font>
    <font>
      <vertAlign val="superscript"/>
      <sz val="18"/>
      <color theme="1"/>
      <name val="Calibri"/>
      <family val="2"/>
      <scheme val="minor"/>
    </font>
    <font>
      <sz val="10"/>
      <color theme="1"/>
      <name val="Times New Roman"/>
      <family val="1"/>
    </font>
    <font>
      <sz val="11"/>
      <color theme="1"/>
      <name val="Times New Roman"/>
      <family val="1"/>
    </font>
    <font>
      <sz val="28"/>
      <color theme="1"/>
      <name val="Times New Roman"/>
      <family val="1"/>
    </font>
    <font>
      <sz val="11"/>
      <name val="Times New Roman"/>
      <family val="1"/>
    </font>
    <font>
      <b/>
      <sz val="11"/>
      <color theme="1"/>
      <name val="Times New Roman"/>
      <family val="1"/>
    </font>
    <font>
      <sz val="24"/>
      <color theme="1"/>
      <name val="Times New Roman"/>
      <family val="1"/>
    </font>
    <font>
      <vertAlign val="superscript"/>
      <sz val="11"/>
      <color theme="1"/>
      <name val="Times New Roman"/>
      <family val="1"/>
    </font>
    <font>
      <b/>
      <vertAlign val="superscript"/>
      <sz val="11"/>
      <color theme="1"/>
      <name val="Times New Roman"/>
      <family val="1"/>
    </font>
    <font>
      <vertAlign val="superscript"/>
      <sz val="11"/>
      <color rgb="FF000000"/>
      <name val="Calibri"/>
      <family val="2"/>
    </font>
    <font>
      <sz val="13"/>
      <color theme="1"/>
      <name val="Calibri"/>
      <family val="2"/>
      <scheme val="minor"/>
    </font>
  </fonts>
  <fills count="10">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indexed="10"/>
        <bgColor indexed="64"/>
      </patternFill>
    </fill>
    <fill>
      <patternFill patternType="solid">
        <fgColor indexed="50"/>
        <bgColor indexed="64"/>
      </patternFill>
    </fill>
    <fill>
      <patternFill patternType="solid">
        <fgColor theme="1"/>
        <bgColor indexed="64"/>
      </patternFill>
    </fill>
    <fill>
      <patternFill patternType="solid">
        <fgColor rgb="FFFFC0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medium">
        <color rgb="FF000000"/>
      </left>
      <right/>
      <top/>
      <bottom style="medium">
        <color rgb="FF000000"/>
      </bottom>
      <diagonal/>
    </border>
  </borders>
  <cellStyleXfs count="1">
    <xf numFmtId="0" fontId="0" fillId="0" borderId="0"/>
  </cellStyleXfs>
  <cellXfs count="278">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0" fillId="0" borderId="1" xfId="0" applyBorder="1" applyAlignment="1">
      <alignment horizontal="center"/>
    </xf>
    <xf numFmtId="9" fontId="0" fillId="0" borderId="1" xfId="0" applyNumberFormat="1" applyBorder="1" applyAlignment="1">
      <alignment horizontal="center"/>
    </xf>
    <xf numFmtId="0" fontId="0" fillId="0" borderId="0" xfId="0" applyAlignment="1">
      <alignment wrapText="1"/>
    </xf>
    <xf numFmtId="0" fontId="0" fillId="0" borderId="1" xfId="0" applyBorder="1" applyAlignment="1">
      <alignment horizontal="center" vertical="center"/>
    </xf>
    <xf numFmtId="0" fontId="0" fillId="2" borderId="0" xfId="0" applyFill="1"/>
    <xf numFmtId="2" fontId="0" fillId="2" borderId="1" xfId="0" applyNumberFormat="1" applyFill="1" applyBorder="1" applyAlignment="1">
      <alignment horizontal="center"/>
    </xf>
    <xf numFmtId="0" fontId="0" fillId="0" borderId="0" xfId="0" applyAlignment="1">
      <alignment horizontal="left"/>
    </xf>
    <xf numFmtId="2" fontId="0" fillId="0" borderId="0" xfId="0" applyNumberFormat="1" applyAlignment="1">
      <alignment horizontal="center"/>
    </xf>
    <xf numFmtId="49" fontId="0" fillId="0" borderId="0" xfId="0" applyNumberFormat="1"/>
    <xf numFmtId="0" fontId="0" fillId="2" borderId="0" xfId="0" applyFill="1" applyAlignment="1">
      <alignment horizontal="right"/>
    </xf>
    <xf numFmtId="0" fontId="0" fillId="0" borderId="0" xfId="0" applyAlignment="1">
      <alignment horizontal="center"/>
    </xf>
    <xf numFmtId="0" fontId="7" fillId="0" borderId="0" xfId="0" applyFont="1" applyAlignment="1">
      <alignment horizontal="center"/>
    </xf>
    <xf numFmtId="0" fontId="0" fillId="0" borderId="0" xfId="0" applyAlignment="1">
      <alignment horizontal="right"/>
    </xf>
    <xf numFmtId="2" fontId="0" fillId="2" borderId="0" xfId="0" applyNumberFormat="1" applyFill="1"/>
    <xf numFmtId="0" fontId="0" fillId="0" borderId="3" xfId="0" applyBorder="1" applyAlignment="1">
      <alignment horizontal="right"/>
    </xf>
    <xf numFmtId="0" fontId="0" fillId="0" borderId="5" xfId="0" applyBorder="1"/>
    <xf numFmtId="2" fontId="0" fillId="0" borderId="6" xfId="0" applyNumberFormat="1" applyBorder="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0" fontId="0" fillId="0" borderId="1" xfId="0" applyBorder="1"/>
    <xf numFmtId="0" fontId="0" fillId="0" borderId="0" xfId="0" applyAlignment="1">
      <alignment horizontal="left" vertical="center" wrapText="1" indent="1"/>
    </xf>
    <xf numFmtId="0" fontId="0" fillId="0" borderId="0" xfId="0" applyAlignment="1">
      <alignment horizontal="left" wrapText="1"/>
    </xf>
    <xf numFmtId="0" fontId="9" fillId="0" borderId="0" xfId="0" applyFont="1"/>
    <xf numFmtId="0" fontId="0" fillId="0" borderId="22" xfId="0" applyBorder="1" applyAlignment="1">
      <alignment horizontal="center"/>
    </xf>
    <xf numFmtId="0" fontId="0" fillId="0" borderId="21" xfId="0" applyBorder="1" applyAlignment="1">
      <alignment horizontal="right"/>
    </xf>
    <xf numFmtId="0" fontId="0" fillId="0" borderId="23" xfId="0" applyBorder="1"/>
    <xf numFmtId="0" fontId="16" fillId="0" borderId="0" xfId="0" applyFont="1"/>
    <xf numFmtId="0" fontId="16" fillId="0" borderId="21" xfId="0" applyFont="1" applyBorder="1"/>
    <xf numFmtId="0" fontId="16" fillId="0" borderId="23" xfId="0" applyFont="1" applyBorder="1"/>
    <xf numFmtId="2" fontId="0" fillId="0" borderId="22" xfId="0" applyNumberFormat="1" applyBorder="1" applyAlignment="1">
      <alignment horizontal="center"/>
    </xf>
    <xf numFmtId="164" fontId="16" fillId="0" borderId="22" xfId="0" applyNumberFormat="1" applyFont="1" applyBorder="1" applyAlignment="1">
      <alignment horizontal="center"/>
    </xf>
    <xf numFmtId="0" fontId="0" fillId="0" borderId="0" xfId="0" applyAlignment="1">
      <alignment vertical="center"/>
    </xf>
    <xf numFmtId="0" fontId="7" fillId="0" borderId="0" xfId="0" applyFont="1"/>
    <xf numFmtId="0" fontId="0" fillId="4" borderId="0" xfId="0" applyFill="1" applyAlignment="1">
      <alignment horizontal="right"/>
    </xf>
    <xf numFmtId="2" fontId="0" fillId="4" borderId="0" xfId="0" applyNumberFormat="1" applyFill="1" applyAlignment="1">
      <alignment horizontal="center"/>
    </xf>
    <xf numFmtId="0" fontId="0" fillId="4" borderId="0" xfId="0" applyFill="1"/>
    <xf numFmtId="0" fontId="0" fillId="5" borderId="21" xfId="0" applyFill="1" applyBorder="1" applyAlignment="1">
      <alignment horizontal="right"/>
    </xf>
    <xf numFmtId="0" fontId="0" fillId="5" borderId="22" xfId="0" applyFill="1" applyBorder="1"/>
    <xf numFmtId="0" fontId="0" fillId="5" borderId="23" xfId="0" applyFill="1" applyBorder="1"/>
    <xf numFmtId="2" fontId="0" fillId="5" borderId="23" xfId="0" applyNumberFormat="1" applyFill="1" applyBorder="1" applyAlignment="1">
      <alignment horizontal="center"/>
    </xf>
    <xf numFmtId="2" fontId="0" fillId="5" borderId="22" xfId="0" applyNumberFormat="1" applyFill="1" applyBorder="1" applyAlignment="1">
      <alignment horizontal="center"/>
    </xf>
    <xf numFmtId="0" fontId="0" fillId="5" borderId="21" xfId="0" applyFill="1" applyBorder="1" applyAlignment="1">
      <alignment horizontal="right" vertical="center"/>
    </xf>
    <xf numFmtId="2" fontId="0" fillId="0" borderId="0" xfId="0" applyNumberFormat="1"/>
    <xf numFmtId="0" fontId="0" fillId="2" borderId="1" xfId="0" applyFill="1" applyBorder="1" applyAlignment="1">
      <alignment horizontal="center"/>
    </xf>
    <xf numFmtId="0" fontId="17" fillId="0" borderId="0" xfId="0" applyFont="1" applyAlignment="1">
      <alignment horizontal="center" vertical="center" wrapText="1"/>
    </xf>
    <xf numFmtId="165" fontId="0" fillId="0" borderId="0" xfId="0" applyNumberFormat="1"/>
    <xf numFmtId="0" fontId="17" fillId="0" borderId="0" xfId="0" applyFont="1" applyAlignment="1">
      <alignment horizontal="center" vertical="top" wrapText="1"/>
    </xf>
    <xf numFmtId="0" fontId="17" fillId="0" borderId="25" xfId="0" applyFont="1" applyBorder="1" applyAlignment="1">
      <alignment horizontal="center" vertical="center" wrapText="1"/>
    </xf>
    <xf numFmtId="0" fontId="17" fillId="0" borderId="26" xfId="0" applyFont="1" applyBorder="1" applyAlignment="1">
      <alignment horizontal="center" vertical="center" wrapText="1"/>
    </xf>
    <xf numFmtId="0" fontId="0" fillId="0" borderId="1" xfId="0" applyBorder="1" applyAlignment="1">
      <alignment vertical="center" wrapText="1"/>
    </xf>
    <xf numFmtId="0" fontId="17" fillId="2" borderId="1" xfId="0" applyFont="1" applyFill="1" applyBorder="1" applyAlignment="1">
      <alignment horizontal="center" vertical="center" wrapText="1"/>
    </xf>
    <xf numFmtId="2" fontId="0" fillId="3" borderId="0" xfId="0" applyNumberFormat="1" applyFill="1" applyAlignment="1">
      <alignment horizontal="center"/>
    </xf>
    <xf numFmtId="164" fontId="0" fillId="0" borderId="0" xfId="0" applyNumberFormat="1" applyAlignment="1">
      <alignment horizontal="center"/>
    </xf>
    <xf numFmtId="0" fontId="18" fillId="0" borderId="0" xfId="0" applyFont="1"/>
    <xf numFmtId="2" fontId="19" fillId="0" borderId="0" xfId="0" applyNumberFormat="1" applyFont="1"/>
    <xf numFmtId="0" fontId="20" fillId="0" borderId="0" xfId="0" applyFont="1"/>
    <xf numFmtId="0" fontId="21" fillId="0" borderId="0" xfId="0" applyFont="1"/>
    <xf numFmtId="2" fontId="19" fillId="6" borderId="0" xfId="0" applyNumberFormat="1" applyFont="1" applyFill="1"/>
    <xf numFmtId="0" fontId="22" fillId="0" borderId="0" xfId="0" applyFont="1" applyAlignment="1">
      <alignment horizontal="right"/>
    </xf>
    <xf numFmtId="0" fontId="19" fillId="7" borderId="27" xfId="0" applyFont="1" applyFill="1" applyBorder="1"/>
    <xf numFmtId="0" fontId="23" fillId="0" borderId="0" xfId="0" applyFont="1"/>
    <xf numFmtId="0" fontId="0" fillId="7" borderId="0" xfId="0" applyFill="1"/>
    <xf numFmtId="0" fontId="19" fillId="6" borderId="0" xfId="0" applyFont="1" applyFill="1"/>
    <xf numFmtId="0" fontId="22" fillId="0" borderId="0" xfId="0" applyFont="1"/>
    <xf numFmtId="0" fontId="24" fillId="0" borderId="0" xfId="0" applyFont="1"/>
    <xf numFmtId="2" fontId="19" fillId="7" borderId="27" xfId="0" applyNumberFormat="1" applyFont="1" applyFill="1" applyBorder="1"/>
    <xf numFmtId="2" fontId="26" fillId="0" borderId="0" xfId="0" applyNumberFormat="1" applyFont="1"/>
    <xf numFmtId="0" fontId="2" fillId="3" borderId="0" xfId="0" applyFont="1" applyFill="1" applyAlignment="1">
      <alignment horizontal="center" vertical="center"/>
    </xf>
    <xf numFmtId="2" fontId="2" fillId="3" borderId="0" xfId="0" applyNumberFormat="1" applyFont="1" applyFill="1" applyAlignment="1">
      <alignment horizontal="center" vertical="center"/>
    </xf>
    <xf numFmtId="0" fontId="0" fillId="3" borderId="0" xfId="0" applyFill="1"/>
    <xf numFmtId="49" fontId="0" fillId="0" borderId="0" xfId="0" applyNumberFormat="1" applyAlignment="1">
      <alignment horizontal="right"/>
    </xf>
    <xf numFmtId="0" fontId="0" fillId="0" borderId="23" xfId="0" applyBorder="1" applyAlignment="1">
      <alignment horizontal="left"/>
    </xf>
    <xf numFmtId="0" fontId="28" fillId="0" borderId="1" xfId="0" applyFont="1" applyBorder="1" applyAlignment="1">
      <alignment horizontal="center" vertical="center" wrapText="1"/>
    </xf>
    <xf numFmtId="0" fontId="28" fillId="0" borderId="0" xfId="0" applyFont="1" applyAlignment="1">
      <alignment horizontal="justify" vertical="center"/>
    </xf>
    <xf numFmtId="2" fontId="0" fillId="0" borderId="1" xfId="0" applyNumberFormat="1" applyBorder="1" applyAlignment="1">
      <alignment horizontal="center"/>
    </xf>
    <xf numFmtId="0" fontId="31" fillId="8" borderId="0" xfId="0" applyFont="1" applyFill="1"/>
    <xf numFmtId="0" fontId="31" fillId="8" borderId="1" xfId="0" applyFont="1" applyFill="1" applyBorder="1" applyAlignment="1">
      <alignment horizontal="center"/>
    </xf>
    <xf numFmtId="2" fontId="0" fillId="0" borderId="1" xfId="0" applyNumberFormat="1" applyBorder="1"/>
    <xf numFmtId="0" fontId="31" fillId="8" borderId="1" xfId="0" applyFont="1" applyFill="1" applyBorder="1"/>
    <xf numFmtId="0" fontId="2" fillId="0" borderId="0" xfId="0" applyFont="1" applyAlignment="1">
      <alignment horizontal="right"/>
    </xf>
    <xf numFmtId="0" fontId="2" fillId="0" borderId="0" xfId="0" applyFont="1"/>
    <xf numFmtId="1" fontId="2" fillId="0" borderId="0" xfId="0" applyNumberFormat="1" applyFont="1"/>
    <xf numFmtId="2" fontId="2" fillId="0" borderId="0" xfId="0" applyNumberFormat="1" applyFont="1"/>
    <xf numFmtId="0" fontId="0" fillId="0" borderId="1" xfId="0" applyBorder="1" applyAlignment="1">
      <alignment wrapText="1"/>
    </xf>
    <xf numFmtId="0" fontId="34" fillId="0" borderId="0" xfId="0" applyFont="1"/>
    <xf numFmtId="0" fontId="0" fillId="0" borderId="1" xfId="0" applyBorder="1" applyAlignment="1">
      <alignment horizontal="center" wrapText="1"/>
    </xf>
    <xf numFmtId="0" fontId="0" fillId="0" borderId="1" xfId="0"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164" fontId="0" fillId="0" borderId="1" xfId="0" applyNumberFormat="1" applyBorder="1" applyAlignment="1">
      <alignment horizontal="center"/>
    </xf>
    <xf numFmtId="3" fontId="0" fillId="0" borderId="1" xfId="0" applyNumberFormat="1" applyBorder="1" applyAlignment="1">
      <alignment horizontal="center"/>
    </xf>
    <xf numFmtId="2" fontId="0" fillId="0" borderId="0" xfId="0" applyNumberFormat="1" applyAlignment="1">
      <alignment horizontal="center" vertical="center"/>
    </xf>
    <xf numFmtId="2" fontId="0" fillId="0" borderId="1" xfId="0" applyNumberFormat="1" applyBorder="1" applyAlignment="1">
      <alignment horizontal="center" vertical="center"/>
    </xf>
    <xf numFmtId="0" fontId="35" fillId="0" borderId="0" xfId="0" applyFont="1"/>
    <xf numFmtId="0" fontId="35" fillId="0" borderId="0" xfId="0" applyFont="1" applyAlignment="1">
      <alignment vertical="center" wrapText="1"/>
    </xf>
    <xf numFmtId="0" fontId="35" fillId="0" borderId="0" xfId="0" applyFont="1" applyAlignment="1">
      <alignment vertical="center"/>
    </xf>
    <xf numFmtId="0" fontId="35" fillId="9" borderId="1" xfId="0" applyFont="1" applyFill="1" applyBorder="1" applyAlignment="1">
      <alignment horizontal="center" wrapText="1"/>
    </xf>
    <xf numFmtId="0" fontId="35" fillId="0" borderId="1" xfId="0" applyFont="1" applyBorder="1" applyAlignment="1">
      <alignment horizontal="center"/>
    </xf>
    <xf numFmtId="0" fontId="35" fillId="4" borderId="1" xfId="0" applyFont="1" applyFill="1" applyBorder="1" applyAlignment="1">
      <alignment horizontal="center"/>
    </xf>
    <xf numFmtId="0" fontId="30" fillId="2" borderId="27" xfId="0" applyFont="1" applyFill="1" applyBorder="1" applyAlignment="1">
      <alignment horizontal="center" vertical="center"/>
    </xf>
    <xf numFmtId="0" fontId="30" fillId="2" borderId="23" xfId="0" applyFont="1" applyFill="1" applyBorder="1" applyAlignment="1">
      <alignment horizontal="center" vertical="center"/>
    </xf>
    <xf numFmtId="0" fontId="37" fillId="2" borderId="27" xfId="0" applyFont="1" applyFill="1" applyBorder="1" applyAlignment="1">
      <alignment horizontal="center" vertical="center"/>
    </xf>
    <xf numFmtId="0" fontId="29" fillId="0" borderId="18" xfId="0" applyFont="1" applyBorder="1" applyAlignment="1">
      <alignment horizontal="center" vertical="center"/>
    </xf>
    <xf numFmtId="0" fontId="35" fillId="2" borderId="1" xfId="0" applyFont="1" applyFill="1" applyBorder="1" applyAlignment="1">
      <alignment horizontal="center"/>
    </xf>
    <xf numFmtId="0" fontId="35" fillId="0" borderId="0" xfId="0" applyFont="1" applyAlignment="1">
      <alignment horizontal="center"/>
    </xf>
    <xf numFmtId="0" fontId="35" fillId="2" borderId="0" xfId="0" applyFont="1" applyFill="1" applyAlignment="1">
      <alignment horizontal="center"/>
    </xf>
    <xf numFmtId="0" fontId="35" fillId="2" borderId="0" xfId="0" applyFont="1" applyFill="1"/>
    <xf numFmtId="1" fontId="35" fillId="0" borderId="0" xfId="0" applyNumberFormat="1" applyFont="1" applyAlignment="1">
      <alignment horizontal="center"/>
    </xf>
    <xf numFmtId="0" fontId="35" fillId="0" borderId="1" xfId="0" applyFont="1" applyBorder="1" applyAlignment="1">
      <alignment horizontal="center" vertical="center" wrapText="1"/>
    </xf>
    <xf numFmtId="0" fontId="35" fillId="0" borderId="1" xfId="0" applyFont="1" applyBorder="1" applyAlignment="1">
      <alignment horizontal="center" vertical="center"/>
    </xf>
    <xf numFmtId="1" fontId="35" fillId="0" borderId="1" xfId="0" applyNumberFormat="1" applyFont="1" applyBorder="1" applyAlignment="1">
      <alignment horizontal="center" vertical="center"/>
    </xf>
    <xf numFmtId="1" fontId="35" fillId="0" borderId="1" xfId="0" applyNumberFormat="1" applyFont="1" applyBorder="1" applyAlignment="1">
      <alignment horizontal="center"/>
    </xf>
    <xf numFmtId="0" fontId="35" fillId="0" borderId="1" xfId="0" applyFont="1" applyBorder="1"/>
    <xf numFmtId="0" fontId="35" fillId="2" borderId="1" xfId="0" applyFont="1" applyFill="1" applyBorder="1"/>
    <xf numFmtId="1" fontId="35" fillId="2" borderId="1" xfId="0" applyNumberFormat="1" applyFont="1" applyFill="1" applyBorder="1" applyAlignment="1">
      <alignment horizontal="center"/>
    </xf>
    <xf numFmtId="0" fontId="38" fillId="0" borderId="1" xfId="0" applyFont="1" applyBorder="1" applyAlignment="1">
      <alignment horizontal="center"/>
    </xf>
    <xf numFmtId="0" fontId="38" fillId="0" borderId="1" xfId="0" applyFont="1" applyBorder="1"/>
    <xf numFmtId="2" fontId="35" fillId="0" borderId="1" xfId="0" applyNumberFormat="1" applyFont="1" applyBorder="1" applyAlignment="1">
      <alignment horizontal="center"/>
    </xf>
    <xf numFmtId="0" fontId="35" fillId="4" borderId="0" xfId="0" applyFont="1" applyFill="1"/>
    <xf numFmtId="0" fontId="35" fillId="2" borderId="1" xfId="0" applyFont="1" applyFill="1" applyBorder="1" applyAlignment="1">
      <alignment horizontal="center" vertical="center"/>
    </xf>
    <xf numFmtId="0" fontId="35" fillId="2" borderId="1" xfId="0" applyFont="1" applyFill="1" applyBorder="1" applyAlignment="1">
      <alignment horizontal="center" vertical="center" wrapText="1"/>
    </xf>
    <xf numFmtId="164" fontId="35" fillId="0" borderId="1" xfId="0" applyNumberFormat="1" applyFont="1" applyBorder="1" applyAlignment="1">
      <alignment horizontal="center"/>
    </xf>
    <xf numFmtId="2" fontId="35" fillId="0" borderId="0" xfId="0" applyNumberFormat="1" applyFont="1" applyAlignment="1">
      <alignment horizontal="center"/>
    </xf>
    <xf numFmtId="0" fontId="35" fillId="0" borderId="21" xfId="0" applyFont="1" applyBorder="1" applyAlignment="1">
      <alignment horizontal="right"/>
    </xf>
    <xf numFmtId="0" fontId="35" fillId="0" borderId="22" xfId="0" applyFont="1" applyBorder="1" applyAlignment="1">
      <alignment horizontal="center"/>
    </xf>
    <xf numFmtId="0" fontId="35" fillId="0" borderId="23" xfId="0" applyFont="1" applyBorder="1"/>
    <xf numFmtId="2" fontId="35" fillId="0" borderId="22" xfId="0" applyNumberFormat="1" applyFont="1" applyBorder="1" applyAlignment="1">
      <alignment horizontal="center"/>
    </xf>
    <xf numFmtId="0" fontId="38" fillId="0" borderId="0" xfId="0" applyFont="1"/>
    <xf numFmtId="0" fontId="38" fillId="0" borderId="21" xfId="0" applyFont="1" applyBorder="1"/>
    <xf numFmtId="164" fontId="38" fillId="0" borderId="22" xfId="0" applyNumberFormat="1" applyFont="1" applyBorder="1" applyAlignment="1">
      <alignment horizontal="center"/>
    </xf>
    <xf numFmtId="0" fontId="38" fillId="0" borderId="23" xfId="0" applyFont="1" applyBorder="1"/>
    <xf numFmtId="2" fontId="35" fillId="0" borderId="1" xfId="0" applyNumberFormat="1" applyFont="1" applyBorder="1" applyAlignment="1">
      <alignment horizontal="center" wrapText="1"/>
    </xf>
    <xf numFmtId="2" fontId="0" fillId="0" borderId="1" xfId="0" applyNumberFormat="1" applyBorder="1" applyAlignment="1">
      <alignment horizontal="center" wrapText="1"/>
    </xf>
    <xf numFmtId="0" fontId="28" fillId="0" borderId="0" xfId="0" applyFont="1" applyAlignment="1">
      <alignment horizontal="justify" vertical="center" wrapText="1"/>
    </xf>
    <xf numFmtId="0" fontId="35" fillId="0" borderId="0" xfId="0" applyFont="1" applyAlignment="1">
      <alignment horizontal="left" vertical="center"/>
    </xf>
    <xf numFmtId="0" fontId="17" fillId="0" borderId="1" xfId="0" applyFont="1" applyBorder="1" applyAlignment="1">
      <alignment vertical="center" wrapText="1"/>
    </xf>
    <xf numFmtId="0" fontId="17" fillId="0" borderId="1" xfId="0" applyFont="1" applyBorder="1" applyAlignment="1">
      <alignment horizontal="left" vertical="center" wrapText="1" indent="3"/>
    </xf>
    <xf numFmtId="0" fontId="17" fillId="0" borderId="1" xfId="0" applyFont="1" applyBorder="1" applyAlignment="1">
      <alignment horizontal="center" vertical="center" wrapText="1"/>
    </xf>
    <xf numFmtId="0" fontId="38" fillId="2" borderId="1" xfId="0" applyFont="1" applyFill="1" applyBorder="1" applyAlignment="1">
      <alignment vertical="center" wrapText="1"/>
    </xf>
    <xf numFmtId="0" fontId="38" fillId="2" borderId="1" xfId="0" applyFont="1" applyFill="1" applyBorder="1" applyAlignment="1">
      <alignment horizontal="left" vertical="center" wrapText="1"/>
    </xf>
    <xf numFmtId="0" fontId="28" fillId="0" borderId="0" xfId="0" applyFont="1" applyAlignment="1">
      <alignment vertical="center" wrapText="1"/>
    </xf>
    <xf numFmtId="0" fontId="28" fillId="0" borderId="1" xfId="0" applyFont="1" applyBorder="1" applyAlignment="1">
      <alignment horizontal="center" vertical="center"/>
    </xf>
    <xf numFmtId="0" fontId="28" fillId="0" borderId="0" xfId="0" applyFont="1" applyAlignment="1">
      <alignment horizontal="center" vertical="center"/>
    </xf>
    <xf numFmtId="0" fontId="43" fillId="0" borderId="0" xfId="0" applyFont="1" applyAlignment="1">
      <alignment horizontal="center"/>
    </xf>
    <xf numFmtId="0" fontId="0" fillId="0" borderId="3" xfId="0" applyBorder="1"/>
    <xf numFmtId="0" fontId="0" fillId="0" borderId="28" xfId="0" applyBorder="1"/>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13" xfId="0" applyFont="1" applyBorder="1" applyAlignment="1">
      <alignment horizontal="center" vertical="center"/>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0" fillId="2" borderId="21" xfId="0" applyFill="1" applyBorder="1" applyAlignment="1">
      <alignment horizontal="center"/>
    </xf>
    <xf numFmtId="0" fontId="0" fillId="2" borderId="22" xfId="0" applyFill="1" applyBorder="1" applyAlignment="1">
      <alignment horizontal="center"/>
    </xf>
    <xf numFmtId="0" fontId="0" fillId="2" borderId="23" xfId="0" applyFill="1" applyBorder="1" applyAlignment="1">
      <alignment horizontal="center"/>
    </xf>
    <xf numFmtId="0" fontId="0" fillId="0" borderId="0" xfId="0" applyAlignment="1">
      <alignment horizontal="left"/>
    </xf>
    <xf numFmtId="0" fontId="0" fillId="0" borderId="1" xfId="0" applyBorder="1" applyAlignment="1">
      <alignment horizontal="left"/>
    </xf>
    <xf numFmtId="0" fontId="0" fillId="0" borderId="0" xfId="0"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2" fontId="19" fillId="0" borderId="0" xfId="0" applyNumberFormat="1" applyFont="1" applyAlignment="1">
      <alignment horizontal="center"/>
    </xf>
    <xf numFmtId="0" fontId="10" fillId="0" borderId="7" xfId="0" applyFont="1" applyBorder="1" applyAlignment="1">
      <alignment horizontal="center" vertical="center"/>
    </xf>
    <xf numFmtId="0" fontId="10" fillId="0" borderId="2"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6" xfId="0" applyFont="1" applyBorder="1" applyAlignment="1">
      <alignment horizontal="center" vertical="center"/>
    </xf>
    <xf numFmtId="0" fontId="10" fillId="0" borderId="10" xfId="0" applyFont="1" applyBorder="1" applyAlignment="1">
      <alignment horizontal="center" vertical="center"/>
    </xf>
    <xf numFmtId="2" fontId="10" fillId="0" borderId="1" xfId="0" applyNumberFormat="1" applyFont="1" applyBorder="1" applyAlignment="1">
      <alignment horizontal="center"/>
    </xf>
    <xf numFmtId="0" fontId="0" fillId="0" borderId="1" xfId="0" applyBorder="1" applyAlignment="1">
      <alignment horizontal="center" vertical="center"/>
    </xf>
    <xf numFmtId="0" fontId="10" fillId="0" borderId="1" xfId="0" applyFont="1" applyBorder="1" applyAlignment="1">
      <alignment horizontal="center"/>
    </xf>
    <xf numFmtId="0" fontId="9" fillId="0" borderId="1"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6" xfId="0" applyFont="1" applyBorder="1" applyAlignment="1">
      <alignment horizontal="center" vertical="center"/>
    </xf>
    <xf numFmtId="0" fontId="11" fillId="0" borderId="17" xfId="0" applyFont="1" applyBorder="1" applyAlignment="1">
      <alignment horizontal="center" vertical="center"/>
    </xf>
    <xf numFmtId="0" fontId="11" fillId="0" borderId="18" xfId="0" applyFont="1" applyBorder="1" applyAlignment="1">
      <alignment horizontal="center" vertical="center"/>
    </xf>
    <xf numFmtId="0" fontId="12" fillId="0" borderId="1" xfId="0" applyFont="1" applyBorder="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left" vertical="center" wrapText="1"/>
    </xf>
    <xf numFmtId="0" fontId="12" fillId="0" borderId="7" xfId="0" applyFont="1" applyBorder="1" applyAlignment="1">
      <alignment horizontal="center" wrapText="1"/>
    </xf>
    <xf numFmtId="0" fontId="12" fillId="0" borderId="2" xfId="0" applyFont="1" applyBorder="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0" fontId="12" fillId="0" borderId="6" xfId="0" applyFont="1" applyBorder="1" applyAlignment="1">
      <alignment horizontal="center" wrapText="1"/>
    </xf>
    <xf numFmtId="0" fontId="12" fillId="0" borderId="10" xfId="0" applyFont="1" applyBorder="1" applyAlignment="1">
      <alignment horizontal="center" wrapText="1"/>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0" xfId="0" applyFont="1" applyAlignment="1">
      <alignment horizontal="center" vertic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9" fillId="0" borderId="1" xfId="0" applyFont="1" applyBorder="1" applyAlignment="1">
      <alignment horizontal="center"/>
    </xf>
    <xf numFmtId="0" fontId="35" fillId="9" borderId="1" xfId="0" applyFont="1" applyFill="1" applyBorder="1" applyAlignment="1">
      <alignment horizontal="center" vertical="center"/>
    </xf>
    <xf numFmtId="0" fontId="35" fillId="0" borderId="3" xfId="0" applyFont="1" applyBorder="1" applyAlignment="1">
      <alignment horizontal="center"/>
    </xf>
    <xf numFmtId="0" fontId="35" fillId="0" borderId="5" xfId="0" applyFont="1" applyBorder="1" applyAlignment="1">
      <alignment horizontal="center"/>
    </xf>
    <xf numFmtId="0" fontId="36" fillId="0" borderId="1" xfId="0" applyFont="1" applyBorder="1" applyAlignment="1">
      <alignment horizontal="center" vertical="center"/>
    </xf>
    <xf numFmtId="0" fontId="35" fillId="0" borderId="1" xfId="0" applyFont="1" applyBorder="1" applyAlignment="1">
      <alignment horizontal="center"/>
    </xf>
    <xf numFmtId="0" fontId="35" fillId="0" borderId="1" xfId="0" applyFont="1" applyBorder="1" applyAlignment="1">
      <alignment horizontal="left"/>
    </xf>
    <xf numFmtId="0" fontId="35" fillId="0" borderId="0" xfId="0" applyFont="1" applyAlignment="1">
      <alignment horizontal="center"/>
    </xf>
    <xf numFmtId="2" fontId="0" fillId="0" borderId="1" xfId="0" applyNumberFormat="1" applyBorder="1" applyAlignment="1">
      <alignment horizontal="center" vertical="center"/>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0" xfId="0" applyAlignment="1">
      <alignment horizontal="right" vertical="center"/>
    </xf>
    <xf numFmtId="2" fontId="0" fillId="0" borderId="6" xfId="0" applyNumberFormat="1" applyBorder="1" applyAlignment="1">
      <alignment horizontal="center"/>
    </xf>
    <xf numFmtId="0" fontId="0" fillId="2" borderId="1" xfId="0" applyFill="1" applyBorder="1" applyAlignment="1">
      <alignment horizontal="center" vertical="center"/>
    </xf>
    <xf numFmtId="0" fontId="7" fillId="0" borderId="0" xfId="0" applyFont="1" applyAlignment="1">
      <alignment horizontal="center"/>
    </xf>
    <xf numFmtId="0" fontId="0" fillId="0" borderId="2" xfId="0" applyBorder="1" applyAlignment="1">
      <alignment horizontal="center"/>
    </xf>
    <xf numFmtId="0" fontId="0" fillId="0" borderId="6" xfId="0" applyBorder="1" applyAlignment="1">
      <alignment horizontal="center"/>
    </xf>
    <xf numFmtId="49" fontId="1" fillId="0" borderId="0" xfId="0" applyNumberFormat="1" applyFont="1" applyAlignment="1">
      <alignment horizontal="right" vertical="center"/>
    </xf>
    <xf numFmtId="49" fontId="1" fillId="0" borderId="6" xfId="0" applyNumberFormat="1" applyFont="1" applyBorder="1" applyAlignment="1">
      <alignment horizontal="center"/>
    </xf>
    <xf numFmtId="49" fontId="1" fillId="0" borderId="2" xfId="0" applyNumberFormat="1" applyFont="1" applyBorder="1" applyAlignment="1">
      <alignment horizontal="center"/>
    </xf>
    <xf numFmtId="2" fontId="1" fillId="2" borderId="0" xfId="0" applyNumberFormat="1" applyFont="1" applyFill="1" applyAlignment="1">
      <alignment horizontal="center"/>
    </xf>
    <xf numFmtId="2" fontId="1" fillId="0" borderId="0" xfId="0" applyNumberFormat="1" applyFont="1" applyAlignment="1">
      <alignment horizontal="center"/>
    </xf>
    <xf numFmtId="0" fontId="0" fillId="2" borderId="1" xfId="0" applyFill="1" applyBorder="1" applyAlignment="1">
      <alignment horizontal="center"/>
    </xf>
    <xf numFmtId="0" fontId="0" fillId="0" borderId="1" xfId="0" applyBorder="1" applyAlignment="1">
      <alignment horizontal="left" wrapText="1"/>
    </xf>
    <xf numFmtId="0" fontId="0" fillId="0" borderId="1" xfId="0" applyBorder="1" applyAlignment="1">
      <alignment horizontal="center"/>
    </xf>
    <xf numFmtId="0" fontId="2" fillId="0" borderId="0" xfId="0" applyFont="1" applyAlignment="1">
      <alignment horizontal="center" vertical="center"/>
    </xf>
    <xf numFmtId="0" fontId="0" fillId="0" borderId="0" xfId="0" applyAlignment="1">
      <alignment horizontal="lef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0" fillId="4" borderId="1" xfId="0" applyFill="1" applyBorder="1" applyAlignment="1">
      <alignment horizontal="center"/>
    </xf>
    <xf numFmtId="0" fontId="0" fillId="0" borderId="0" xfId="0"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35" fillId="0" borderId="0" xfId="0" applyFont="1" applyAlignment="1">
      <alignment horizontal="left"/>
    </xf>
    <xf numFmtId="0" fontId="35" fillId="0" borderId="0" xfId="0" applyFont="1"/>
    <xf numFmtId="0" fontId="35" fillId="0" borderId="0" xfId="0" applyFont="1" applyAlignment="1">
      <alignment horizontal="center" vertical="center"/>
    </xf>
    <xf numFmtId="0" fontId="35" fillId="0" borderId="1" xfId="0" applyFont="1" applyBorder="1" applyAlignment="1">
      <alignment vertical="center"/>
    </xf>
    <xf numFmtId="0" fontId="35" fillId="0" borderId="1" xfId="0" applyFont="1" applyBorder="1" applyAlignment="1">
      <alignment vertical="center" wrapText="1"/>
    </xf>
    <xf numFmtId="0" fontId="35" fillId="2" borderId="1" xfId="0" applyFont="1" applyFill="1" applyBorder="1" applyAlignment="1">
      <alignment horizontal="center"/>
    </xf>
    <xf numFmtId="2" fontId="35" fillId="0" borderId="1" xfId="0" applyNumberFormat="1" applyFont="1" applyBorder="1" applyAlignment="1">
      <alignment horizontal="center"/>
    </xf>
    <xf numFmtId="0" fontId="39" fillId="2" borderId="0" xfId="0" applyFont="1" applyFill="1" applyAlignment="1">
      <alignment horizontal="center"/>
    </xf>
    <xf numFmtId="0" fontId="35" fillId="2" borderId="1" xfId="0" applyFont="1" applyFill="1" applyBorder="1" applyAlignment="1">
      <alignment horizontal="center" vertical="center" wrapText="1"/>
    </xf>
    <xf numFmtId="0" fontId="0" fillId="2" borderId="1" xfId="0" applyFill="1" applyBorder="1" applyAlignment="1">
      <alignment horizontal="center" wrapText="1"/>
    </xf>
    <xf numFmtId="2" fontId="0" fillId="0" borderId="1" xfId="0" applyNumberFormat="1" applyBorder="1" applyAlignment="1">
      <alignment horizontal="center"/>
    </xf>
    <xf numFmtId="0" fontId="0" fillId="2" borderId="1" xfId="0" applyFill="1" applyBorder="1" applyAlignment="1">
      <alignment horizontal="center" vertical="center" wrapText="1"/>
    </xf>
    <xf numFmtId="0" fontId="11" fillId="2" borderId="0" xfId="0" applyFont="1" applyFill="1" applyAlignment="1">
      <alignment horizontal="center"/>
    </xf>
    <xf numFmtId="0" fontId="0" fillId="0" borderId="0" xfId="0"/>
    <xf numFmtId="0" fontId="9" fillId="2" borderId="0" xfId="0" applyFont="1" applyFill="1" applyAlignment="1">
      <alignment horizontal="center"/>
    </xf>
    <xf numFmtId="0" fontId="0" fillId="2" borderId="3" xfId="0" applyFill="1" applyBorder="1" applyAlignment="1">
      <alignment horizontal="center" wrapText="1"/>
    </xf>
    <xf numFmtId="0" fontId="0" fillId="2" borderId="5" xfId="0" applyFill="1" applyBorder="1" applyAlignment="1">
      <alignment horizontal="center" wrapText="1"/>
    </xf>
    <xf numFmtId="0" fontId="0" fillId="2" borderId="0" xfId="0" applyFill="1" applyAlignment="1">
      <alignment horizontal="center" wrapText="1"/>
    </xf>
    <xf numFmtId="0" fontId="35" fillId="0" borderId="1" xfId="0" applyFont="1" applyBorder="1" applyAlignment="1">
      <alignment horizontal="left" wrapText="1"/>
    </xf>
    <xf numFmtId="0" fontId="17" fillId="0" borderId="24" xfId="0" applyFont="1" applyBorder="1" applyAlignment="1">
      <alignment horizontal="left" vertical="center" wrapText="1"/>
    </xf>
    <xf numFmtId="0" fontId="17" fillId="0" borderId="25" xfId="0" applyFont="1" applyBorder="1" applyAlignment="1">
      <alignment horizontal="left" vertical="center" wrapText="1"/>
    </xf>
    <xf numFmtId="0" fontId="17" fillId="0" borderId="1" xfId="0" applyFont="1" applyBorder="1" applyAlignment="1">
      <alignment horizontal="left" vertical="center" wrapText="1"/>
    </xf>
    <xf numFmtId="0" fontId="28" fillId="0" borderId="1" xfId="0" applyFont="1" applyBorder="1" applyAlignment="1">
      <alignment horizontal="left" vertical="center"/>
    </xf>
    <xf numFmtId="0" fontId="17" fillId="0" borderId="3" xfId="0" applyFont="1" applyBorder="1" applyAlignment="1">
      <alignment horizontal="left" vertical="center" wrapText="1"/>
    </xf>
    <xf numFmtId="0" fontId="17" fillId="0" borderId="5" xfId="0" applyFont="1" applyBorder="1" applyAlignment="1">
      <alignment horizontal="left" vertical="center" wrapText="1"/>
    </xf>
    <xf numFmtId="0" fontId="28" fillId="0" borderId="0" xfId="0" applyFont="1" applyAlignment="1">
      <alignment horizontal="justify" vertical="center" wrapText="1"/>
    </xf>
    <xf numFmtId="0" fontId="17" fillId="0" borderId="29" xfId="0" applyFont="1" applyBorder="1" applyAlignment="1">
      <alignment horizontal="left" vertical="center" wrapText="1"/>
    </xf>
    <xf numFmtId="0" fontId="17" fillId="0" borderId="26" xfId="0" applyFont="1" applyBorder="1" applyAlignment="1">
      <alignment horizontal="left" vertical="center" wrapText="1"/>
    </xf>
    <xf numFmtId="0" fontId="17" fillId="2" borderId="1" xfId="0" applyFont="1" applyFill="1" applyBorder="1" applyAlignment="1">
      <alignment horizontal="center" vertical="center" wrapText="1"/>
    </xf>
    <xf numFmtId="0" fontId="28" fillId="0" borderId="6" xfId="0" applyFont="1" applyBorder="1" applyAlignment="1">
      <alignment horizontal="center" vertical="center"/>
    </xf>
  </cellXfs>
  <cellStyles count="1">
    <cellStyle name="Normal" xfId="0" builtinId="0"/>
  </cellStyles>
  <dxfs count="139">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ont>
        <color rgb="FF9C0006"/>
      </font>
      <fill>
        <patternFill>
          <bgColor rgb="FFFFC7CE"/>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JP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jpe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_rels/drawing3.xml.rels><?xml version="1.0" encoding="UTF-8" standalone="yes"?>
<Relationships xmlns="http://schemas.openxmlformats.org/package/2006/relationships"><Relationship Id="rId8" Type="http://schemas.openxmlformats.org/officeDocument/2006/relationships/image" Target="../media/image33.png"/><Relationship Id="rId3" Type="http://schemas.openxmlformats.org/officeDocument/2006/relationships/image" Target="../media/image28.png"/><Relationship Id="rId7" Type="http://schemas.openxmlformats.org/officeDocument/2006/relationships/image" Target="../media/image32.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1.png"/><Relationship Id="rId5" Type="http://schemas.openxmlformats.org/officeDocument/2006/relationships/image" Target="../media/image30.png"/><Relationship Id="rId4" Type="http://schemas.openxmlformats.org/officeDocument/2006/relationships/image" Target="../media/image29.png"/></Relationships>
</file>

<file path=xl/drawings/_rels/drawing4.xml.rels><?xml version="1.0" encoding="UTF-8" standalone="yes"?>
<Relationships xmlns="http://schemas.openxmlformats.org/package/2006/relationships"><Relationship Id="rId8" Type="http://schemas.openxmlformats.org/officeDocument/2006/relationships/image" Target="../media/image41.png"/><Relationship Id="rId13" Type="http://schemas.openxmlformats.org/officeDocument/2006/relationships/image" Target="../media/image46.png"/><Relationship Id="rId3" Type="http://schemas.openxmlformats.org/officeDocument/2006/relationships/image" Target="../media/image36.png"/><Relationship Id="rId7" Type="http://schemas.openxmlformats.org/officeDocument/2006/relationships/image" Target="../media/image40.png"/><Relationship Id="rId12" Type="http://schemas.openxmlformats.org/officeDocument/2006/relationships/image" Target="../media/image45.png"/><Relationship Id="rId2" Type="http://schemas.openxmlformats.org/officeDocument/2006/relationships/image" Target="../media/image35.png"/><Relationship Id="rId1" Type="http://schemas.openxmlformats.org/officeDocument/2006/relationships/image" Target="../media/image34.png"/><Relationship Id="rId6" Type="http://schemas.openxmlformats.org/officeDocument/2006/relationships/image" Target="../media/image39.png"/><Relationship Id="rId11" Type="http://schemas.openxmlformats.org/officeDocument/2006/relationships/image" Target="../media/image44.png"/><Relationship Id="rId5" Type="http://schemas.openxmlformats.org/officeDocument/2006/relationships/image" Target="../media/image38.png"/><Relationship Id="rId10" Type="http://schemas.openxmlformats.org/officeDocument/2006/relationships/image" Target="../media/image43.png"/><Relationship Id="rId4" Type="http://schemas.openxmlformats.org/officeDocument/2006/relationships/image" Target="../media/image37.png"/><Relationship Id="rId9" Type="http://schemas.openxmlformats.org/officeDocument/2006/relationships/image" Target="../media/image42.png"/><Relationship Id="rId14" Type="http://schemas.openxmlformats.org/officeDocument/2006/relationships/image" Target="../media/image47.png"/></Relationships>
</file>

<file path=xl/drawings/_rels/drawing5.xml.rels><?xml version="1.0" encoding="UTF-8" standalone="yes"?>
<Relationships xmlns="http://schemas.openxmlformats.org/package/2006/relationships"><Relationship Id="rId8" Type="http://schemas.openxmlformats.org/officeDocument/2006/relationships/image" Target="../media/image41.png"/><Relationship Id="rId13" Type="http://schemas.openxmlformats.org/officeDocument/2006/relationships/image" Target="../media/image46.png"/><Relationship Id="rId3" Type="http://schemas.openxmlformats.org/officeDocument/2006/relationships/image" Target="../media/image36.png"/><Relationship Id="rId7" Type="http://schemas.openxmlformats.org/officeDocument/2006/relationships/image" Target="../media/image40.png"/><Relationship Id="rId12" Type="http://schemas.openxmlformats.org/officeDocument/2006/relationships/image" Target="../media/image45.png"/><Relationship Id="rId2" Type="http://schemas.openxmlformats.org/officeDocument/2006/relationships/image" Target="../media/image35.png"/><Relationship Id="rId1" Type="http://schemas.openxmlformats.org/officeDocument/2006/relationships/image" Target="../media/image34.png"/><Relationship Id="rId6" Type="http://schemas.openxmlformats.org/officeDocument/2006/relationships/image" Target="../media/image39.png"/><Relationship Id="rId11" Type="http://schemas.openxmlformats.org/officeDocument/2006/relationships/image" Target="../media/image44.png"/><Relationship Id="rId5" Type="http://schemas.openxmlformats.org/officeDocument/2006/relationships/image" Target="../media/image38.png"/><Relationship Id="rId10" Type="http://schemas.openxmlformats.org/officeDocument/2006/relationships/image" Target="../media/image43.png"/><Relationship Id="rId4" Type="http://schemas.openxmlformats.org/officeDocument/2006/relationships/image" Target="../media/image37.png"/><Relationship Id="rId9" Type="http://schemas.openxmlformats.org/officeDocument/2006/relationships/image" Target="../media/image42.png"/><Relationship Id="rId14" Type="http://schemas.openxmlformats.org/officeDocument/2006/relationships/image" Target="../media/image47.png"/></Relationships>
</file>

<file path=xl/drawings/_rels/drawing6.xml.rels><?xml version="1.0" encoding="UTF-8" standalone="yes"?>
<Relationships xmlns="http://schemas.openxmlformats.org/package/2006/relationships"><Relationship Id="rId8" Type="http://schemas.openxmlformats.org/officeDocument/2006/relationships/image" Target="../media/image41.png"/><Relationship Id="rId13" Type="http://schemas.openxmlformats.org/officeDocument/2006/relationships/image" Target="../media/image46.png"/><Relationship Id="rId3" Type="http://schemas.openxmlformats.org/officeDocument/2006/relationships/image" Target="../media/image36.png"/><Relationship Id="rId7" Type="http://schemas.openxmlformats.org/officeDocument/2006/relationships/image" Target="../media/image40.png"/><Relationship Id="rId12" Type="http://schemas.openxmlformats.org/officeDocument/2006/relationships/image" Target="../media/image45.png"/><Relationship Id="rId2" Type="http://schemas.openxmlformats.org/officeDocument/2006/relationships/image" Target="../media/image35.png"/><Relationship Id="rId1" Type="http://schemas.openxmlformats.org/officeDocument/2006/relationships/image" Target="../media/image34.png"/><Relationship Id="rId6" Type="http://schemas.openxmlformats.org/officeDocument/2006/relationships/image" Target="../media/image39.png"/><Relationship Id="rId11" Type="http://schemas.openxmlformats.org/officeDocument/2006/relationships/image" Target="../media/image44.png"/><Relationship Id="rId5" Type="http://schemas.openxmlformats.org/officeDocument/2006/relationships/image" Target="../media/image38.png"/><Relationship Id="rId10" Type="http://schemas.openxmlformats.org/officeDocument/2006/relationships/image" Target="../media/image43.png"/><Relationship Id="rId4" Type="http://schemas.openxmlformats.org/officeDocument/2006/relationships/image" Target="../media/image37.png"/><Relationship Id="rId9" Type="http://schemas.openxmlformats.org/officeDocument/2006/relationships/image" Target="../media/image42.png"/><Relationship Id="rId14" Type="http://schemas.openxmlformats.org/officeDocument/2006/relationships/image" Target="../media/image47.png"/></Relationships>
</file>

<file path=xl/drawings/_rels/drawing7.xml.rels><?xml version="1.0" encoding="UTF-8" standalone="yes"?>
<Relationships xmlns="http://schemas.openxmlformats.org/package/2006/relationships"><Relationship Id="rId8" Type="http://schemas.openxmlformats.org/officeDocument/2006/relationships/image" Target="../media/image41.png"/><Relationship Id="rId13" Type="http://schemas.openxmlformats.org/officeDocument/2006/relationships/image" Target="../media/image46.png"/><Relationship Id="rId3" Type="http://schemas.openxmlformats.org/officeDocument/2006/relationships/image" Target="../media/image36.png"/><Relationship Id="rId7" Type="http://schemas.openxmlformats.org/officeDocument/2006/relationships/image" Target="../media/image40.png"/><Relationship Id="rId12" Type="http://schemas.openxmlformats.org/officeDocument/2006/relationships/image" Target="../media/image45.png"/><Relationship Id="rId2" Type="http://schemas.openxmlformats.org/officeDocument/2006/relationships/image" Target="../media/image35.png"/><Relationship Id="rId1" Type="http://schemas.openxmlformats.org/officeDocument/2006/relationships/image" Target="../media/image34.png"/><Relationship Id="rId6" Type="http://schemas.openxmlformats.org/officeDocument/2006/relationships/image" Target="../media/image39.png"/><Relationship Id="rId11" Type="http://schemas.openxmlformats.org/officeDocument/2006/relationships/image" Target="../media/image44.png"/><Relationship Id="rId5" Type="http://schemas.openxmlformats.org/officeDocument/2006/relationships/image" Target="../media/image38.png"/><Relationship Id="rId10" Type="http://schemas.openxmlformats.org/officeDocument/2006/relationships/image" Target="../media/image43.png"/><Relationship Id="rId4" Type="http://schemas.openxmlformats.org/officeDocument/2006/relationships/image" Target="../media/image37.png"/><Relationship Id="rId9" Type="http://schemas.openxmlformats.org/officeDocument/2006/relationships/image" Target="../media/image42.png"/><Relationship Id="rId14" Type="http://schemas.openxmlformats.org/officeDocument/2006/relationships/image" Target="../media/image47.png"/></Relationships>
</file>

<file path=xl/drawings/_rels/drawing8.xml.rels><?xml version="1.0" encoding="UTF-8" standalone="yes"?>
<Relationships xmlns="http://schemas.openxmlformats.org/package/2006/relationships"><Relationship Id="rId8" Type="http://schemas.openxmlformats.org/officeDocument/2006/relationships/image" Target="../media/image41.png"/><Relationship Id="rId13" Type="http://schemas.openxmlformats.org/officeDocument/2006/relationships/image" Target="../media/image46.png"/><Relationship Id="rId3" Type="http://schemas.openxmlformats.org/officeDocument/2006/relationships/image" Target="../media/image36.png"/><Relationship Id="rId7" Type="http://schemas.openxmlformats.org/officeDocument/2006/relationships/image" Target="../media/image40.png"/><Relationship Id="rId12" Type="http://schemas.openxmlformats.org/officeDocument/2006/relationships/image" Target="../media/image45.png"/><Relationship Id="rId2" Type="http://schemas.openxmlformats.org/officeDocument/2006/relationships/image" Target="../media/image35.png"/><Relationship Id="rId1" Type="http://schemas.openxmlformats.org/officeDocument/2006/relationships/image" Target="../media/image34.png"/><Relationship Id="rId6" Type="http://schemas.openxmlformats.org/officeDocument/2006/relationships/image" Target="../media/image39.png"/><Relationship Id="rId11" Type="http://schemas.openxmlformats.org/officeDocument/2006/relationships/image" Target="../media/image44.png"/><Relationship Id="rId5" Type="http://schemas.openxmlformats.org/officeDocument/2006/relationships/image" Target="../media/image38.png"/><Relationship Id="rId10" Type="http://schemas.openxmlformats.org/officeDocument/2006/relationships/image" Target="../media/image43.png"/><Relationship Id="rId4" Type="http://schemas.openxmlformats.org/officeDocument/2006/relationships/image" Target="../media/image37.png"/><Relationship Id="rId9" Type="http://schemas.openxmlformats.org/officeDocument/2006/relationships/image" Target="../media/image42.png"/><Relationship Id="rId14" Type="http://schemas.openxmlformats.org/officeDocument/2006/relationships/image" Target="../media/image47.png"/></Relationships>
</file>

<file path=xl/drawings/_rels/drawing9.xml.rels><?xml version="1.0" encoding="UTF-8" standalone="yes"?>
<Relationships xmlns="http://schemas.openxmlformats.org/package/2006/relationships"><Relationship Id="rId8" Type="http://schemas.openxmlformats.org/officeDocument/2006/relationships/image" Target="../media/image41.png"/><Relationship Id="rId13" Type="http://schemas.openxmlformats.org/officeDocument/2006/relationships/image" Target="../media/image46.png"/><Relationship Id="rId3" Type="http://schemas.openxmlformats.org/officeDocument/2006/relationships/image" Target="../media/image36.png"/><Relationship Id="rId7" Type="http://schemas.openxmlformats.org/officeDocument/2006/relationships/image" Target="../media/image40.png"/><Relationship Id="rId12" Type="http://schemas.openxmlformats.org/officeDocument/2006/relationships/image" Target="../media/image45.png"/><Relationship Id="rId2" Type="http://schemas.openxmlformats.org/officeDocument/2006/relationships/image" Target="../media/image35.png"/><Relationship Id="rId1" Type="http://schemas.openxmlformats.org/officeDocument/2006/relationships/image" Target="../media/image34.png"/><Relationship Id="rId6" Type="http://schemas.openxmlformats.org/officeDocument/2006/relationships/image" Target="../media/image39.png"/><Relationship Id="rId11" Type="http://schemas.openxmlformats.org/officeDocument/2006/relationships/image" Target="../media/image44.png"/><Relationship Id="rId5" Type="http://schemas.openxmlformats.org/officeDocument/2006/relationships/image" Target="../media/image38.png"/><Relationship Id="rId10" Type="http://schemas.openxmlformats.org/officeDocument/2006/relationships/image" Target="../media/image43.png"/><Relationship Id="rId4" Type="http://schemas.openxmlformats.org/officeDocument/2006/relationships/image" Target="../media/image37.png"/><Relationship Id="rId9" Type="http://schemas.openxmlformats.org/officeDocument/2006/relationships/image" Target="../media/image42.png"/><Relationship Id="rId14" Type="http://schemas.openxmlformats.org/officeDocument/2006/relationships/image" Target="../media/image47.png"/></Relationships>
</file>

<file path=xl/drawings/_rels/drawing10.xml.rels><?xml version="1.0" encoding="UTF-8" standalone="yes"?>
<Relationships xmlns="http://schemas.openxmlformats.org/package/2006/relationships"><Relationship Id="rId8" Type="http://schemas.openxmlformats.org/officeDocument/2006/relationships/image" Target="../media/image41.png"/><Relationship Id="rId13" Type="http://schemas.openxmlformats.org/officeDocument/2006/relationships/image" Target="../media/image46.png"/><Relationship Id="rId3" Type="http://schemas.openxmlformats.org/officeDocument/2006/relationships/image" Target="../media/image36.png"/><Relationship Id="rId7" Type="http://schemas.openxmlformats.org/officeDocument/2006/relationships/image" Target="../media/image40.png"/><Relationship Id="rId12" Type="http://schemas.openxmlformats.org/officeDocument/2006/relationships/image" Target="../media/image45.png"/><Relationship Id="rId2" Type="http://schemas.openxmlformats.org/officeDocument/2006/relationships/image" Target="../media/image35.png"/><Relationship Id="rId1" Type="http://schemas.openxmlformats.org/officeDocument/2006/relationships/image" Target="../media/image34.png"/><Relationship Id="rId6" Type="http://schemas.openxmlformats.org/officeDocument/2006/relationships/image" Target="../media/image39.png"/><Relationship Id="rId11" Type="http://schemas.openxmlformats.org/officeDocument/2006/relationships/image" Target="../media/image44.png"/><Relationship Id="rId5" Type="http://schemas.openxmlformats.org/officeDocument/2006/relationships/image" Target="../media/image38.png"/><Relationship Id="rId10" Type="http://schemas.openxmlformats.org/officeDocument/2006/relationships/image" Target="../media/image43.png"/><Relationship Id="rId4" Type="http://schemas.openxmlformats.org/officeDocument/2006/relationships/image" Target="../media/image37.png"/><Relationship Id="rId9" Type="http://schemas.openxmlformats.org/officeDocument/2006/relationships/image" Target="../media/image42.png"/><Relationship Id="rId14" Type="http://schemas.openxmlformats.org/officeDocument/2006/relationships/image" Target="../media/image47.png"/></Relationships>
</file>

<file path=xl/drawings/_rels/drawing11.xml.rels><?xml version="1.0" encoding="UTF-8" standalone="yes"?>
<Relationships xmlns="http://schemas.openxmlformats.org/package/2006/relationships"><Relationship Id="rId3" Type="http://schemas.openxmlformats.org/officeDocument/2006/relationships/image" Target="../media/image50.png"/><Relationship Id="rId7" Type="http://schemas.openxmlformats.org/officeDocument/2006/relationships/image" Target="../media/image54.png"/><Relationship Id="rId2" Type="http://schemas.openxmlformats.org/officeDocument/2006/relationships/image" Target="../media/image49.png"/><Relationship Id="rId1" Type="http://schemas.openxmlformats.org/officeDocument/2006/relationships/image" Target="../media/image48.png"/><Relationship Id="rId6" Type="http://schemas.openxmlformats.org/officeDocument/2006/relationships/image" Target="../media/image53.png"/><Relationship Id="rId5" Type="http://schemas.openxmlformats.org/officeDocument/2006/relationships/image" Target="../media/image52.png"/><Relationship Id="rId4" Type="http://schemas.openxmlformats.org/officeDocument/2006/relationships/image" Target="../media/image5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56.png"/><Relationship Id="rId2" Type="http://schemas.openxmlformats.org/officeDocument/2006/relationships/image" Target="cid:ii_k34lv1gk0" TargetMode="External"/><Relationship Id="rId1" Type="http://schemas.openxmlformats.org/officeDocument/2006/relationships/image" Target="../media/image55.png"/><Relationship Id="rId4" Type="http://schemas.openxmlformats.org/officeDocument/2006/relationships/image" Target="../media/image57.png"/></Relationships>
</file>

<file path=xl/drawings/_rels/drawing13.xml.rels><?xml version="1.0" encoding="UTF-8" standalone="yes"?>
<Relationships xmlns="http://schemas.openxmlformats.org/package/2006/relationships"><Relationship Id="rId8" Type="http://schemas.openxmlformats.org/officeDocument/2006/relationships/image" Target="../media/image65.png"/><Relationship Id="rId13" Type="http://schemas.openxmlformats.org/officeDocument/2006/relationships/image" Target="../media/image70.png"/><Relationship Id="rId3" Type="http://schemas.openxmlformats.org/officeDocument/2006/relationships/image" Target="../media/image60.png"/><Relationship Id="rId7" Type="http://schemas.openxmlformats.org/officeDocument/2006/relationships/image" Target="../media/image64.png"/><Relationship Id="rId12" Type="http://schemas.openxmlformats.org/officeDocument/2006/relationships/image" Target="../media/image69.png"/><Relationship Id="rId2" Type="http://schemas.openxmlformats.org/officeDocument/2006/relationships/image" Target="../media/image59.png"/><Relationship Id="rId16" Type="http://schemas.openxmlformats.org/officeDocument/2006/relationships/image" Target="../media/image73.png"/><Relationship Id="rId1" Type="http://schemas.openxmlformats.org/officeDocument/2006/relationships/image" Target="../media/image58.png"/><Relationship Id="rId6" Type="http://schemas.openxmlformats.org/officeDocument/2006/relationships/image" Target="../media/image63.png"/><Relationship Id="rId11" Type="http://schemas.openxmlformats.org/officeDocument/2006/relationships/image" Target="../media/image68.png"/><Relationship Id="rId5" Type="http://schemas.openxmlformats.org/officeDocument/2006/relationships/image" Target="../media/image62.png"/><Relationship Id="rId15" Type="http://schemas.openxmlformats.org/officeDocument/2006/relationships/image" Target="../media/image72.png"/><Relationship Id="rId10" Type="http://schemas.openxmlformats.org/officeDocument/2006/relationships/image" Target="../media/image67.png"/><Relationship Id="rId4" Type="http://schemas.openxmlformats.org/officeDocument/2006/relationships/image" Target="../media/image61.png"/><Relationship Id="rId9" Type="http://schemas.openxmlformats.org/officeDocument/2006/relationships/image" Target="../media/image66.png"/><Relationship Id="rId14" Type="http://schemas.openxmlformats.org/officeDocument/2006/relationships/image" Target="../media/image71.png"/></Relationships>
</file>

<file path=xl/drawings/_rels/drawing14.xml.rels><?xml version="1.0" encoding="UTF-8" standalone="yes"?>
<Relationships xmlns="http://schemas.openxmlformats.org/package/2006/relationships"><Relationship Id="rId8" Type="http://schemas.openxmlformats.org/officeDocument/2006/relationships/image" Target="../media/image65.png"/><Relationship Id="rId13" Type="http://schemas.openxmlformats.org/officeDocument/2006/relationships/image" Target="../media/image74.png"/><Relationship Id="rId18" Type="http://schemas.openxmlformats.org/officeDocument/2006/relationships/image" Target="../media/image79.png"/><Relationship Id="rId3" Type="http://schemas.openxmlformats.org/officeDocument/2006/relationships/image" Target="../media/image60.png"/><Relationship Id="rId21" Type="http://schemas.openxmlformats.org/officeDocument/2006/relationships/image" Target="../media/image82.png"/><Relationship Id="rId7" Type="http://schemas.openxmlformats.org/officeDocument/2006/relationships/image" Target="../media/image64.png"/><Relationship Id="rId12" Type="http://schemas.openxmlformats.org/officeDocument/2006/relationships/image" Target="../media/image72.png"/><Relationship Id="rId17" Type="http://schemas.openxmlformats.org/officeDocument/2006/relationships/image" Target="../media/image78.png"/><Relationship Id="rId2" Type="http://schemas.openxmlformats.org/officeDocument/2006/relationships/image" Target="../media/image59.png"/><Relationship Id="rId16" Type="http://schemas.openxmlformats.org/officeDocument/2006/relationships/image" Target="../media/image77.png"/><Relationship Id="rId20" Type="http://schemas.openxmlformats.org/officeDocument/2006/relationships/image" Target="../media/image81.png"/><Relationship Id="rId1" Type="http://schemas.openxmlformats.org/officeDocument/2006/relationships/image" Target="../media/image58.png"/><Relationship Id="rId6" Type="http://schemas.openxmlformats.org/officeDocument/2006/relationships/image" Target="../media/image63.png"/><Relationship Id="rId11" Type="http://schemas.openxmlformats.org/officeDocument/2006/relationships/image" Target="../media/image71.png"/><Relationship Id="rId5" Type="http://schemas.openxmlformats.org/officeDocument/2006/relationships/image" Target="../media/image62.png"/><Relationship Id="rId15" Type="http://schemas.openxmlformats.org/officeDocument/2006/relationships/image" Target="../media/image76.png"/><Relationship Id="rId23" Type="http://schemas.openxmlformats.org/officeDocument/2006/relationships/image" Target="../media/image66.png"/><Relationship Id="rId10" Type="http://schemas.openxmlformats.org/officeDocument/2006/relationships/image" Target="../media/image70.png"/><Relationship Id="rId19" Type="http://schemas.openxmlformats.org/officeDocument/2006/relationships/image" Target="../media/image80.png"/><Relationship Id="rId4" Type="http://schemas.openxmlformats.org/officeDocument/2006/relationships/image" Target="../media/image61.png"/><Relationship Id="rId9" Type="http://schemas.openxmlformats.org/officeDocument/2006/relationships/image" Target="../media/image69.png"/><Relationship Id="rId14" Type="http://schemas.openxmlformats.org/officeDocument/2006/relationships/image" Target="../media/image75.png"/><Relationship Id="rId22" Type="http://schemas.openxmlformats.org/officeDocument/2006/relationships/image" Target="../media/image8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1</xdr:rowOff>
    </xdr:from>
    <xdr:to>
      <xdr:col>4</xdr:col>
      <xdr:colOff>373380</xdr:colOff>
      <xdr:row>16</xdr:row>
      <xdr:rowOff>69799</xdr:rowOff>
    </xdr:to>
    <xdr:pic>
      <xdr:nvPicPr>
        <xdr:cNvPr id="2" name="1 Image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754381"/>
          <a:ext cx="3543300" cy="22643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286464</xdr:colOff>
      <xdr:row>3</xdr:row>
      <xdr:rowOff>175078</xdr:rowOff>
    </xdr:from>
    <xdr:to>
      <xdr:col>14</xdr:col>
      <xdr:colOff>378572</xdr:colOff>
      <xdr:row>19</xdr:row>
      <xdr:rowOff>41457</xdr:rowOff>
    </xdr:to>
    <xdr:pic>
      <xdr:nvPicPr>
        <xdr:cNvPr id="2" name="3 Imagen" descr="GeometrÃ­a de los muelles helicoidales">
          <a:extLst>
            <a:ext uri="{FF2B5EF4-FFF2-40B4-BE49-F238E27FC236}">
              <a16:creationId xmlns:a16="http://schemas.microsoft.com/office/drawing/2014/main" id="{9E2259D7-2B42-4945-A2B5-EC4A339F5A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15154" y="746578"/>
          <a:ext cx="2378108" cy="30983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24848</xdr:colOff>
      <xdr:row>89</xdr:row>
      <xdr:rowOff>57979</xdr:rowOff>
    </xdr:from>
    <xdr:to>
      <xdr:col>6</xdr:col>
      <xdr:colOff>283528</xdr:colOff>
      <xdr:row>119</xdr:row>
      <xdr:rowOff>99392</xdr:rowOff>
    </xdr:to>
    <xdr:pic>
      <xdr:nvPicPr>
        <xdr:cNvPr id="3" name="4 Imagen">
          <a:extLst>
            <a:ext uri="{FF2B5EF4-FFF2-40B4-BE49-F238E27FC236}">
              <a16:creationId xmlns:a16="http://schemas.microsoft.com/office/drawing/2014/main" id="{228C0A39-124C-4A34-A3F4-B388C4DA76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848" y="7897054"/>
          <a:ext cx="5298062" cy="5756413"/>
        </a:xfrm>
        <a:prstGeom prst="rect">
          <a:avLst/>
        </a:prstGeom>
      </xdr:spPr>
    </xdr:pic>
    <xdr:clientData/>
  </xdr:twoCellAnchor>
  <xdr:twoCellAnchor editAs="oneCell">
    <xdr:from>
      <xdr:col>0</xdr:col>
      <xdr:colOff>0</xdr:colOff>
      <xdr:row>118</xdr:row>
      <xdr:rowOff>143222</xdr:rowOff>
    </xdr:from>
    <xdr:to>
      <xdr:col>6</xdr:col>
      <xdr:colOff>438101</xdr:colOff>
      <xdr:row>125</xdr:row>
      <xdr:rowOff>8283</xdr:rowOff>
    </xdr:to>
    <xdr:pic>
      <xdr:nvPicPr>
        <xdr:cNvPr id="4" name="7 Imagen">
          <a:extLst>
            <a:ext uri="{FF2B5EF4-FFF2-40B4-BE49-F238E27FC236}">
              <a16:creationId xmlns:a16="http://schemas.microsoft.com/office/drawing/2014/main" id="{DC3336BA-AF51-4B5F-BDC8-97047888240E}"/>
            </a:ext>
          </a:extLst>
        </xdr:cNvPr>
        <xdr:cNvPicPr>
          <a:picLocks noChangeAspect="1"/>
        </xdr:cNvPicPr>
      </xdr:nvPicPr>
      <xdr:blipFill>
        <a:blip xmlns:r="http://schemas.openxmlformats.org/officeDocument/2006/relationships" r:embed="rId3"/>
        <a:stretch>
          <a:fillRect/>
        </a:stretch>
      </xdr:blipFill>
      <xdr:spPr>
        <a:xfrm>
          <a:off x="0" y="13506797"/>
          <a:ext cx="5478140" cy="1198561"/>
        </a:xfrm>
        <a:prstGeom prst="rect">
          <a:avLst/>
        </a:prstGeom>
      </xdr:spPr>
    </xdr:pic>
    <xdr:clientData/>
  </xdr:twoCellAnchor>
  <xdr:twoCellAnchor editAs="oneCell">
    <xdr:from>
      <xdr:col>0</xdr:col>
      <xdr:colOff>0</xdr:colOff>
      <xdr:row>137</xdr:row>
      <xdr:rowOff>102840</xdr:rowOff>
    </xdr:from>
    <xdr:to>
      <xdr:col>6</xdr:col>
      <xdr:colOff>320471</xdr:colOff>
      <xdr:row>150</xdr:row>
      <xdr:rowOff>59488</xdr:rowOff>
    </xdr:to>
    <xdr:pic>
      <xdr:nvPicPr>
        <xdr:cNvPr id="5" name="2 Imagen">
          <a:extLst>
            <a:ext uri="{FF2B5EF4-FFF2-40B4-BE49-F238E27FC236}">
              <a16:creationId xmlns:a16="http://schemas.microsoft.com/office/drawing/2014/main" id="{8F548076-DF2D-4A13-8967-E6BEB8EDF0A8}"/>
            </a:ext>
          </a:extLst>
        </xdr:cNvPr>
        <xdr:cNvPicPr>
          <a:picLocks noChangeAspect="1"/>
        </xdr:cNvPicPr>
      </xdr:nvPicPr>
      <xdr:blipFill>
        <a:blip xmlns:r="http://schemas.openxmlformats.org/officeDocument/2006/relationships" r:embed="rId4"/>
        <a:stretch>
          <a:fillRect/>
        </a:stretch>
      </xdr:blipFill>
      <xdr:spPr>
        <a:xfrm>
          <a:off x="0" y="17333565"/>
          <a:ext cx="5359853" cy="2433148"/>
        </a:xfrm>
        <a:prstGeom prst="rect">
          <a:avLst/>
        </a:prstGeom>
      </xdr:spPr>
    </xdr:pic>
    <xdr:clientData/>
  </xdr:twoCellAnchor>
  <xdr:twoCellAnchor editAs="oneCell">
    <xdr:from>
      <xdr:col>0</xdr:col>
      <xdr:colOff>0</xdr:colOff>
      <xdr:row>157</xdr:row>
      <xdr:rowOff>151087</xdr:rowOff>
    </xdr:from>
    <xdr:to>
      <xdr:col>6</xdr:col>
      <xdr:colOff>348155</xdr:colOff>
      <xdr:row>162</xdr:row>
      <xdr:rowOff>6177</xdr:rowOff>
    </xdr:to>
    <xdr:pic>
      <xdr:nvPicPr>
        <xdr:cNvPr id="6" name="6 Imagen">
          <a:extLst>
            <a:ext uri="{FF2B5EF4-FFF2-40B4-BE49-F238E27FC236}">
              <a16:creationId xmlns:a16="http://schemas.microsoft.com/office/drawing/2014/main" id="{8BE9828C-A0D8-4E89-AC3F-BF235FF02950}"/>
            </a:ext>
          </a:extLst>
        </xdr:cNvPr>
        <xdr:cNvPicPr>
          <a:picLocks noChangeAspect="1"/>
        </xdr:cNvPicPr>
      </xdr:nvPicPr>
      <xdr:blipFill>
        <a:blip xmlns:r="http://schemas.openxmlformats.org/officeDocument/2006/relationships" r:embed="rId5"/>
        <a:stretch>
          <a:fillRect/>
        </a:stretch>
      </xdr:blipFill>
      <xdr:spPr>
        <a:xfrm>
          <a:off x="0" y="21220387"/>
          <a:ext cx="5388194" cy="807590"/>
        </a:xfrm>
        <a:prstGeom prst="rect">
          <a:avLst/>
        </a:prstGeom>
      </xdr:spPr>
    </xdr:pic>
    <xdr:clientData/>
  </xdr:twoCellAnchor>
  <xdr:twoCellAnchor editAs="oneCell">
    <xdr:from>
      <xdr:col>0</xdr:col>
      <xdr:colOff>0</xdr:colOff>
      <xdr:row>169</xdr:row>
      <xdr:rowOff>95834</xdr:rowOff>
    </xdr:from>
    <xdr:to>
      <xdr:col>6</xdr:col>
      <xdr:colOff>348155</xdr:colOff>
      <xdr:row>176</xdr:row>
      <xdr:rowOff>190285</xdr:rowOff>
    </xdr:to>
    <xdr:pic>
      <xdr:nvPicPr>
        <xdr:cNvPr id="7" name="8 Imagen">
          <a:extLst>
            <a:ext uri="{FF2B5EF4-FFF2-40B4-BE49-F238E27FC236}">
              <a16:creationId xmlns:a16="http://schemas.microsoft.com/office/drawing/2014/main" id="{40DBB765-94E3-46BD-A670-475881E11B30}"/>
            </a:ext>
          </a:extLst>
        </xdr:cNvPr>
        <xdr:cNvPicPr>
          <a:picLocks noChangeAspect="1"/>
        </xdr:cNvPicPr>
      </xdr:nvPicPr>
      <xdr:blipFill>
        <a:blip xmlns:r="http://schemas.openxmlformats.org/officeDocument/2006/relationships" r:embed="rId6"/>
        <a:stretch>
          <a:fillRect/>
        </a:stretch>
      </xdr:blipFill>
      <xdr:spPr>
        <a:xfrm>
          <a:off x="0" y="23451134"/>
          <a:ext cx="5388194" cy="1427951"/>
        </a:xfrm>
        <a:prstGeom prst="rect">
          <a:avLst/>
        </a:prstGeom>
      </xdr:spPr>
    </xdr:pic>
    <xdr:clientData/>
  </xdr:twoCellAnchor>
  <xdr:twoCellAnchor editAs="oneCell">
    <xdr:from>
      <xdr:col>1</xdr:col>
      <xdr:colOff>742294</xdr:colOff>
      <xdr:row>176</xdr:row>
      <xdr:rowOff>183930</xdr:rowOff>
    </xdr:from>
    <xdr:to>
      <xdr:col>4</xdr:col>
      <xdr:colOff>398444</xdr:colOff>
      <xdr:row>182</xdr:row>
      <xdr:rowOff>12359</xdr:rowOff>
    </xdr:to>
    <xdr:pic>
      <xdr:nvPicPr>
        <xdr:cNvPr id="8" name="9 Imagen">
          <a:extLst>
            <a:ext uri="{FF2B5EF4-FFF2-40B4-BE49-F238E27FC236}">
              <a16:creationId xmlns:a16="http://schemas.microsoft.com/office/drawing/2014/main" id="{3D1EABD0-0B30-48B8-8975-7B0690E2E426}"/>
            </a:ext>
          </a:extLst>
        </xdr:cNvPr>
        <xdr:cNvPicPr>
          <a:picLocks noChangeAspect="1"/>
        </xdr:cNvPicPr>
      </xdr:nvPicPr>
      <xdr:blipFill>
        <a:blip xmlns:r="http://schemas.openxmlformats.org/officeDocument/2006/relationships" r:embed="rId7"/>
        <a:stretch>
          <a:fillRect/>
        </a:stretch>
      </xdr:blipFill>
      <xdr:spPr>
        <a:xfrm>
          <a:off x="1504294" y="24872730"/>
          <a:ext cx="2344171" cy="971429"/>
        </a:xfrm>
        <a:prstGeom prst="rect">
          <a:avLst/>
        </a:prstGeom>
      </xdr:spPr>
    </xdr:pic>
    <xdr:clientData/>
  </xdr:twoCellAnchor>
  <xdr:twoCellAnchor editAs="oneCell">
    <xdr:from>
      <xdr:col>0</xdr:col>
      <xdr:colOff>1</xdr:colOff>
      <xdr:row>200</xdr:row>
      <xdr:rowOff>1</xdr:rowOff>
    </xdr:from>
    <xdr:to>
      <xdr:col>6</xdr:col>
      <xdr:colOff>314138</xdr:colOff>
      <xdr:row>205</xdr:row>
      <xdr:rowOff>157656</xdr:rowOff>
    </xdr:to>
    <xdr:pic>
      <xdr:nvPicPr>
        <xdr:cNvPr id="9" name="13 Imagen">
          <a:extLst>
            <a:ext uri="{FF2B5EF4-FFF2-40B4-BE49-F238E27FC236}">
              <a16:creationId xmlns:a16="http://schemas.microsoft.com/office/drawing/2014/main" id="{E1D021FA-8865-44C8-89D3-3E687486082D}"/>
            </a:ext>
          </a:extLst>
        </xdr:cNvPr>
        <xdr:cNvPicPr>
          <a:picLocks noChangeAspect="1"/>
        </xdr:cNvPicPr>
      </xdr:nvPicPr>
      <xdr:blipFill>
        <a:blip xmlns:r="http://schemas.openxmlformats.org/officeDocument/2006/relationships" r:embed="rId8"/>
        <a:stretch>
          <a:fillRect/>
        </a:stretch>
      </xdr:blipFill>
      <xdr:spPr>
        <a:xfrm>
          <a:off x="1" y="29260801"/>
          <a:ext cx="5353519" cy="1110155"/>
        </a:xfrm>
        <a:prstGeom prst="rect">
          <a:avLst/>
        </a:prstGeom>
      </xdr:spPr>
    </xdr:pic>
    <xdr:clientData/>
  </xdr:twoCellAnchor>
  <xdr:twoCellAnchor editAs="oneCell">
    <xdr:from>
      <xdr:col>0</xdr:col>
      <xdr:colOff>1</xdr:colOff>
      <xdr:row>213</xdr:row>
      <xdr:rowOff>0</xdr:rowOff>
    </xdr:from>
    <xdr:to>
      <xdr:col>6</xdr:col>
      <xdr:colOff>348156</xdr:colOff>
      <xdr:row>215</xdr:row>
      <xdr:rowOff>101989</xdr:rowOff>
    </xdr:to>
    <xdr:pic>
      <xdr:nvPicPr>
        <xdr:cNvPr id="10" name="14 Imagen">
          <a:extLst>
            <a:ext uri="{FF2B5EF4-FFF2-40B4-BE49-F238E27FC236}">
              <a16:creationId xmlns:a16="http://schemas.microsoft.com/office/drawing/2014/main" id="{07CF6FE8-46E3-4F52-9888-7C5F684FC872}"/>
            </a:ext>
          </a:extLst>
        </xdr:cNvPr>
        <xdr:cNvPicPr>
          <a:picLocks noChangeAspect="1"/>
        </xdr:cNvPicPr>
      </xdr:nvPicPr>
      <xdr:blipFill>
        <a:blip xmlns:r="http://schemas.openxmlformats.org/officeDocument/2006/relationships" r:embed="rId9"/>
        <a:stretch>
          <a:fillRect/>
        </a:stretch>
      </xdr:blipFill>
      <xdr:spPr>
        <a:xfrm>
          <a:off x="1" y="31737300"/>
          <a:ext cx="5388194" cy="482989"/>
        </a:xfrm>
        <a:prstGeom prst="rect">
          <a:avLst/>
        </a:prstGeom>
      </xdr:spPr>
    </xdr:pic>
    <xdr:clientData/>
  </xdr:twoCellAnchor>
  <xdr:twoCellAnchor editAs="oneCell">
    <xdr:from>
      <xdr:col>0</xdr:col>
      <xdr:colOff>1</xdr:colOff>
      <xdr:row>221</xdr:row>
      <xdr:rowOff>1</xdr:rowOff>
    </xdr:from>
    <xdr:to>
      <xdr:col>6</xdr:col>
      <xdr:colOff>321880</xdr:colOff>
      <xdr:row>232</xdr:row>
      <xdr:rowOff>146655</xdr:rowOff>
    </xdr:to>
    <xdr:pic>
      <xdr:nvPicPr>
        <xdr:cNvPr id="11" name="16 Imagen">
          <a:extLst>
            <a:ext uri="{FF2B5EF4-FFF2-40B4-BE49-F238E27FC236}">
              <a16:creationId xmlns:a16="http://schemas.microsoft.com/office/drawing/2014/main" id="{5B9AB2CB-AE62-4781-9E51-2667464F9EE8}"/>
            </a:ext>
          </a:extLst>
        </xdr:cNvPr>
        <xdr:cNvPicPr>
          <a:picLocks noChangeAspect="1"/>
        </xdr:cNvPicPr>
      </xdr:nvPicPr>
      <xdr:blipFill>
        <a:blip xmlns:r="http://schemas.openxmlformats.org/officeDocument/2006/relationships" r:embed="rId10"/>
        <a:stretch>
          <a:fillRect/>
        </a:stretch>
      </xdr:blipFill>
      <xdr:spPr>
        <a:xfrm>
          <a:off x="1" y="33261301"/>
          <a:ext cx="5361261" cy="2242154"/>
        </a:xfrm>
        <a:prstGeom prst="rect">
          <a:avLst/>
        </a:prstGeom>
      </xdr:spPr>
    </xdr:pic>
    <xdr:clientData/>
  </xdr:twoCellAnchor>
  <xdr:twoCellAnchor editAs="oneCell">
    <xdr:from>
      <xdr:col>0</xdr:col>
      <xdr:colOff>0</xdr:colOff>
      <xdr:row>238</xdr:row>
      <xdr:rowOff>111673</xdr:rowOff>
    </xdr:from>
    <xdr:to>
      <xdr:col>6</xdr:col>
      <xdr:colOff>328448</xdr:colOff>
      <xdr:row>242</xdr:row>
      <xdr:rowOff>104888</xdr:rowOff>
    </xdr:to>
    <xdr:pic>
      <xdr:nvPicPr>
        <xdr:cNvPr id="12" name="18 Imagen">
          <a:extLst>
            <a:ext uri="{FF2B5EF4-FFF2-40B4-BE49-F238E27FC236}">
              <a16:creationId xmlns:a16="http://schemas.microsoft.com/office/drawing/2014/main" id="{437C941D-959E-4A3A-8CF2-6575629FCD2C}"/>
            </a:ext>
          </a:extLst>
        </xdr:cNvPr>
        <xdr:cNvPicPr>
          <a:picLocks noChangeAspect="1"/>
        </xdr:cNvPicPr>
      </xdr:nvPicPr>
      <xdr:blipFill>
        <a:blip xmlns:r="http://schemas.openxmlformats.org/officeDocument/2006/relationships" r:embed="rId11"/>
        <a:stretch>
          <a:fillRect/>
        </a:stretch>
      </xdr:blipFill>
      <xdr:spPr>
        <a:xfrm>
          <a:off x="0" y="36668623"/>
          <a:ext cx="5367830" cy="755215"/>
        </a:xfrm>
        <a:prstGeom prst="rect">
          <a:avLst/>
        </a:prstGeom>
      </xdr:spPr>
    </xdr:pic>
    <xdr:clientData/>
  </xdr:twoCellAnchor>
  <xdr:twoCellAnchor editAs="oneCell">
    <xdr:from>
      <xdr:col>0</xdr:col>
      <xdr:colOff>1</xdr:colOff>
      <xdr:row>248</xdr:row>
      <xdr:rowOff>0</xdr:rowOff>
    </xdr:from>
    <xdr:to>
      <xdr:col>6</xdr:col>
      <xdr:colOff>295604</xdr:colOff>
      <xdr:row>259</xdr:row>
      <xdr:rowOff>166688</xdr:rowOff>
    </xdr:to>
    <xdr:pic>
      <xdr:nvPicPr>
        <xdr:cNvPr id="13" name="20 Imagen">
          <a:extLst>
            <a:ext uri="{FF2B5EF4-FFF2-40B4-BE49-F238E27FC236}">
              <a16:creationId xmlns:a16="http://schemas.microsoft.com/office/drawing/2014/main" id="{148D1C88-3FA2-42DD-BF3B-9FF861AE4253}"/>
            </a:ext>
          </a:extLst>
        </xdr:cNvPr>
        <xdr:cNvPicPr>
          <a:picLocks noChangeAspect="1"/>
        </xdr:cNvPicPr>
      </xdr:nvPicPr>
      <xdr:blipFill>
        <a:blip xmlns:r="http://schemas.openxmlformats.org/officeDocument/2006/relationships" r:embed="rId12"/>
        <a:stretch>
          <a:fillRect/>
        </a:stretch>
      </xdr:blipFill>
      <xdr:spPr>
        <a:xfrm>
          <a:off x="1" y="38461950"/>
          <a:ext cx="5334985" cy="2262188"/>
        </a:xfrm>
        <a:prstGeom prst="rect">
          <a:avLst/>
        </a:prstGeom>
      </xdr:spPr>
    </xdr:pic>
    <xdr:clientData/>
  </xdr:twoCellAnchor>
  <xdr:twoCellAnchor editAs="oneCell">
    <xdr:from>
      <xdr:col>0</xdr:col>
      <xdr:colOff>1</xdr:colOff>
      <xdr:row>271</xdr:row>
      <xdr:rowOff>0</xdr:rowOff>
    </xdr:from>
    <xdr:to>
      <xdr:col>6</xdr:col>
      <xdr:colOff>374930</xdr:colOff>
      <xdr:row>279</xdr:row>
      <xdr:rowOff>131379</xdr:rowOff>
    </xdr:to>
    <xdr:pic>
      <xdr:nvPicPr>
        <xdr:cNvPr id="14" name="22 Imagen">
          <a:extLst>
            <a:ext uri="{FF2B5EF4-FFF2-40B4-BE49-F238E27FC236}">
              <a16:creationId xmlns:a16="http://schemas.microsoft.com/office/drawing/2014/main" id="{79265AA9-0B21-4A79-BDBC-BB5BC31CF07D}"/>
            </a:ext>
          </a:extLst>
        </xdr:cNvPr>
        <xdr:cNvPicPr>
          <a:picLocks noChangeAspect="1"/>
        </xdr:cNvPicPr>
      </xdr:nvPicPr>
      <xdr:blipFill>
        <a:blip xmlns:r="http://schemas.openxmlformats.org/officeDocument/2006/relationships" r:embed="rId13"/>
        <a:stretch>
          <a:fillRect/>
        </a:stretch>
      </xdr:blipFill>
      <xdr:spPr>
        <a:xfrm>
          <a:off x="1" y="42843450"/>
          <a:ext cx="5414968" cy="1655379"/>
        </a:xfrm>
        <a:prstGeom prst="rect">
          <a:avLst/>
        </a:prstGeom>
      </xdr:spPr>
    </xdr:pic>
    <xdr:clientData/>
  </xdr:twoCellAnchor>
  <xdr:twoCellAnchor editAs="oneCell">
    <xdr:from>
      <xdr:col>0</xdr:col>
      <xdr:colOff>0</xdr:colOff>
      <xdr:row>325</xdr:row>
      <xdr:rowOff>1932</xdr:rowOff>
    </xdr:from>
    <xdr:to>
      <xdr:col>6</xdr:col>
      <xdr:colOff>328447</xdr:colOff>
      <xdr:row>341</xdr:row>
      <xdr:rowOff>122697</xdr:rowOff>
    </xdr:to>
    <xdr:pic>
      <xdr:nvPicPr>
        <xdr:cNvPr id="15" name="28 Imagen">
          <a:extLst>
            <a:ext uri="{FF2B5EF4-FFF2-40B4-BE49-F238E27FC236}">
              <a16:creationId xmlns:a16="http://schemas.microsoft.com/office/drawing/2014/main" id="{8E756F27-E2BB-4087-BD71-6D5B449C1CCE}"/>
            </a:ext>
          </a:extLst>
        </xdr:cNvPr>
        <xdr:cNvPicPr>
          <a:picLocks noChangeAspect="1"/>
        </xdr:cNvPicPr>
      </xdr:nvPicPr>
      <xdr:blipFill>
        <a:blip xmlns:r="http://schemas.openxmlformats.org/officeDocument/2006/relationships" r:embed="rId14"/>
        <a:stretch>
          <a:fillRect/>
        </a:stretch>
      </xdr:blipFill>
      <xdr:spPr>
        <a:xfrm>
          <a:off x="0" y="53208582"/>
          <a:ext cx="5367829" cy="3168765"/>
        </a:xfrm>
        <a:prstGeom prst="rect">
          <a:avLst/>
        </a:prstGeom>
      </xdr:spPr>
    </xdr:pic>
    <xdr:clientData/>
  </xdr:twoCellAnchor>
  <xdr:twoCellAnchor editAs="oneCell">
    <xdr:from>
      <xdr:col>0</xdr:col>
      <xdr:colOff>1</xdr:colOff>
      <xdr:row>342</xdr:row>
      <xdr:rowOff>0</xdr:rowOff>
    </xdr:from>
    <xdr:to>
      <xdr:col>4</xdr:col>
      <xdr:colOff>282465</xdr:colOff>
      <xdr:row>342</xdr:row>
      <xdr:rowOff>183227</xdr:rowOff>
    </xdr:to>
    <xdr:pic>
      <xdr:nvPicPr>
        <xdr:cNvPr id="16" name="29 Imagen">
          <a:extLst>
            <a:ext uri="{FF2B5EF4-FFF2-40B4-BE49-F238E27FC236}">
              <a16:creationId xmlns:a16="http://schemas.microsoft.com/office/drawing/2014/main" id="{A26FCC23-9358-4A93-BC50-70899A511F41}"/>
            </a:ext>
          </a:extLst>
        </xdr:cNvPr>
        <xdr:cNvPicPr>
          <a:picLocks noChangeAspect="1"/>
        </xdr:cNvPicPr>
      </xdr:nvPicPr>
      <xdr:blipFill>
        <a:blip xmlns:r="http://schemas.openxmlformats.org/officeDocument/2006/relationships" r:embed="rId15"/>
        <a:stretch>
          <a:fillRect/>
        </a:stretch>
      </xdr:blipFill>
      <xdr:spPr>
        <a:xfrm>
          <a:off x="1" y="56445150"/>
          <a:ext cx="3732485" cy="183227"/>
        </a:xfrm>
        <a:prstGeom prst="rect">
          <a:avLst/>
        </a:prstGeom>
      </xdr:spPr>
    </xdr:pic>
    <xdr:clientData/>
  </xdr:twoCellAnchor>
  <xdr:twoCellAnchor editAs="oneCell">
    <xdr:from>
      <xdr:col>0</xdr:col>
      <xdr:colOff>1</xdr:colOff>
      <xdr:row>344</xdr:row>
      <xdr:rowOff>0</xdr:rowOff>
    </xdr:from>
    <xdr:to>
      <xdr:col>1</xdr:col>
      <xdr:colOff>624052</xdr:colOff>
      <xdr:row>345</xdr:row>
      <xdr:rowOff>57619</xdr:rowOff>
    </xdr:to>
    <xdr:pic>
      <xdr:nvPicPr>
        <xdr:cNvPr id="17" name="31 Imagen">
          <a:extLst>
            <a:ext uri="{FF2B5EF4-FFF2-40B4-BE49-F238E27FC236}">
              <a16:creationId xmlns:a16="http://schemas.microsoft.com/office/drawing/2014/main" id="{BBBD4AB9-AD51-4639-B35C-4C11BE08D64B}"/>
            </a:ext>
          </a:extLst>
        </xdr:cNvPr>
        <xdr:cNvPicPr>
          <a:picLocks noChangeAspect="1"/>
        </xdr:cNvPicPr>
      </xdr:nvPicPr>
      <xdr:blipFill>
        <a:blip xmlns:r="http://schemas.openxmlformats.org/officeDocument/2006/relationships" r:embed="rId16"/>
        <a:stretch>
          <a:fillRect/>
        </a:stretch>
      </xdr:blipFill>
      <xdr:spPr>
        <a:xfrm>
          <a:off x="1" y="56826150"/>
          <a:ext cx="1386051" cy="248119"/>
        </a:xfrm>
        <a:prstGeom prst="rect">
          <a:avLst/>
        </a:prstGeom>
      </xdr:spPr>
    </xdr:pic>
    <xdr:clientData/>
  </xdr:twoCellAnchor>
  <xdr:twoCellAnchor editAs="oneCell">
    <xdr:from>
      <xdr:col>0</xdr:col>
      <xdr:colOff>0</xdr:colOff>
      <xdr:row>346</xdr:row>
      <xdr:rowOff>13138</xdr:rowOff>
    </xdr:from>
    <xdr:to>
      <xdr:col>2</xdr:col>
      <xdr:colOff>919655</xdr:colOff>
      <xdr:row>347</xdr:row>
      <xdr:rowOff>31067</xdr:rowOff>
    </xdr:to>
    <xdr:pic>
      <xdr:nvPicPr>
        <xdr:cNvPr id="18" name="32 Imagen">
          <a:extLst>
            <a:ext uri="{FF2B5EF4-FFF2-40B4-BE49-F238E27FC236}">
              <a16:creationId xmlns:a16="http://schemas.microsoft.com/office/drawing/2014/main" id="{EEDA4179-246A-4AC4-8A1F-096A52965232}"/>
            </a:ext>
          </a:extLst>
        </xdr:cNvPr>
        <xdr:cNvPicPr>
          <a:picLocks noChangeAspect="1"/>
        </xdr:cNvPicPr>
      </xdr:nvPicPr>
      <xdr:blipFill>
        <a:blip xmlns:r="http://schemas.openxmlformats.org/officeDocument/2006/relationships" r:embed="rId17"/>
        <a:stretch>
          <a:fillRect/>
        </a:stretch>
      </xdr:blipFill>
      <xdr:spPr>
        <a:xfrm>
          <a:off x="0" y="57220288"/>
          <a:ext cx="2444969" cy="208429"/>
        </a:xfrm>
        <a:prstGeom prst="rect">
          <a:avLst/>
        </a:prstGeom>
      </xdr:spPr>
    </xdr:pic>
    <xdr:clientData/>
  </xdr:twoCellAnchor>
  <xdr:twoCellAnchor editAs="oneCell">
    <xdr:from>
      <xdr:col>0</xdr:col>
      <xdr:colOff>643759</xdr:colOff>
      <xdr:row>349</xdr:row>
      <xdr:rowOff>4259</xdr:rowOff>
    </xdr:from>
    <xdr:to>
      <xdr:col>1</xdr:col>
      <xdr:colOff>748862</xdr:colOff>
      <xdr:row>350</xdr:row>
      <xdr:rowOff>36093</xdr:rowOff>
    </xdr:to>
    <xdr:pic>
      <xdr:nvPicPr>
        <xdr:cNvPr id="19" name="33 Imagen">
          <a:extLst>
            <a:ext uri="{FF2B5EF4-FFF2-40B4-BE49-F238E27FC236}">
              <a16:creationId xmlns:a16="http://schemas.microsoft.com/office/drawing/2014/main" id="{500D5A00-57EB-46B9-A780-8A5D959904C8}"/>
            </a:ext>
          </a:extLst>
        </xdr:cNvPr>
        <xdr:cNvPicPr>
          <a:picLocks noChangeAspect="1"/>
        </xdr:cNvPicPr>
      </xdr:nvPicPr>
      <xdr:blipFill>
        <a:blip xmlns:r="http://schemas.openxmlformats.org/officeDocument/2006/relationships" r:embed="rId18"/>
        <a:stretch>
          <a:fillRect/>
        </a:stretch>
      </xdr:blipFill>
      <xdr:spPr>
        <a:xfrm>
          <a:off x="643759" y="57782909"/>
          <a:ext cx="867103" cy="222334"/>
        </a:xfrm>
        <a:prstGeom prst="rect">
          <a:avLst/>
        </a:prstGeom>
      </xdr:spPr>
    </xdr:pic>
    <xdr:clientData/>
  </xdr:twoCellAnchor>
  <xdr:twoCellAnchor editAs="oneCell">
    <xdr:from>
      <xdr:col>0</xdr:col>
      <xdr:colOff>0</xdr:colOff>
      <xdr:row>279</xdr:row>
      <xdr:rowOff>185547</xdr:rowOff>
    </xdr:from>
    <xdr:to>
      <xdr:col>5</xdr:col>
      <xdr:colOff>367862</xdr:colOff>
      <xdr:row>286</xdr:row>
      <xdr:rowOff>118663</xdr:rowOff>
    </xdr:to>
    <xdr:pic>
      <xdr:nvPicPr>
        <xdr:cNvPr id="20" name="1 Imagen">
          <a:extLst>
            <a:ext uri="{FF2B5EF4-FFF2-40B4-BE49-F238E27FC236}">
              <a16:creationId xmlns:a16="http://schemas.microsoft.com/office/drawing/2014/main" id="{D066D465-4C3B-458D-8444-C94D4D28F14D}"/>
            </a:ext>
          </a:extLst>
        </xdr:cNvPr>
        <xdr:cNvPicPr>
          <a:picLocks noChangeAspect="1"/>
        </xdr:cNvPicPr>
      </xdr:nvPicPr>
      <xdr:blipFill>
        <a:blip xmlns:r="http://schemas.openxmlformats.org/officeDocument/2006/relationships" r:embed="rId19"/>
        <a:stretch>
          <a:fillRect/>
        </a:stretch>
      </xdr:blipFill>
      <xdr:spPr>
        <a:xfrm>
          <a:off x="0" y="44552997"/>
          <a:ext cx="4645244" cy="1266616"/>
        </a:xfrm>
        <a:prstGeom prst="rect">
          <a:avLst/>
        </a:prstGeom>
      </xdr:spPr>
    </xdr:pic>
    <xdr:clientData/>
  </xdr:twoCellAnchor>
  <xdr:twoCellAnchor editAs="oneCell">
    <xdr:from>
      <xdr:col>0</xdr:col>
      <xdr:colOff>0</xdr:colOff>
      <xdr:row>289</xdr:row>
      <xdr:rowOff>120937</xdr:rowOff>
    </xdr:from>
    <xdr:to>
      <xdr:col>6</xdr:col>
      <xdr:colOff>394137</xdr:colOff>
      <xdr:row>298</xdr:row>
      <xdr:rowOff>36197</xdr:rowOff>
    </xdr:to>
    <xdr:pic>
      <xdr:nvPicPr>
        <xdr:cNvPr id="21" name="5 Imagen">
          <a:extLst>
            <a:ext uri="{FF2B5EF4-FFF2-40B4-BE49-F238E27FC236}">
              <a16:creationId xmlns:a16="http://schemas.microsoft.com/office/drawing/2014/main" id="{4B22AC73-324F-4886-B4C9-0E177EDBBCED}"/>
            </a:ext>
          </a:extLst>
        </xdr:cNvPr>
        <xdr:cNvPicPr>
          <a:picLocks noChangeAspect="1"/>
        </xdr:cNvPicPr>
      </xdr:nvPicPr>
      <xdr:blipFill>
        <a:blip xmlns:r="http://schemas.openxmlformats.org/officeDocument/2006/relationships" r:embed="rId20"/>
        <a:stretch>
          <a:fillRect/>
        </a:stretch>
      </xdr:blipFill>
      <xdr:spPr>
        <a:xfrm>
          <a:off x="0" y="46412437"/>
          <a:ext cx="5434176" cy="1629760"/>
        </a:xfrm>
        <a:prstGeom prst="rect">
          <a:avLst/>
        </a:prstGeom>
      </xdr:spPr>
    </xdr:pic>
    <xdr:clientData/>
  </xdr:twoCellAnchor>
  <xdr:twoCellAnchor editAs="oneCell">
    <xdr:from>
      <xdr:col>0</xdr:col>
      <xdr:colOff>6569</xdr:colOff>
      <xdr:row>298</xdr:row>
      <xdr:rowOff>36866</xdr:rowOff>
    </xdr:from>
    <xdr:to>
      <xdr:col>6</xdr:col>
      <xdr:colOff>426982</xdr:colOff>
      <xdr:row>302</xdr:row>
      <xdr:rowOff>19588</xdr:rowOff>
    </xdr:to>
    <xdr:pic>
      <xdr:nvPicPr>
        <xdr:cNvPr id="22" name="10 Imagen">
          <a:extLst>
            <a:ext uri="{FF2B5EF4-FFF2-40B4-BE49-F238E27FC236}">
              <a16:creationId xmlns:a16="http://schemas.microsoft.com/office/drawing/2014/main" id="{78704478-0998-4777-8F00-0E05B8BAD7CE}"/>
            </a:ext>
          </a:extLst>
        </xdr:cNvPr>
        <xdr:cNvPicPr>
          <a:picLocks noChangeAspect="1"/>
        </xdr:cNvPicPr>
      </xdr:nvPicPr>
      <xdr:blipFill>
        <a:blip xmlns:r="http://schemas.openxmlformats.org/officeDocument/2006/relationships" r:embed="rId21"/>
        <a:stretch>
          <a:fillRect/>
        </a:stretch>
      </xdr:blipFill>
      <xdr:spPr>
        <a:xfrm>
          <a:off x="6569" y="48042866"/>
          <a:ext cx="5460452" cy="744722"/>
        </a:xfrm>
        <a:prstGeom prst="rect">
          <a:avLst/>
        </a:prstGeom>
      </xdr:spPr>
    </xdr:pic>
    <xdr:clientData/>
  </xdr:twoCellAnchor>
  <xdr:twoCellAnchor editAs="oneCell">
    <xdr:from>
      <xdr:col>0</xdr:col>
      <xdr:colOff>0</xdr:colOff>
      <xdr:row>304</xdr:row>
      <xdr:rowOff>127832</xdr:rowOff>
    </xdr:from>
    <xdr:to>
      <xdr:col>6</xdr:col>
      <xdr:colOff>236482</xdr:colOff>
      <xdr:row>306</xdr:row>
      <xdr:rowOff>83371</xdr:rowOff>
    </xdr:to>
    <xdr:pic>
      <xdr:nvPicPr>
        <xdr:cNvPr id="23" name="11 Imagen">
          <a:extLst>
            <a:ext uri="{FF2B5EF4-FFF2-40B4-BE49-F238E27FC236}">
              <a16:creationId xmlns:a16="http://schemas.microsoft.com/office/drawing/2014/main" id="{19D05265-FAB3-4EC9-BCFD-FA0C4EDCA8AF}"/>
            </a:ext>
          </a:extLst>
        </xdr:cNvPr>
        <xdr:cNvPicPr>
          <a:picLocks noChangeAspect="1"/>
        </xdr:cNvPicPr>
      </xdr:nvPicPr>
      <xdr:blipFill>
        <a:blip xmlns:r="http://schemas.openxmlformats.org/officeDocument/2006/relationships" r:embed="rId22"/>
        <a:stretch>
          <a:fillRect/>
        </a:stretch>
      </xdr:blipFill>
      <xdr:spPr>
        <a:xfrm>
          <a:off x="0" y="49295882"/>
          <a:ext cx="5275864" cy="336539"/>
        </a:xfrm>
        <a:prstGeom prst="rect">
          <a:avLst/>
        </a:prstGeom>
      </xdr:spPr>
    </xdr:pic>
    <xdr:clientData/>
  </xdr:twoCellAnchor>
  <xdr:twoCellAnchor editAs="oneCell">
    <xdr:from>
      <xdr:col>0</xdr:col>
      <xdr:colOff>1</xdr:colOff>
      <xdr:row>309</xdr:row>
      <xdr:rowOff>165601</xdr:rowOff>
    </xdr:from>
    <xdr:to>
      <xdr:col>6</xdr:col>
      <xdr:colOff>321880</xdr:colOff>
      <xdr:row>312</xdr:row>
      <xdr:rowOff>161833</xdr:rowOff>
    </xdr:to>
    <xdr:pic>
      <xdr:nvPicPr>
        <xdr:cNvPr id="24" name="12 Imagen">
          <a:extLst>
            <a:ext uri="{FF2B5EF4-FFF2-40B4-BE49-F238E27FC236}">
              <a16:creationId xmlns:a16="http://schemas.microsoft.com/office/drawing/2014/main" id="{8B505F67-5C04-4E4F-AC1A-8C7DB087B032}"/>
            </a:ext>
          </a:extLst>
        </xdr:cNvPr>
        <xdr:cNvPicPr>
          <a:picLocks noChangeAspect="1"/>
        </xdr:cNvPicPr>
      </xdr:nvPicPr>
      <xdr:blipFill>
        <a:blip xmlns:r="http://schemas.openxmlformats.org/officeDocument/2006/relationships" r:embed="rId23"/>
        <a:stretch>
          <a:fillRect/>
        </a:stretch>
      </xdr:blipFill>
      <xdr:spPr>
        <a:xfrm>
          <a:off x="1" y="50305201"/>
          <a:ext cx="5361261" cy="567732"/>
        </a:xfrm>
        <a:prstGeom prst="rect">
          <a:avLst/>
        </a:prstGeom>
      </xdr:spPr>
    </xdr:pic>
    <xdr:clientData/>
  </xdr:twoCellAnchor>
  <xdr:twoCellAnchor editAs="oneCell">
    <xdr:from>
      <xdr:col>2</xdr:col>
      <xdr:colOff>617483</xdr:colOff>
      <xdr:row>313</xdr:row>
      <xdr:rowOff>6569</xdr:rowOff>
    </xdr:from>
    <xdr:to>
      <xdr:col>3</xdr:col>
      <xdr:colOff>486104</xdr:colOff>
      <xdr:row>316</xdr:row>
      <xdr:rowOff>51001</xdr:rowOff>
    </xdr:to>
    <xdr:pic>
      <xdr:nvPicPr>
        <xdr:cNvPr id="25" name="15 Imagen">
          <a:extLst>
            <a:ext uri="{FF2B5EF4-FFF2-40B4-BE49-F238E27FC236}">
              <a16:creationId xmlns:a16="http://schemas.microsoft.com/office/drawing/2014/main" id="{3AE062D4-B109-4575-88B1-10CA7CC7A3B7}"/>
            </a:ext>
          </a:extLst>
        </xdr:cNvPr>
        <xdr:cNvPicPr>
          <a:picLocks noChangeAspect="1"/>
        </xdr:cNvPicPr>
      </xdr:nvPicPr>
      <xdr:blipFill>
        <a:blip xmlns:r="http://schemas.openxmlformats.org/officeDocument/2006/relationships" r:embed="rId24"/>
        <a:stretch>
          <a:fillRect/>
        </a:stretch>
      </xdr:blipFill>
      <xdr:spPr>
        <a:xfrm>
          <a:off x="2141483" y="50908169"/>
          <a:ext cx="1032642" cy="6159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19707</xdr:colOff>
      <xdr:row>19</xdr:row>
      <xdr:rowOff>78259</xdr:rowOff>
    </xdr:from>
    <xdr:to>
      <xdr:col>6</xdr:col>
      <xdr:colOff>600733</xdr:colOff>
      <xdr:row>20</xdr:row>
      <xdr:rowOff>161833</xdr:rowOff>
    </xdr:to>
    <xdr:pic>
      <xdr:nvPicPr>
        <xdr:cNvPr id="26" name="Imagen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1"/>
        <a:stretch>
          <a:fillRect/>
        </a:stretch>
      </xdr:blipFill>
      <xdr:spPr>
        <a:xfrm>
          <a:off x="19707" y="2364259"/>
          <a:ext cx="5303087" cy="274074"/>
        </a:xfrm>
        <a:prstGeom prst="rect">
          <a:avLst/>
        </a:prstGeom>
      </xdr:spPr>
    </xdr:pic>
    <xdr:clientData/>
  </xdr:twoCellAnchor>
  <xdr:twoCellAnchor editAs="oneCell">
    <xdr:from>
      <xdr:col>2</xdr:col>
      <xdr:colOff>114300</xdr:colOff>
      <xdr:row>21</xdr:row>
      <xdr:rowOff>167958</xdr:rowOff>
    </xdr:from>
    <xdr:to>
      <xdr:col>4</xdr:col>
      <xdr:colOff>21771</xdr:colOff>
      <xdr:row>23</xdr:row>
      <xdr:rowOff>54365</xdr:rowOff>
    </xdr:to>
    <xdr:pic>
      <xdr:nvPicPr>
        <xdr:cNvPr id="27" name="Imagen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2"/>
        <a:stretch>
          <a:fillRect/>
        </a:stretch>
      </xdr:blipFill>
      <xdr:spPr>
        <a:xfrm>
          <a:off x="1638300" y="2834958"/>
          <a:ext cx="1583871" cy="267407"/>
        </a:xfrm>
        <a:prstGeom prst="rect">
          <a:avLst/>
        </a:prstGeom>
      </xdr:spPr>
    </xdr:pic>
    <xdr:clientData/>
  </xdr:twoCellAnchor>
  <xdr:twoCellAnchor editAs="oneCell">
    <xdr:from>
      <xdr:col>0</xdr:col>
      <xdr:colOff>1</xdr:colOff>
      <xdr:row>10</xdr:row>
      <xdr:rowOff>11195</xdr:rowOff>
    </xdr:from>
    <xdr:to>
      <xdr:col>6</xdr:col>
      <xdr:colOff>637762</xdr:colOff>
      <xdr:row>18</xdr:row>
      <xdr:rowOff>87673</xdr:rowOff>
    </xdr:to>
    <xdr:pic>
      <xdr:nvPicPr>
        <xdr:cNvPr id="28" name="Imagen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3"/>
        <a:stretch>
          <a:fillRect/>
        </a:stretch>
      </xdr:blipFill>
      <xdr:spPr>
        <a:xfrm>
          <a:off x="1" y="1725695"/>
          <a:ext cx="5358848" cy="1600478"/>
        </a:xfrm>
        <a:prstGeom prst="rect">
          <a:avLst/>
        </a:prstGeom>
      </xdr:spPr>
    </xdr:pic>
    <xdr:clientData/>
  </xdr:twoCellAnchor>
  <xdr:twoCellAnchor editAs="oneCell">
    <xdr:from>
      <xdr:col>0</xdr:col>
      <xdr:colOff>41413</xdr:colOff>
      <xdr:row>23</xdr:row>
      <xdr:rowOff>173934</xdr:rowOff>
    </xdr:from>
    <xdr:to>
      <xdr:col>5</xdr:col>
      <xdr:colOff>165306</xdr:colOff>
      <xdr:row>28</xdr:row>
      <xdr:rowOff>149087</xdr:rowOff>
    </xdr:to>
    <xdr:pic>
      <xdr:nvPicPr>
        <xdr:cNvPr id="29" name="Imagen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4"/>
        <a:stretch>
          <a:fillRect/>
        </a:stretch>
      </xdr:blipFill>
      <xdr:spPr>
        <a:xfrm>
          <a:off x="41413" y="4364934"/>
          <a:ext cx="4082980" cy="927653"/>
        </a:xfrm>
        <a:prstGeom prst="rect">
          <a:avLst/>
        </a:prstGeom>
      </xdr:spPr>
    </xdr:pic>
    <xdr:clientData/>
  </xdr:twoCellAnchor>
  <xdr:twoCellAnchor editAs="oneCell">
    <xdr:from>
      <xdr:col>0</xdr:col>
      <xdr:colOff>472109</xdr:colOff>
      <xdr:row>29</xdr:row>
      <xdr:rowOff>8283</xdr:rowOff>
    </xdr:from>
    <xdr:to>
      <xdr:col>5</xdr:col>
      <xdr:colOff>123823</xdr:colOff>
      <xdr:row>36</xdr:row>
      <xdr:rowOff>62944</xdr:rowOff>
    </xdr:to>
    <xdr:pic>
      <xdr:nvPicPr>
        <xdr:cNvPr id="30" name="Imagen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5"/>
        <a:stretch>
          <a:fillRect/>
        </a:stretch>
      </xdr:blipFill>
      <xdr:spPr>
        <a:xfrm>
          <a:off x="472109" y="5342283"/>
          <a:ext cx="3610801" cy="1388161"/>
        </a:xfrm>
        <a:prstGeom prst="rect">
          <a:avLst/>
        </a:prstGeom>
      </xdr:spPr>
    </xdr:pic>
    <xdr:clientData/>
  </xdr:twoCellAnchor>
  <xdr:twoCellAnchor editAs="oneCell">
    <xdr:from>
      <xdr:col>0</xdr:col>
      <xdr:colOff>0</xdr:colOff>
      <xdr:row>45</xdr:row>
      <xdr:rowOff>60413</xdr:rowOff>
    </xdr:from>
    <xdr:to>
      <xdr:col>6</xdr:col>
      <xdr:colOff>198783</xdr:colOff>
      <xdr:row>46</xdr:row>
      <xdr:rowOff>30095</xdr:rowOff>
    </xdr:to>
    <xdr:pic>
      <xdr:nvPicPr>
        <xdr:cNvPr id="31" name="Imagen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6"/>
        <a:stretch>
          <a:fillRect/>
        </a:stretch>
      </xdr:blipFill>
      <xdr:spPr>
        <a:xfrm>
          <a:off x="0" y="8483826"/>
          <a:ext cx="4919870" cy="160182"/>
        </a:xfrm>
        <a:prstGeom prst="rect">
          <a:avLst/>
        </a:prstGeom>
      </xdr:spPr>
    </xdr:pic>
    <xdr:clientData/>
  </xdr:twoCellAnchor>
  <xdr:twoCellAnchor editAs="oneCell">
    <xdr:from>
      <xdr:col>0</xdr:col>
      <xdr:colOff>0</xdr:colOff>
      <xdr:row>51</xdr:row>
      <xdr:rowOff>62578</xdr:rowOff>
    </xdr:from>
    <xdr:to>
      <xdr:col>6</xdr:col>
      <xdr:colOff>720587</xdr:colOff>
      <xdr:row>52</xdr:row>
      <xdr:rowOff>23559</xdr:rowOff>
    </xdr:to>
    <xdr:pic>
      <xdr:nvPicPr>
        <xdr:cNvPr id="32" name="Imagen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7"/>
        <a:stretch>
          <a:fillRect/>
        </a:stretch>
      </xdr:blipFill>
      <xdr:spPr>
        <a:xfrm>
          <a:off x="0" y="9645556"/>
          <a:ext cx="5441674" cy="151481"/>
        </a:xfrm>
        <a:prstGeom prst="rect">
          <a:avLst/>
        </a:prstGeom>
      </xdr:spPr>
    </xdr:pic>
    <xdr:clientData/>
  </xdr:twoCellAnchor>
  <xdr:twoCellAnchor editAs="oneCell">
    <xdr:from>
      <xdr:col>0</xdr:col>
      <xdr:colOff>0</xdr:colOff>
      <xdr:row>52</xdr:row>
      <xdr:rowOff>186092</xdr:rowOff>
    </xdr:from>
    <xdr:to>
      <xdr:col>0</xdr:col>
      <xdr:colOff>695739</xdr:colOff>
      <xdr:row>53</xdr:row>
      <xdr:rowOff>137033</xdr:rowOff>
    </xdr:to>
    <xdr:pic>
      <xdr:nvPicPr>
        <xdr:cNvPr id="33" name="Imagen 32">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8"/>
        <a:stretch>
          <a:fillRect/>
        </a:stretch>
      </xdr:blipFill>
      <xdr:spPr>
        <a:xfrm>
          <a:off x="0" y="9959570"/>
          <a:ext cx="695739" cy="141441"/>
        </a:xfrm>
        <a:prstGeom prst="rect">
          <a:avLst/>
        </a:prstGeom>
      </xdr:spPr>
    </xdr:pic>
    <xdr:clientData/>
  </xdr:twoCellAnchor>
  <xdr:twoCellAnchor editAs="oneCell">
    <xdr:from>
      <xdr:col>0</xdr:col>
      <xdr:colOff>0</xdr:colOff>
      <xdr:row>65</xdr:row>
      <xdr:rowOff>140805</xdr:rowOff>
    </xdr:from>
    <xdr:to>
      <xdr:col>6</xdr:col>
      <xdr:colOff>198783</xdr:colOff>
      <xdr:row>66</xdr:row>
      <xdr:rowOff>110487</xdr:rowOff>
    </xdr:to>
    <xdr:pic>
      <xdr:nvPicPr>
        <xdr:cNvPr id="5" name="Imagen 4">
          <a:extLst>
            <a:ext uri="{FF2B5EF4-FFF2-40B4-BE49-F238E27FC236}">
              <a16:creationId xmlns:a16="http://schemas.microsoft.com/office/drawing/2014/main" id="{617E336D-6626-4A48-B86E-1C4A105A45DE}"/>
            </a:ext>
          </a:extLst>
        </xdr:cNvPr>
        <xdr:cNvPicPr>
          <a:picLocks noChangeAspect="1"/>
        </xdr:cNvPicPr>
      </xdr:nvPicPr>
      <xdr:blipFill>
        <a:blip xmlns:r="http://schemas.openxmlformats.org/officeDocument/2006/relationships" r:embed="rId6"/>
        <a:stretch>
          <a:fillRect/>
        </a:stretch>
      </xdr:blipFill>
      <xdr:spPr>
        <a:xfrm>
          <a:off x="0" y="12639262"/>
          <a:ext cx="4919870" cy="160182"/>
        </a:xfrm>
        <a:prstGeom prst="rect">
          <a:avLst/>
        </a:prstGeom>
      </xdr:spPr>
    </xdr:pic>
    <xdr:clientData/>
  </xdr:twoCellAnchor>
  <xdr:twoCellAnchor editAs="oneCell">
    <xdr:from>
      <xdr:col>0</xdr:col>
      <xdr:colOff>66261</xdr:colOff>
      <xdr:row>70</xdr:row>
      <xdr:rowOff>68426</xdr:rowOff>
    </xdr:from>
    <xdr:to>
      <xdr:col>7</xdr:col>
      <xdr:colOff>41413</xdr:colOff>
      <xdr:row>71</xdr:row>
      <xdr:rowOff>29407</xdr:rowOff>
    </xdr:to>
    <xdr:pic>
      <xdr:nvPicPr>
        <xdr:cNvPr id="6" name="Imagen 5">
          <a:extLst>
            <a:ext uri="{FF2B5EF4-FFF2-40B4-BE49-F238E27FC236}">
              <a16:creationId xmlns:a16="http://schemas.microsoft.com/office/drawing/2014/main" id="{41620CCE-471C-4354-94BE-78B8913915BF}"/>
            </a:ext>
          </a:extLst>
        </xdr:cNvPr>
        <xdr:cNvPicPr>
          <a:picLocks noChangeAspect="1"/>
        </xdr:cNvPicPr>
      </xdr:nvPicPr>
      <xdr:blipFill>
        <a:blip xmlns:r="http://schemas.openxmlformats.org/officeDocument/2006/relationships" r:embed="rId7"/>
        <a:stretch>
          <a:fillRect/>
        </a:stretch>
      </xdr:blipFill>
      <xdr:spPr>
        <a:xfrm>
          <a:off x="66261" y="13535948"/>
          <a:ext cx="5441674" cy="151481"/>
        </a:xfrm>
        <a:prstGeom prst="rect">
          <a:avLst/>
        </a:prstGeom>
      </xdr:spPr>
    </xdr:pic>
    <xdr:clientData/>
  </xdr:twoCellAnchor>
  <xdr:twoCellAnchor editAs="oneCell">
    <xdr:from>
      <xdr:col>0</xdr:col>
      <xdr:colOff>66261</xdr:colOff>
      <xdr:row>72</xdr:row>
      <xdr:rowOff>1440</xdr:rowOff>
    </xdr:from>
    <xdr:to>
      <xdr:col>1</xdr:col>
      <xdr:colOff>0</xdr:colOff>
      <xdr:row>72</xdr:row>
      <xdr:rowOff>142881</xdr:rowOff>
    </xdr:to>
    <xdr:pic>
      <xdr:nvPicPr>
        <xdr:cNvPr id="7" name="Imagen 6">
          <a:extLst>
            <a:ext uri="{FF2B5EF4-FFF2-40B4-BE49-F238E27FC236}">
              <a16:creationId xmlns:a16="http://schemas.microsoft.com/office/drawing/2014/main" id="{08632046-27E0-41A9-BB3E-341AE6FF1AE6}"/>
            </a:ext>
          </a:extLst>
        </xdr:cNvPr>
        <xdr:cNvPicPr>
          <a:picLocks noChangeAspect="1"/>
        </xdr:cNvPicPr>
      </xdr:nvPicPr>
      <xdr:blipFill>
        <a:blip xmlns:r="http://schemas.openxmlformats.org/officeDocument/2006/relationships" r:embed="rId8"/>
        <a:stretch>
          <a:fillRect/>
        </a:stretch>
      </xdr:blipFill>
      <xdr:spPr>
        <a:xfrm>
          <a:off x="66261" y="13849962"/>
          <a:ext cx="695739" cy="1414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69</xdr:row>
      <xdr:rowOff>134077</xdr:rowOff>
    </xdr:from>
    <xdr:to>
      <xdr:col>5</xdr:col>
      <xdr:colOff>129374</xdr:colOff>
      <xdr:row>72</xdr:row>
      <xdr:rowOff>91492</xdr:rowOff>
    </xdr:to>
    <xdr:pic>
      <xdr:nvPicPr>
        <xdr:cNvPr id="2" name="3 Imagen">
          <a:extLst>
            <a:ext uri="{FF2B5EF4-FFF2-40B4-BE49-F238E27FC236}">
              <a16:creationId xmlns:a16="http://schemas.microsoft.com/office/drawing/2014/main" id="{A8293F0D-D819-487D-B1A2-C0F982817868}"/>
            </a:ext>
          </a:extLst>
        </xdr:cNvPr>
        <xdr:cNvPicPr>
          <a:picLocks noChangeAspect="1"/>
        </xdr:cNvPicPr>
      </xdr:nvPicPr>
      <xdr:blipFill>
        <a:blip xmlns:r="http://schemas.openxmlformats.org/officeDocument/2006/relationships" r:embed="rId1"/>
        <a:stretch>
          <a:fillRect/>
        </a:stretch>
      </xdr:blipFill>
      <xdr:spPr>
        <a:xfrm>
          <a:off x="0" y="5420452"/>
          <a:ext cx="5272874" cy="528915"/>
        </a:xfrm>
        <a:prstGeom prst="rect">
          <a:avLst/>
        </a:prstGeom>
      </xdr:spPr>
    </xdr:pic>
    <xdr:clientData/>
  </xdr:twoCellAnchor>
  <xdr:twoCellAnchor editAs="oneCell">
    <xdr:from>
      <xdr:col>0</xdr:col>
      <xdr:colOff>0</xdr:colOff>
      <xdr:row>72</xdr:row>
      <xdr:rowOff>144780</xdr:rowOff>
    </xdr:from>
    <xdr:to>
      <xdr:col>5</xdr:col>
      <xdr:colOff>131882</xdr:colOff>
      <xdr:row>81</xdr:row>
      <xdr:rowOff>137327</xdr:rowOff>
    </xdr:to>
    <xdr:pic>
      <xdr:nvPicPr>
        <xdr:cNvPr id="3" name="4 Imagen">
          <a:extLst>
            <a:ext uri="{FF2B5EF4-FFF2-40B4-BE49-F238E27FC236}">
              <a16:creationId xmlns:a16="http://schemas.microsoft.com/office/drawing/2014/main" id="{3AF54698-4DAB-46C8-8CE4-EAFB1EC1DE5F}"/>
            </a:ext>
          </a:extLst>
        </xdr:cNvPr>
        <xdr:cNvPicPr>
          <a:picLocks noChangeAspect="1"/>
        </xdr:cNvPicPr>
      </xdr:nvPicPr>
      <xdr:blipFill>
        <a:blip xmlns:r="http://schemas.openxmlformats.org/officeDocument/2006/relationships" r:embed="rId2"/>
        <a:stretch>
          <a:fillRect/>
        </a:stretch>
      </xdr:blipFill>
      <xdr:spPr>
        <a:xfrm>
          <a:off x="0" y="6002655"/>
          <a:ext cx="5275382" cy="1707047"/>
        </a:xfrm>
        <a:prstGeom prst="rect">
          <a:avLst/>
        </a:prstGeom>
      </xdr:spPr>
    </xdr:pic>
    <xdr:clientData/>
  </xdr:twoCellAnchor>
  <xdr:twoCellAnchor editAs="oneCell">
    <xdr:from>
      <xdr:col>0</xdr:col>
      <xdr:colOff>21772</xdr:colOff>
      <xdr:row>84</xdr:row>
      <xdr:rowOff>141514</xdr:rowOff>
    </xdr:from>
    <xdr:to>
      <xdr:col>5</xdr:col>
      <xdr:colOff>144077</xdr:colOff>
      <xdr:row>93</xdr:row>
      <xdr:rowOff>109022</xdr:rowOff>
    </xdr:to>
    <xdr:pic>
      <xdr:nvPicPr>
        <xdr:cNvPr id="4" name="5 Imagen">
          <a:extLst>
            <a:ext uri="{FF2B5EF4-FFF2-40B4-BE49-F238E27FC236}">
              <a16:creationId xmlns:a16="http://schemas.microsoft.com/office/drawing/2014/main" id="{F2C17C0E-27D7-4311-A157-DA3D9C765569}"/>
            </a:ext>
          </a:extLst>
        </xdr:cNvPr>
        <xdr:cNvPicPr>
          <a:picLocks noChangeAspect="1"/>
        </xdr:cNvPicPr>
      </xdr:nvPicPr>
      <xdr:blipFill>
        <a:blip xmlns:r="http://schemas.openxmlformats.org/officeDocument/2006/relationships" r:embed="rId3"/>
        <a:stretch>
          <a:fillRect/>
        </a:stretch>
      </xdr:blipFill>
      <xdr:spPr>
        <a:xfrm>
          <a:off x="21772" y="8304439"/>
          <a:ext cx="5265805" cy="1682008"/>
        </a:xfrm>
        <a:prstGeom prst="rect">
          <a:avLst/>
        </a:prstGeom>
      </xdr:spPr>
    </xdr:pic>
    <xdr:clientData/>
  </xdr:twoCellAnchor>
  <xdr:twoCellAnchor editAs="oneCell">
    <xdr:from>
      <xdr:col>0</xdr:col>
      <xdr:colOff>0</xdr:colOff>
      <xdr:row>95</xdr:row>
      <xdr:rowOff>171136</xdr:rowOff>
    </xdr:from>
    <xdr:to>
      <xdr:col>5</xdr:col>
      <xdr:colOff>110868</xdr:colOff>
      <xdr:row>106</xdr:row>
      <xdr:rowOff>94937</xdr:rowOff>
    </xdr:to>
    <xdr:pic>
      <xdr:nvPicPr>
        <xdr:cNvPr id="5" name="8 Imagen">
          <a:extLst>
            <a:ext uri="{FF2B5EF4-FFF2-40B4-BE49-F238E27FC236}">
              <a16:creationId xmlns:a16="http://schemas.microsoft.com/office/drawing/2014/main" id="{142FDD5E-626E-46C7-96D6-DAE74EFB8A71}"/>
            </a:ext>
          </a:extLst>
        </xdr:cNvPr>
        <xdr:cNvPicPr>
          <a:picLocks noChangeAspect="1"/>
        </xdr:cNvPicPr>
      </xdr:nvPicPr>
      <xdr:blipFill>
        <a:blip xmlns:r="http://schemas.openxmlformats.org/officeDocument/2006/relationships" r:embed="rId4"/>
        <a:stretch>
          <a:fillRect/>
        </a:stretch>
      </xdr:blipFill>
      <xdr:spPr>
        <a:xfrm>
          <a:off x="0" y="10448611"/>
          <a:ext cx="5254368" cy="2019301"/>
        </a:xfrm>
        <a:prstGeom prst="rect">
          <a:avLst/>
        </a:prstGeom>
      </xdr:spPr>
    </xdr:pic>
    <xdr:clientData/>
  </xdr:twoCellAnchor>
  <xdr:twoCellAnchor editAs="oneCell">
    <xdr:from>
      <xdr:col>0</xdr:col>
      <xdr:colOff>0</xdr:colOff>
      <xdr:row>109</xdr:row>
      <xdr:rowOff>135157</xdr:rowOff>
    </xdr:from>
    <xdr:to>
      <xdr:col>5</xdr:col>
      <xdr:colOff>496128</xdr:colOff>
      <xdr:row>117</xdr:row>
      <xdr:rowOff>58192</xdr:rowOff>
    </xdr:to>
    <xdr:pic>
      <xdr:nvPicPr>
        <xdr:cNvPr id="6" name="1 Imagen">
          <a:extLst>
            <a:ext uri="{FF2B5EF4-FFF2-40B4-BE49-F238E27FC236}">
              <a16:creationId xmlns:a16="http://schemas.microsoft.com/office/drawing/2014/main" id="{0E6E04AF-36A4-4E7F-8CF1-6E878353DFE5}"/>
            </a:ext>
          </a:extLst>
        </xdr:cNvPr>
        <xdr:cNvPicPr>
          <a:picLocks noChangeAspect="1"/>
        </xdr:cNvPicPr>
      </xdr:nvPicPr>
      <xdr:blipFill>
        <a:blip xmlns:r="http://schemas.openxmlformats.org/officeDocument/2006/relationships" r:embed="rId5"/>
        <a:stretch>
          <a:fillRect/>
        </a:stretch>
      </xdr:blipFill>
      <xdr:spPr>
        <a:xfrm>
          <a:off x="0" y="13098682"/>
          <a:ext cx="5639628" cy="1447035"/>
        </a:xfrm>
        <a:prstGeom prst="rect">
          <a:avLst/>
        </a:prstGeom>
      </xdr:spPr>
    </xdr:pic>
    <xdr:clientData/>
  </xdr:twoCellAnchor>
  <xdr:twoCellAnchor editAs="oneCell">
    <xdr:from>
      <xdr:col>0</xdr:col>
      <xdr:colOff>1</xdr:colOff>
      <xdr:row>116</xdr:row>
      <xdr:rowOff>165652</xdr:rowOff>
    </xdr:from>
    <xdr:to>
      <xdr:col>5</xdr:col>
      <xdr:colOff>578955</xdr:colOff>
      <xdr:row>123</xdr:row>
      <xdr:rowOff>120040</xdr:rowOff>
    </xdr:to>
    <xdr:pic>
      <xdr:nvPicPr>
        <xdr:cNvPr id="7" name="2 Imagen">
          <a:extLst>
            <a:ext uri="{FF2B5EF4-FFF2-40B4-BE49-F238E27FC236}">
              <a16:creationId xmlns:a16="http://schemas.microsoft.com/office/drawing/2014/main" id="{384EB0CB-F556-4611-9A0D-54BD4D33437A}"/>
            </a:ext>
          </a:extLst>
        </xdr:cNvPr>
        <xdr:cNvPicPr>
          <a:picLocks noChangeAspect="1"/>
        </xdr:cNvPicPr>
      </xdr:nvPicPr>
      <xdr:blipFill>
        <a:blip xmlns:r="http://schemas.openxmlformats.org/officeDocument/2006/relationships" r:embed="rId6"/>
        <a:stretch>
          <a:fillRect/>
        </a:stretch>
      </xdr:blipFill>
      <xdr:spPr>
        <a:xfrm>
          <a:off x="1" y="14462677"/>
          <a:ext cx="5722454" cy="1287888"/>
        </a:xfrm>
        <a:prstGeom prst="rect">
          <a:avLst/>
        </a:prstGeom>
      </xdr:spPr>
    </xdr:pic>
    <xdr:clientData/>
  </xdr:twoCellAnchor>
  <xdr:twoCellAnchor editAs="oneCell">
    <xdr:from>
      <xdr:col>0</xdr:col>
      <xdr:colOff>0</xdr:colOff>
      <xdr:row>126</xdr:row>
      <xdr:rowOff>109689</xdr:rowOff>
    </xdr:from>
    <xdr:to>
      <xdr:col>5</xdr:col>
      <xdr:colOff>512693</xdr:colOff>
      <xdr:row>135</xdr:row>
      <xdr:rowOff>24633</xdr:rowOff>
    </xdr:to>
    <xdr:pic>
      <xdr:nvPicPr>
        <xdr:cNvPr id="8" name="6 Imagen">
          <a:extLst>
            <a:ext uri="{FF2B5EF4-FFF2-40B4-BE49-F238E27FC236}">
              <a16:creationId xmlns:a16="http://schemas.microsoft.com/office/drawing/2014/main" id="{7045D793-8BD6-4B4D-A0F5-A46DD28E5328}"/>
            </a:ext>
          </a:extLst>
        </xdr:cNvPr>
        <xdr:cNvPicPr>
          <a:picLocks noChangeAspect="1"/>
        </xdr:cNvPicPr>
      </xdr:nvPicPr>
      <xdr:blipFill>
        <a:blip xmlns:r="http://schemas.openxmlformats.org/officeDocument/2006/relationships" r:embed="rId7"/>
        <a:stretch>
          <a:fillRect/>
        </a:stretch>
      </xdr:blipFill>
      <xdr:spPr>
        <a:xfrm>
          <a:off x="0" y="16330764"/>
          <a:ext cx="5656193" cy="1629444"/>
        </a:xfrm>
        <a:prstGeom prst="rect">
          <a:avLst/>
        </a:prstGeom>
      </xdr:spPr>
    </xdr:pic>
    <xdr:clientData/>
  </xdr:twoCellAnchor>
  <xdr:twoCellAnchor editAs="oneCell">
    <xdr:from>
      <xdr:col>0</xdr:col>
      <xdr:colOff>57150</xdr:colOff>
      <xdr:row>142</xdr:row>
      <xdr:rowOff>126100</xdr:rowOff>
    </xdr:from>
    <xdr:to>
      <xdr:col>5</xdr:col>
      <xdr:colOff>504825</xdr:colOff>
      <xdr:row>155</xdr:row>
      <xdr:rowOff>37731</xdr:rowOff>
    </xdr:to>
    <xdr:pic>
      <xdr:nvPicPr>
        <xdr:cNvPr id="9" name="9 Imagen">
          <a:extLst>
            <a:ext uri="{FF2B5EF4-FFF2-40B4-BE49-F238E27FC236}">
              <a16:creationId xmlns:a16="http://schemas.microsoft.com/office/drawing/2014/main" id="{CD9D5E73-4324-4779-9E50-D25C3C05EC93}"/>
            </a:ext>
          </a:extLst>
        </xdr:cNvPr>
        <xdr:cNvPicPr>
          <a:picLocks noChangeAspect="1"/>
        </xdr:cNvPicPr>
      </xdr:nvPicPr>
      <xdr:blipFill>
        <a:blip xmlns:r="http://schemas.openxmlformats.org/officeDocument/2006/relationships" r:embed="rId8"/>
        <a:stretch>
          <a:fillRect/>
        </a:stretch>
      </xdr:blipFill>
      <xdr:spPr>
        <a:xfrm>
          <a:off x="57150" y="19433275"/>
          <a:ext cx="5591175" cy="2388131"/>
        </a:xfrm>
        <a:prstGeom prst="rect">
          <a:avLst/>
        </a:prstGeom>
      </xdr:spPr>
    </xdr:pic>
    <xdr:clientData/>
  </xdr:twoCellAnchor>
  <xdr:twoCellAnchor editAs="oneCell">
    <xdr:from>
      <xdr:col>0</xdr:col>
      <xdr:colOff>0</xdr:colOff>
      <xdr:row>157</xdr:row>
      <xdr:rowOff>92489</xdr:rowOff>
    </xdr:from>
    <xdr:to>
      <xdr:col>5</xdr:col>
      <xdr:colOff>419100</xdr:colOff>
      <xdr:row>167</xdr:row>
      <xdr:rowOff>152088</xdr:rowOff>
    </xdr:to>
    <xdr:pic>
      <xdr:nvPicPr>
        <xdr:cNvPr id="10" name="10 Imagen">
          <a:extLst>
            <a:ext uri="{FF2B5EF4-FFF2-40B4-BE49-F238E27FC236}">
              <a16:creationId xmlns:a16="http://schemas.microsoft.com/office/drawing/2014/main" id="{C584E151-3935-4A19-9525-77DF7C328361}"/>
            </a:ext>
          </a:extLst>
        </xdr:cNvPr>
        <xdr:cNvPicPr>
          <a:picLocks noChangeAspect="1"/>
        </xdr:cNvPicPr>
      </xdr:nvPicPr>
      <xdr:blipFill>
        <a:blip xmlns:r="http://schemas.openxmlformats.org/officeDocument/2006/relationships" r:embed="rId9"/>
        <a:stretch>
          <a:fillRect/>
        </a:stretch>
      </xdr:blipFill>
      <xdr:spPr>
        <a:xfrm>
          <a:off x="0" y="22257164"/>
          <a:ext cx="5562600" cy="1964599"/>
        </a:xfrm>
        <a:prstGeom prst="rect">
          <a:avLst/>
        </a:prstGeom>
      </xdr:spPr>
    </xdr:pic>
    <xdr:clientData/>
  </xdr:twoCellAnchor>
  <xdr:twoCellAnchor editAs="oneCell">
    <xdr:from>
      <xdr:col>1</xdr:col>
      <xdr:colOff>723900</xdr:colOff>
      <xdr:row>173</xdr:row>
      <xdr:rowOff>28575</xdr:rowOff>
    </xdr:from>
    <xdr:to>
      <xdr:col>3</xdr:col>
      <xdr:colOff>18867</xdr:colOff>
      <xdr:row>174</xdr:row>
      <xdr:rowOff>161885</xdr:rowOff>
    </xdr:to>
    <xdr:pic>
      <xdr:nvPicPr>
        <xdr:cNvPr id="11" name="11 Imagen">
          <a:extLst>
            <a:ext uri="{FF2B5EF4-FFF2-40B4-BE49-F238E27FC236}">
              <a16:creationId xmlns:a16="http://schemas.microsoft.com/office/drawing/2014/main" id="{3AD3F7E7-93B9-4FEF-B84E-7EFB76C08AB8}"/>
            </a:ext>
          </a:extLst>
        </xdr:cNvPr>
        <xdr:cNvPicPr>
          <a:picLocks noChangeAspect="1"/>
        </xdr:cNvPicPr>
      </xdr:nvPicPr>
      <xdr:blipFill>
        <a:blip xmlns:r="http://schemas.openxmlformats.org/officeDocument/2006/relationships" r:embed="rId10"/>
        <a:stretch>
          <a:fillRect/>
        </a:stretch>
      </xdr:blipFill>
      <xdr:spPr>
        <a:xfrm>
          <a:off x="1514475" y="25260300"/>
          <a:ext cx="1466667" cy="323810"/>
        </a:xfrm>
        <a:prstGeom prst="rect">
          <a:avLst/>
        </a:prstGeom>
      </xdr:spPr>
    </xdr:pic>
    <xdr:clientData/>
  </xdr:twoCellAnchor>
  <xdr:twoCellAnchor editAs="oneCell">
    <xdr:from>
      <xdr:col>1</xdr:col>
      <xdr:colOff>723900</xdr:colOff>
      <xdr:row>184</xdr:row>
      <xdr:rowOff>28575</xdr:rowOff>
    </xdr:from>
    <xdr:to>
      <xdr:col>3</xdr:col>
      <xdr:colOff>66486</xdr:colOff>
      <xdr:row>185</xdr:row>
      <xdr:rowOff>161885</xdr:rowOff>
    </xdr:to>
    <xdr:pic>
      <xdr:nvPicPr>
        <xdr:cNvPr id="12" name="12 Imagen">
          <a:extLst>
            <a:ext uri="{FF2B5EF4-FFF2-40B4-BE49-F238E27FC236}">
              <a16:creationId xmlns:a16="http://schemas.microsoft.com/office/drawing/2014/main" id="{7B9ED130-E326-450F-95A5-A2AC02E0EF53}"/>
            </a:ext>
          </a:extLst>
        </xdr:cNvPr>
        <xdr:cNvPicPr>
          <a:picLocks noChangeAspect="1"/>
        </xdr:cNvPicPr>
      </xdr:nvPicPr>
      <xdr:blipFill>
        <a:blip xmlns:r="http://schemas.openxmlformats.org/officeDocument/2006/relationships" r:embed="rId11"/>
        <a:stretch>
          <a:fillRect/>
        </a:stretch>
      </xdr:blipFill>
      <xdr:spPr>
        <a:xfrm>
          <a:off x="1514475" y="27374850"/>
          <a:ext cx="1514286" cy="323810"/>
        </a:xfrm>
        <a:prstGeom prst="rect">
          <a:avLst/>
        </a:prstGeom>
      </xdr:spPr>
    </xdr:pic>
    <xdr:clientData/>
  </xdr:twoCellAnchor>
  <xdr:twoCellAnchor editAs="oneCell">
    <xdr:from>
      <xdr:col>0</xdr:col>
      <xdr:colOff>0</xdr:colOff>
      <xdr:row>188</xdr:row>
      <xdr:rowOff>89534</xdr:rowOff>
    </xdr:from>
    <xdr:to>
      <xdr:col>5</xdr:col>
      <xdr:colOff>561975</xdr:colOff>
      <xdr:row>203</xdr:row>
      <xdr:rowOff>104338</xdr:rowOff>
    </xdr:to>
    <xdr:pic>
      <xdr:nvPicPr>
        <xdr:cNvPr id="13" name="13 Imagen">
          <a:extLst>
            <a:ext uri="{FF2B5EF4-FFF2-40B4-BE49-F238E27FC236}">
              <a16:creationId xmlns:a16="http://schemas.microsoft.com/office/drawing/2014/main" id="{3034AADB-95FE-46B8-85B4-241995905052}"/>
            </a:ext>
          </a:extLst>
        </xdr:cNvPr>
        <xdr:cNvPicPr>
          <a:picLocks noChangeAspect="1"/>
        </xdr:cNvPicPr>
      </xdr:nvPicPr>
      <xdr:blipFill>
        <a:blip xmlns:r="http://schemas.openxmlformats.org/officeDocument/2006/relationships" r:embed="rId12"/>
        <a:stretch>
          <a:fillRect/>
        </a:stretch>
      </xdr:blipFill>
      <xdr:spPr>
        <a:xfrm>
          <a:off x="0" y="28197809"/>
          <a:ext cx="5705475" cy="2872304"/>
        </a:xfrm>
        <a:prstGeom prst="rect">
          <a:avLst/>
        </a:prstGeom>
      </xdr:spPr>
    </xdr:pic>
    <xdr:clientData/>
  </xdr:twoCellAnchor>
  <xdr:twoCellAnchor editAs="oneCell">
    <xdr:from>
      <xdr:col>0</xdr:col>
      <xdr:colOff>466725</xdr:colOff>
      <xdr:row>204</xdr:row>
      <xdr:rowOff>85725</xdr:rowOff>
    </xdr:from>
    <xdr:to>
      <xdr:col>2</xdr:col>
      <xdr:colOff>933170</xdr:colOff>
      <xdr:row>207</xdr:row>
      <xdr:rowOff>123749</xdr:rowOff>
    </xdr:to>
    <xdr:pic>
      <xdr:nvPicPr>
        <xdr:cNvPr id="14" name="14 Imagen">
          <a:extLst>
            <a:ext uri="{FF2B5EF4-FFF2-40B4-BE49-F238E27FC236}">
              <a16:creationId xmlns:a16="http://schemas.microsoft.com/office/drawing/2014/main" id="{B1F3CBD8-2CFE-4BDD-99EB-2D9404845725}"/>
            </a:ext>
          </a:extLst>
        </xdr:cNvPr>
        <xdr:cNvPicPr>
          <a:picLocks noChangeAspect="1"/>
        </xdr:cNvPicPr>
      </xdr:nvPicPr>
      <xdr:blipFill>
        <a:blip xmlns:r="http://schemas.openxmlformats.org/officeDocument/2006/relationships" r:embed="rId13"/>
        <a:stretch>
          <a:fillRect/>
        </a:stretch>
      </xdr:blipFill>
      <xdr:spPr>
        <a:xfrm>
          <a:off x="466725" y="31242000"/>
          <a:ext cx="2238095" cy="609524"/>
        </a:xfrm>
        <a:prstGeom prst="rect">
          <a:avLst/>
        </a:prstGeom>
      </xdr:spPr>
    </xdr:pic>
    <xdr:clientData/>
  </xdr:twoCellAnchor>
  <xdr:twoCellAnchor editAs="oneCell">
    <xdr:from>
      <xdr:col>3</xdr:col>
      <xdr:colOff>28576</xdr:colOff>
      <xdr:row>209</xdr:row>
      <xdr:rowOff>0</xdr:rowOff>
    </xdr:from>
    <xdr:to>
      <xdr:col>3</xdr:col>
      <xdr:colOff>398026</xdr:colOff>
      <xdr:row>210</xdr:row>
      <xdr:rowOff>47590</xdr:rowOff>
    </xdr:to>
    <xdr:pic>
      <xdr:nvPicPr>
        <xdr:cNvPr id="15" name="15 Imagen">
          <a:extLst>
            <a:ext uri="{FF2B5EF4-FFF2-40B4-BE49-F238E27FC236}">
              <a16:creationId xmlns:a16="http://schemas.microsoft.com/office/drawing/2014/main" id="{711D9D25-BCAE-4AF9-92BF-4F0B7803735B}"/>
            </a:ext>
          </a:extLst>
        </xdr:cNvPr>
        <xdr:cNvPicPr>
          <a:picLocks noChangeAspect="1"/>
        </xdr:cNvPicPr>
      </xdr:nvPicPr>
      <xdr:blipFill>
        <a:blip xmlns:r="http://schemas.openxmlformats.org/officeDocument/2006/relationships" r:embed="rId14"/>
        <a:stretch>
          <a:fillRect/>
        </a:stretch>
      </xdr:blipFill>
      <xdr:spPr>
        <a:xfrm>
          <a:off x="2905126" y="32118300"/>
          <a:ext cx="369450" cy="238090"/>
        </a:xfrm>
        <a:prstGeom prst="rect">
          <a:avLst/>
        </a:prstGeom>
      </xdr:spPr>
    </xdr:pic>
    <xdr:clientData/>
  </xdr:twoCellAnchor>
  <xdr:twoCellAnchor editAs="oneCell">
    <xdr:from>
      <xdr:col>0</xdr:col>
      <xdr:colOff>38100</xdr:colOff>
      <xdr:row>28</xdr:row>
      <xdr:rowOff>76200</xdr:rowOff>
    </xdr:from>
    <xdr:to>
      <xdr:col>5</xdr:col>
      <xdr:colOff>485775</xdr:colOff>
      <xdr:row>40</xdr:row>
      <xdr:rowOff>178331</xdr:rowOff>
    </xdr:to>
    <xdr:pic>
      <xdr:nvPicPr>
        <xdr:cNvPr id="16" name="9 Imagen">
          <a:extLst>
            <a:ext uri="{FF2B5EF4-FFF2-40B4-BE49-F238E27FC236}">
              <a16:creationId xmlns:a16="http://schemas.microsoft.com/office/drawing/2014/main" id="{C5EDBB58-9E21-4925-BC96-3F034C2C3B7F}"/>
            </a:ext>
          </a:extLst>
        </xdr:cNvPr>
        <xdr:cNvPicPr>
          <a:picLocks noChangeAspect="1"/>
        </xdr:cNvPicPr>
      </xdr:nvPicPr>
      <xdr:blipFill>
        <a:blip xmlns:r="http://schemas.openxmlformats.org/officeDocument/2006/relationships" r:embed="rId8"/>
        <a:stretch>
          <a:fillRect/>
        </a:stretch>
      </xdr:blipFill>
      <xdr:spPr>
        <a:xfrm>
          <a:off x="38100" y="6286500"/>
          <a:ext cx="5591175" cy="238813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69</xdr:row>
      <xdr:rowOff>134077</xdr:rowOff>
    </xdr:from>
    <xdr:to>
      <xdr:col>5</xdr:col>
      <xdr:colOff>396074</xdr:colOff>
      <xdr:row>72</xdr:row>
      <xdr:rowOff>91492</xdr:rowOff>
    </xdr:to>
    <xdr:pic>
      <xdr:nvPicPr>
        <xdr:cNvPr id="2" name="3 Imagen">
          <a:extLst>
            <a:ext uri="{FF2B5EF4-FFF2-40B4-BE49-F238E27FC236}">
              <a16:creationId xmlns:a16="http://schemas.microsoft.com/office/drawing/2014/main" id="{29E46E37-ADD2-45F4-93F9-4BE31AEB0B58}"/>
            </a:ext>
          </a:extLst>
        </xdr:cNvPr>
        <xdr:cNvPicPr>
          <a:picLocks noChangeAspect="1"/>
        </xdr:cNvPicPr>
      </xdr:nvPicPr>
      <xdr:blipFill>
        <a:blip xmlns:r="http://schemas.openxmlformats.org/officeDocument/2006/relationships" r:embed="rId1"/>
        <a:stretch>
          <a:fillRect/>
        </a:stretch>
      </xdr:blipFill>
      <xdr:spPr>
        <a:xfrm>
          <a:off x="0" y="13573852"/>
          <a:ext cx="5272874" cy="528915"/>
        </a:xfrm>
        <a:prstGeom prst="rect">
          <a:avLst/>
        </a:prstGeom>
      </xdr:spPr>
    </xdr:pic>
    <xdr:clientData/>
  </xdr:twoCellAnchor>
  <xdr:twoCellAnchor editAs="oneCell">
    <xdr:from>
      <xdr:col>0</xdr:col>
      <xdr:colOff>0</xdr:colOff>
      <xdr:row>72</xdr:row>
      <xdr:rowOff>144780</xdr:rowOff>
    </xdr:from>
    <xdr:to>
      <xdr:col>5</xdr:col>
      <xdr:colOff>398582</xdr:colOff>
      <xdr:row>81</xdr:row>
      <xdr:rowOff>137327</xdr:rowOff>
    </xdr:to>
    <xdr:pic>
      <xdr:nvPicPr>
        <xdr:cNvPr id="3" name="4 Imagen">
          <a:extLst>
            <a:ext uri="{FF2B5EF4-FFF2-40B4-BE49-F238E27FC236}">
              <a16:creationId xmlns:a16="http://schemas.microsoft.com/office/drawing/2014/main" id="{C23E9471-000B-47B7-B9BD-33305F55DFB0}"/>
            </a:ext>
          </a:extLst>
        </xdr:cNvPr>
        <xdr:cNvPicPr>
          <a:picLocks noChangeAspect="1"/>
        </xdr:cNvPicPr>
      </xdr:nvPicPr>
      <xdr:blipFill>
        <a:blip xmlns:r="http://schemas.openxmlformats.org/officeDocument/2006/relationships" r:embed="rId2"/>
        <a:stretch>
          <a:fillRect/>
        </a:stretch>
      </xdr:blipFill>
      <xdr:spPr>
        <a:xfrm>
          <a:off x="0" y="14156055"/>
          <a:ext cx="5275382" cy="1707047"/>
        </a:xfrm>
        <a:prstGeom prst="rect">
          <a:avLst/>
        </a:prstGeom>
      </xdr:spPr>
    </xdr:pic>
    <xdr:clientData/>
  </xdr:twoCellAnchor>
  <xdr:twoCellAnchor editAs="oneCell">
    <xdr:from>
      <xdr:col>0</xdr:col>
      <xdr:colOff>21772</xdr:colOff>
      <xdr:row>84</xdr:row>
      <xdr:rowOff>141514</xdr:rowOff>
    </xdr:from>
    <xdr:to>
      <xdr:col>5</xdr:col>
      <xdr:colOff>410777</xdr:colOff>
      <xdr:row>93</xdr:row>
      <xdr:rowOff>109022</xdr:rowOff>
    </xdr:to>
    <xdr:pic>
      <xdr:nvPicPr>
        <xdr:cNvPr id="4" name="5 Imagen">
          <a:extLst>
            <a:ext uri="{FF2B5EF4-FFF2-40B4-BE49-F238E27FC236}">
              <a16:creationId xmlns:a16="http://schemas.microsoft.com/office/drawing/2014/main" id="{F2FB8D74-2257-40F5-849B-14FB63C23434}"/>
            </a:ext>
          </a:extLst>
        </xdr:cNvPr>
        <xdr:cNvPicPr>
          <a:picLocks noChangeAspect="1"/>
        </xdr:cNvPicPr>
      </xdr:nvPicPr>
      <xdr:blipFill>
        <a:blip xmlns:r="http://schemas.openxmlformats.org/officeDocument/2006/relationships" r:embed="rId3"/>
        <a:stretch>
          <a:fillRect/>
        </a:stretch>
      </xdr:blipFill>
      <xdr:spPr>
        <a:xfrm>
          <a:off x="21772" y="16457839"/>
          <a:ext cx="5265805" cy="1682008"/>
        </a:xfrm>
        <a:prstGeom prst="rect">
          <a:avLst/>
        </a:prstGeom>
      </xdr:spPr>
    </xdr:pic>
    <xdr:clientData/>
  </xdr:twoCellAnchor>
  <xdr:twoCellAnchor editAs="oneCell">
    <xdr:from>
      <xdr:col>0</xdr:col>
      <xdr:colOff>0</xdr:colOff>
      <xdr:row>95</xdr:row>
      <xdr:rowOff>171136</xdr:rowOff>
    </xdr:from>
    <xdr:to>
      <xdr:col>5</xdr:col>
      <xdr:colOff>377568</xdr:colOff>
      <xdr:row>106</xdr:row>
      <xdr:rowOff>94937</xdr:rowOff>
    </xdr:to>
    <xdr:pic>
      <xdr:nvPicPr>
        <xdr:cNvPr id="5" name="8 Imagen">
          <a:extLst>
            <a:ext uri="{FF2B5EF4-FFF2-40B4-BE49-F238E27FC236}">
              <a16:creationId xmlns:a16="http://schemas.microsoft.com/office/drawing/2014/main" id="{2FE81DC6-99B8-4CEA-ABB7-E3274160392F}"/>
            </a:ext>
          </a:extLst>
        </xdr:cNvPr>
        <xdr:cNvPicPr>
          <a:picLocks noChangeAspect="1"/>
        </xdr:cNvPicPr>
      </xdr:nvPicPr>
      <xdr:blipFill>
        <a:blip xmlns:r="http://schemas.openxmlformats.org/officeDocument/2006/relationships" r:embed="rId4"/>
        <a:stretch>
          <a:fillRect/>
        </a:stretch>
      </xdr:blipFill>
      <xdr:spPr>
        <a:xfrm>
          <a:off x="0" y="18602011"/>
          <a:ext cx="5254368" cy="2019301"/>
        </a:xfrm>
        <a:prstGeom prst="rect">
          <a:avLst/>
        </a:prstGeom>
      </xdr:spPr>
    </xdr:pic>
    <xdr:clientData/>
  </xdr:twoCellAnchor>
  <xdr:twoCellAnchor editAs="oneCell">
    <xdr:from>
      <xdr:col>0</xdr:col>
      <xdr:colOff>0</xdr:colOff>
      <xdr:row>109</xdr:row>
      <xdr:rowOff>135157</xdr:rowOff>
    </xdr:from>
    <xdr:to>
      <xdr:col>6</xdr:col>
      <xdr:colOff>828</xdr:colOff>
      <xdr:row>117</xdr:row>
      <xdr:rowOff>58192</xdr:rowOff>
    </xdr:to>
    <xdr:pic>
      <xdr:nvPicPr>
        <xdr:cNvPr id="6" name="1 Imagen">
          <a:extLst>
            <a:ext uri="{FF2B5EF4-FFF2-40B4-BE49-F238E27FC236}">
              <a16:creationId xmlns:a16="http://schemas.microsoft.com/office/drawing/2014/main" id="{147B77A0-B274-40CA-A974-634CE5DC8932}"/>
            </a:ext>
          </a:extLst>
        </xdr:cNvPr>
        <xdr:cNvPicPr>
          <a:picLocks noChangeAspect="1"/>
        </xdr:cNvPicPr>
      </xdr:nvPicPr>
      <xdr:blipFill>
        <a:blip xmlns:r="http://schemas.openxmlformats.org/officeDocument/2006/relationships" r:embed="rId5"/>
        <a:stretch>
          <a:fillRect/>
        </a:stretch>
      </xdr:blipFill>
      <xdr:spPr>
        <a:xfrm>
          <a:off x="0" y="21252082"/>
          <a:ext cx="5639628" cy="1447035"/>
        </a:xfrm>
        <a:prstGeom prst="rect">
          <a:avLst/>
        </a:prstGeom>
      </xdr:spPr>
    </xdr:pic>
    <xdr:clientData/>
  </xdr:twoCellAnchor>
  <xdr:twoCellAnchor editAs="oneCell">
    <xdr:from>
      <xdr:col>0</xdr:col>
      <xdr:colOff>1</xdr:colOff>
      <xdr:row>116</xdr:row>
      <xdr:rowOff>165652</xdr:rowOff>
    </xdr:from>
    <xdr:to>
      <xdr:col>6</xdr:col>
      <xdr:colOff>83655</xdr:colOff>
      <xdr:row>123</xdr:row>
      <xdr:rowOff>120040</xdr:rowOff>
    </xdr:to>
    <xdr:pic>
      <xdr:nvPicPr>
        <xdr:cNvPr id="7" name="2 Imagen">
          <a:extLst>
            <a:ext uri="{FF2B5EF4-FFF2-40B4-BE49-F238E27FC236}">
              <a16:creationId xmlns:a16="http://schemas.microsoft.com/office/drawing/2014/main" id="{363CF991-8765-4C2F-85AF-5B598E8039F2}"/>
            </a:ext>
          </a:extLst>
        </xdr:cNvPr>
        <xdr:cNvPicPr>
          <a:picLocks noChangeAspect="1"/>
        </xdr:cNvPicPr>
      </xdr:nvPicPr>
      <xdr:blipFill>
        <a:blip xmlns:r="http://schemas.openxmlformats.org/officeDocument/2006/relationships" r:embed="rId6"/>
        <a:stretch>
          <a:fillRect/>
        </a:stretch>
      </xdr:blipFill>
      <xdr:spPr>
        <a:xfrm>
          <a:off x="1" y="22616077"/>
          <a:ext cx="5722454" cy="1287888"/>
        </a:xfrm>
        <a:prstGeom prst="rect">
          <a:avLst/>
        </a:prstGeom>
      </xdr:spPr>
    </xdr:pic>
    <xdr:clientData/>
  </xdr:twoCellAnchor>
  <xdr:twoCellAnchor editAs="oneCell">
    <xdr:from>
      <xdr:col>0</xdr:col>
      <xdr:colOff>0</xdr:colOff>
      <xdr:row>126</xdr:row>
      <xdr:rowOff>109689</xdr:rowOff>
    </xdr:from>
    <xdr:to>
      <xdr:col>6</xdr:col>
      <xdr:colOff>17393</xdr:colOff>
      <xdr:row>135</xdr:row>
      <xdr:rowOff>24633</xdr:rowOff>
    </xdr:to>
    <xdr:pic>
      <xdr:nvPicPr>
        <xdr:cNvPr id="8" name="6 Imagen">
          <a:extLst>
            <a:ext uri="{FF2B5EF4-FFF2-40B4-BE49-F238E27FC236}">
              <a16:creationId xmlns:a16="http://schemas.microsoft.com/office/drawing/2014/main" id="{1894826A-FF40-448C-A580-16419352DB49}"/>
            </a:ext>
          </a:extLst>
        </xdr:cNvPr>
        <xdr:cNvPicPr>
          <a:picLocks noChangeAspect="1"/>
        </xdr:cNvPicPr>
      </xdr:nvPicPr>
      <xdr:blipFill>
        <a:blip xmlns:r="http://schemas.openxmlformats.org/officeDocument/2006/relationships" r:embed="rId7"/>
        <a:stretch>
          <a:fillRect/>
        </a:stretch>
      </xdr:blipFill>
      <xdr:spPr>
        <a:xfrm>
          <a:off x="0" y="24484164"/>
          <a:ext cx="5656193" cy="1629444"/>
        </a:xfrm>
        <a:prstGeom prst="rect">
          <a:avLst/>
        </a:prstGeom>
      </xdr:spPr>
    </xdr:pic>
    <xdr:clientData/>
  </xdr:twoCellAnchor>
  <xdr:twoCellAnchor editAs="oneCell">
    <xdr:from>
      <xdr:col>0</xdr:col>
      <xdr:colOff>57150</xdr:colOff>
      <xdr:row>142</xdr:row>
      <xdr:rowOff>126100</xdr:rowOff>
    </xdr:from>
    <xdr:to>
      <xdr:col>6</xdr:col>
      <xdr:colOff>9525</xdr:colOff>
      <xdr:row>155</xdr:row>
      <xdr:rowOff>37731</xdr:rowOff>
    </xdr:to>
    <xdr:pic>
      <xdr:nvPicPr>
        <xdr:cNvPr id="9" name="9 Imagen">
          <a:extLst>
            <a:ext uri="{FF2B5EF4-FFF2-40B4-BE49-F238E27FC236}">
              <a16:creationId xmlns:a16="http://schemas.microsoft.com/office/drawing/2014/main" id="{669A8613-2022-4683-A279-72B0EE3878BA}"/>
            </a:ext>
          </a:extLst>
        </xdr:cNvPr>
        <xdr:cNvPicPr>
          <a:picLocks noChangeAspect="1"/>
        </xdr:cNvPicPr>
      </xdr:nvPicPr>
      <xdr:blipFill>
        <a:blip xmlns:r="http://schemas.openxmlformats.org/officeDocument/2006/relationships" r:embed="rId8"/>
        <a:stretch>
          <a:fillRect/>
        </a:stretch>
      </xdr:blipFill>
      <xdr:spPr>
        <a:xfrm>
          <a:off x="57150" y="27586675"/>
          <a:ext cx="5591175" cy="2388131"/>
        </a:xfrm>
        <a:prstGeom prst="rect">
          <a:avLst/>
        </a:prstGeom>
      </xdr:spPr>
    </xdr:pic>
    <xdr:clientData/>
  </xdr:twoCellAnchor>
  <xdr:twoCellAnchor editAs="oneCell">
    <xdr:from>
      <xdr:col>0</xdr:col>
      <xdr:colOff>0</xdr:colOff>
      <xdr:row>157</xdr:row>
      <xdr:rowOff>92489</xdr:rowOff>
    </xdr:from>
    <xdr:to>
      <xdr:col>5</xdr:col>
      <xdr:colOff>685800</xdr:colOff>
      <xdr:row>167</xdr:row>
      <xdr:rowOff>152088</xdr:rowOff>
    </xdr:to>
    <xdr:pic>
      <xdr:nvPicPr>
        <xdr:cNvPr id="10" name="10 Imagen">
          <a:extLst>
            <a:ext uri="{FF2B5EF4-FFF2-40B4-BE49-F238E27FC236}">
              <a16:creationId xmlns:a16="http://schemas.microsoft.com/office/drawing/2014/main" id="{C0BFFFD3-20E4-49B0-9F30-16432F94931C}"/>
            </a:ext>
          </a:extLst>
        </xdr:cNvPr>
        <xdr:cNvPicPr>
          <a:picLocks noChangeAspect="1"/>
        </xdr:cNvPicPr>
      </xdr:nvPicPr>
      <xdr:blipFill>
        <a:blip xmlns:r="http://schemas.openxmlformats.org/officeDocument/2006/relationships" r:embed="rId9"/>
        <a:stretch>
          <a:fillRect/>
        </a:stretch>
      </xdr:blipFill>
      <xdr:spPr>
        <a:xfrm>
          <a:off x="0" y="30410564"/>
          <a:ext cx="5562600" cy="1964599"/>
        </a:xfrm>
        <a:prstGeom prst="rect">
          <a:avLst/>
        </a:prstGeom>
      </xdr:spPr>
    </xdr:pic>
    <xdr:clientData/>
  </xdr:twoCellAnchor>
  <xdr:twoCellAnchor editAs="oneCell">
    <xdr:from>
      <xdr:col>1</xdr:col>
      <xdr:colOff>723900</xdr:colOff>
      <xdr:row>173</xdr:row>
      <xdr:rowOff>28575</xdr:rowOff>
    </xdr:from>
    <xdr:to>
      <xdr:col>3</xdr:col>
      <xdr:colOff>18867</xdr:colOff>
      <xdr:row>174</xdr:row>
      <xdr:rowOff>161885</xdr:rowOff>
    </xdr:to>
    <xdr:pic>
      <xdr:nvPicPr>
        <xdr:cNvPr id="11" name="11 Imagen">
          <a:extLst>
            <a:ext uri="{FF2B5EF4-FFF2-40B4-BE49-F238E27FC236}">
              <a16:creationId xmlns:a16="http://schemas.microsoft.com/office/drawing/2014/main" id="{37ED504F-8999-4ABE-B2AD-851ABA39027B}"/>
            </a:ext>
          </a:extLst>
        </xdr:cNvPr>
        <xdr:cNvPicPr>
          <a:picLocks noChangeAspect="1"/>
        </xdr:cNvPicPr>
      </xdr:nvPicPr>
      <xdr:blipFill>
        <a:blip xmlns:r="http://schemas.openxmlformats.org/officeDocument/2006/relationships" r:embed="rId10"/>
        <a:stretch>
          <a:fillRect/>
        </a:stretch>
      </xdr:blipFill>
      <xdr:spPr>
        <a:xfrm>
          <a:off x="1514475" y="33413700"/>
          <a:ext cx="1466667" cy="323810"/>
        </a:xfrm>
        <a:prstGeom prst="rect">
          <a:avLst/>
        </a:prstGeom>
      </xdr:spPr>
    </xdr:pic>
    <xdr:clientData/>
  </xdr:twoCellAnchor>
  <xdr:twoCellAnchor editAs="oneCell">
    <xdr:from>
      <xdr:col>1</xdr:col>
      <xdr:colOff>723900</xdr:colOff>
      <xdr:row>184</xdr:row>
      <xdr:rowOff>28575</xdr:rowOff>
    </xdr:from>
    <xdr:to>
      <xdr:col>3</xdr:col>
      <xdr:colOff>66486</xdr:colOff>
      <xdr:row>185</xdr:row>
      <xdr:rowOff>161885</xdr:rowOff>
    </xdr:to>
    <xdr:pic>
      <xdr:nvPicPr>
        <xdr:cNvPr id="12" name="12 Imagen">
          <a:extLst>
            <a:ext uri="{FF2B5EF4-FFF2-40B4-BE49-F238E27FC236}">
              <a16:creationId xmlns:a16="http://schemas.microsoft.com/office/drawing/2014/main" id="{D0D851E1-49E3-41B9-AEE8-3090C46EBE65}"/>
            </a:ext>
          </a:extLst>
        </xdr:cNvPr>
        <xdr:cNvPicPr>
          <a:picLocks noChangeAspect="1"/>
        </xdr:cNvPicPr>
      </xdr:nvPicPr>
      <xdr:blipFill>
        <a:blip xmlns:r="http://schemas.openxmlformats.org/officeDocument/2006/relationships" r:embed="rId11"/>
        <a:stretch>
          <a:fillRect/>
        </a:stretch>
      </xdr:blipFill>
      <xdr:spPr>
        <a:xfrm>
          <a:off x="1514475" y="35528250"/>
          <a:ext cx="1514286" cy="323810"/>
        </a:xfrm>
        <a:prstGeom prst="rect">
          <a:avLst/>
        </a:prstGeom>
      </xdr:spPr>
    </xdr:pic>
    <xdr:clientData/>
  </xdr:twoCellAnchor>
  <xdr:twoCellAnchor editAs="oneCell">
    <xdr:from>
      <xdr:col>0</xdr:col>
      <xdr:colOff>0</xdr:colOff>
      <xdr:row>188</xdr:row>
      <xdr:rowOff>89534</xdr:rowOff>
    </xdr:from>
    <xdr:to>
      <xdr:col>6</xdr:col>
      <xdr:colOff>66675</xdr:colOff>
      <xdr:row>203</xdr:row>
      <xdr:rowOff>104338</xdr:rowOff>
    </xdr:to>
    <xdr:pic>
      <xdr:nvPicPr>
        <xdr:cNvPr id="13" name="13 Imagen">
          <a:extLst>
            <a:ext uri="{FF2B5EF4-FFF2-40B4-BE49-F238E27FC236}">
              <a16:creationId xmlns:a16="http://schemas.microsoft.com/office/drawing/2014/main" id="{D1D982F6-E9BE-4B7F-AC70-A5D1692E4F15}"/>
            </a:ext>
          </a:extLst>
        </xdr:cNvPr>
        <xdr:cNvPicPr>
          <a:picLocks noChangeAspect="1"/>
        </xdr:cNvPicPr>
      </xdr:nvPicPr>
      <xdr:blipFill>
        <a:blip xmlns:r="http://schemas.openxmlformats.org/officeDocument/2006/relationships" r:embed="rId12"/>
        <a:stretch>
          <a:fillRect/>
        </a:stretch>
      </xdr:blipFill>
      <xdr:spPr>
        <a:xfrm>
          <a:off x="0" y="36351209"/>
          <a:ext cx="5705475" cy="2872304"/>
        </a:xfrm>
        <a:prstGeom prst="rect">
          <a:avLst/>
        </a:prstGeom>
      </xdr:spPr>
    </xdr:pic>
    <xdr:clientData/>
  </xdr:twoCellAnchor>
  <xdr:twoCellAnchor editAs="oneCell">
    <xdr:from>
      <xdr:col>0</xdr:col>
      <xdr:colOff>466725</xdr:colOff>
      <xdr:row>204</xdr:row>
      <xdr:rowOff>85725</xdr:rowOff>
    </xdr:from>
    <xdr:to>
      <xdr:col>2</xdr:col>
      <xdr:colOff>933170</xdr:colOff>
      <xdr:row>207</xdr:row>
      <xdr:rowOff>123749</xdr:rowOff>
    </xdr:to>
    <xdr:pic>
      <xdr:nvPicPr>
        <xdr:cNvPr id="14" name="14 Imagen">
          <a:extLst>
            <a:ext uri="{FF2B5EF4-FFF2-40B4-BE49-F238E27FC236}">
              <a16:creationId xmlns:a16="http://schemas.microsoft.com/office/drawing/2014/main" id="{F96C75B1-389F-436D-999E-FC62643D2148}"/>
            </a:ext>
          </a:extLst>
        </xdr:cNvPr>
        <xdr:cNvPicPr>
          <a:picLocks noChangeAspect="1"/>
        </xdr:cNvPicPr>
      </xdr:nvPicPr>
      <xdr:blipFill>
        <a:blip xmlns:r="http://schemas.openxmlformats.org/officeDocument/2006/relationships" r:embed="rId13"/>
        <a:stretch>
          <a:fillRect/>
        </a:stretch>
      </xdr:blipFill>
      <xdr:spPr>
        <a:xfrm>
          <a:off x="466725" y="39395400"/>
          <a:ext cx="2238095" cy="609524"/>
        </a:xfrm>
        <a:prstGeom prst="rect">
          <a:avLst/>
        </a:prstGeom>
      </xdr:spPr>
    </xdr:pic>
    <xdr:clientData/>
  </xdr:twoCellAnchor>
  <xdr:twoCellAnchor editAs="oneCell">
    <xdr:from>
      <xdr:col>3</xdr:col>
      <xdr:colOff>28576</xdr:colOff>
      <xdr:row>209</xdr:row>
      <xdr:rowOff>0</xdr:rowOff>
    </xdr:from>
    <xdr:to>
      <xdr:col>3</xdr:col>
      <xdr:colOff>398026</xdr:colOff>
      <xdr:row>210</xdr:row>
      <xdr:rowOff>47590</xdr:rowOff>
    </xdr:to>
    <xdr:pic>
      <xdr:nvPicPr>
        <xdr:cNvPr id="15" name="15 Imagen">
          <a:extLst>
            <a:ext uri="{FF2B5EF4-FFF2-40B4-BE49-F238E27FC236}">
              <a16:creationId xmlns:a16="http://schemas.microsoft.com/office/drawing/2014/main" id="{32F715F2-36DB-47F6-9558-9FDAFE648973}"/>
            </a:ext>
          </a:extLst>
        </xdr:cNvPr>
        <xdr:cNvPicPr>
          <a:picLocks noChangeAspect="1"/>
        </xdr:cNvPicPr>
      </xdr:nvPicPr>
      <xdr:blipFill>
        <a:blip xmlns:r="http://schemas.openxmlformats.org/officeDocument/2006/relationships" r:embed="rId14"/>
        <a:stretch>
          <a:fillRect/>
        </a:stretch>
      </xdr:blipFill>
      <xdr:spPr>
        <a:xfrm>
          <a:off x="2990851" y="40271700"/>
          <a:ext cx="369450" cy="247615"/>
        </a:xfrm>
        <a:prstGeom prst="rect">
          <a:avLst/>
        </a:prstGeom>
      </xdr:spPr>
    </xdr:pic>
    <xdr:clientData/>
  </xdr:twoCellAnchor>
  <xdr:twoCellAnchor editAs="oneCell">
    <xdr:from>
      <xdr:col>0</xdr:col>
      <xdr:colOff>38100</xdr:colOff>
      <xdr:row>28</xdr:row>
      <xdr:rowOff>76200</xdr:rowOff>
    </xdr:from>
    <xdr:to>
      <xdr:col>5</xdr:col>
      <xdr:colOff>752475</xdr:colOff>
      <xdr:row>40</xdr:row>
      <xdr:rowOff>178331</xdr:rowOff>
    </xdr:to>
    <xdr:pic>
      <xdr:nvPicPr>
        <xdr:cNvPr id="16" name="9 Imagen">
          <a:extLst>
            <a:ext uri="{FF2B5EF4-FFF2-40B4-BE49-F238E27FC236}">
              <a16:creationId xmlns:a16="http://schemas.microsoft.com/office/drawing/2014/main" id="{79A0D60A-CAE0-45F1-8871-D06325C47E05}"/>
            </a:ext>
          </a:extLst>
        </xdr:cNvPr>
        <xdr:cNvPicPr>
          <a:picLocks noChangeAspect="1"/>
        </xdr:cNvPicPr>
      </xdr:nvPicPr>
      <xdr:blipFill>
        <a:blip xmlns:r="http://schemas.openxmlformats.org/officeDocument/2006/relationships" r:embed="rId8"/>
        <a:stretch>
          <a:fillRect/>
        </a:stretch>
      </xdr:blipFill>
      <xdr:spPr>
        <a:xfrm>
          <a:off x="38100" y="5562600"/>
          <a:ext cx="5591175" cy="238813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69</xdr:row>
      <xdr:rowOff>134077</xdr:rowOff>
    </xdr:from>
    <xdr:to>
      <xdr:col>5</xdr:col>
      <xdr:colOff>434174</xdr:colOff>
      <xdr:row>72</xdr:row>
      <xdr:rowOff>91492</xdr:rowOff>
    </xdr:to>
    <xdr:pic>
      <xdr:nvPicPr>
        <xdr:cNvPr id="2" name="3 Imagen">
          <a:extLst>
            <a:ext uri="{FF2B5EF4-FFF2-40B4-BE49-F238E27FC236}">
              <a16:creationId xmlns:a16="http://schemas.microsoft.com/office/drawing/2014/main" id="{4C59E456-40EA-40FC-ACBF-59C6EA860853}"/>
            </a:ext>
          </a:extLst>
        </xdr:cNvPr>
        <xdr:cNvPicPr>
          <a:picLocks noChangeAspect="1"/>
        </xdr:cNvPicPr>
      </xdr:nvPicPr>
      <xdr:blipFill>
        <a:blip xmlns:r="http://schemas.openxmlformats.org/officeDocument/2006/relationships" r:embed="rId1"/>
        <a:stretch>
          <a:fillRect/>
        </a:stretch>
      </xdr:blipFill>
      <xdr:spPr>
        <a:xfrm>
          <a:off x="0" y="14535877"/>
          <a:ext cx="5272874" cy="528915"/>
        </a:xfrm>
        <a:prstGeom prst="rect">
          <a:avLst/>
        </a:prstGeom>
      </xdr:spPr>
    </xdr:pic>
    <xdr:clientData/>
  </xdr:twoCellAnchor>
  <xdr:twoCellAnchor editAs="oneCell">
    <xdr:from>
      <xdr:col>0</xdr:col>
      <xdr:colOff>0</xdr:colOff>
      <xdr:row>72</xdr:row>
      <xdr:rowOff>144780</xdr:rowOff>
    </xdr:from>
    <xdr:to>
      <xdr:col>5</xdr:col>
      <xdr:colOff>436682</xdr:colOff>
      <xdr:row>81</xdr:row>
      <xdr:rowOff>137327</xdr:rowOff>
    </xdr:to>
    <xdr:pic>
      <xdr:nvPicPr>
        <xdr:cNvPr id="3" name="4 Imagen">
          <a:extLst>
            <a:ext uri="{FF2B5EF4-FFF2-40B4-BE49-F238E27FC236}">
              <a16:creationId xmlns:a16="http://schemas.microsoft.com/office/drawing/2014/main" id="{D2E290A9-DAE4-4AD6-AC7D-9B46652B197D}"/>
            </a:ext>
          </a:extLst>
        </xdr:cNvPr>
        <xdr:cNvPicPr>
          <a:picLocks noChangeAspect="1"/>
        </xdr:cNvPicPr>
      </xdr:nvPicPr>
      <xdr:blipFill>
        <a:blip xmlns:r="http://schemas.openxmlformats.org/officeDocument/2006/relationships" r:embed="rId2"/>
        <a:stretch>
          <a:fillRect/>
        </a:stretch>
      </xdr:blipFill>
      <xdr:spPr>
        <a:xfrm>
          <a:off x="0" y="15118080"/>
          <a:ext cx="5275382" cy="1707047"/>
        </a:xfrm>
        <a:prstGeom prst="rect">
          <a:avLst/>
        </a:prstGeom>
      </xdr:spPr>
    </xdr:pic>
    <xdr:clientData/>
  </xdr:twoCellAnchor>
  <xdr:twoCellAnchor editAs="oneCell">
    <xdr:from>
      <xdr:col>0</xdr:col>
      <xdr:colOff>21772</xdr:colOff>
      <xdr:row>84</xdr:row>
      <xdr:rowOff>141514</xdr:rowOff>
    </xdr:from>
    <xdr:to>
      <xdr:col>5</xdr:col>
      <xdr:colOff>448877</xdr:colOff>
      <xdr:row>93</xdr:row>
      <xdr:rowOff>109022</xdr:rowOff>
    </xdr:to>
    <xdr:pic>
      <xdr:nvPicPr>
        <xdr:cNvPr id="4" name="5 Imagen">
          <a:extLst>
            <a:ext uri="{FF2B5EF4-FFF2-40B4-BE49-F238E27FC236}">
              <a16:creationId xmlns:a16="http://schemas.microsoft.com/office/drawing/2014/main" id="{18AD8375-F02A-4BC6-B1E8-76DA74F77EB2}"/>
            </a:ext>
          </a:extLst>
        </xdr:cNvPr>
        <xdr:cNvPicPr>
          <a:picLocks noChangeAspect="1"/>
        </xdr:cNvPicPr>
      </xdr:nvPicPr>
      <xdr:blipFill>
        <a:blip xmlns:r="http://schemas.openxmlformats.org/officeDocument/2006/relationships" r:embed="rId3"/>
        <a:stretch>
          <a:fillRect/>
        </a:stretch>
      </xdr:blipFill>
      <xdr:spPr>
        <a:xfrm>
          <a:off x="21772" y="17419864"/>
          <a:ext cx="5265805" cy="1682008"/>
        </a:xfrm>
        <a:prstGeom prst="rect">
          <a:avLst/>
        </a:prstGeom>
      </xdr:spPr>
    </xdr:pic>
    <xdr:clientData/>
  </xdr:twoCellAnchor>
  <xdr:twoCellAnchor editAs="oneCell">
    <xdr:from>
      <xdr:col>0</xdr:col>
      <xdr:colOff>0</xdr:colOff>
      <xdr:row>95</xdr:row>
      <xdr:rowOff>171136</xdr:rowOff>
    </xdr:from>
    <xdr:to>
      <xdr:col>5</xdr:col>
      <xdr:colOff>415668</xdr:colOff>
      <xdr:row>106</xdr:row>
      <xdr:rowOff>94937</xdr:rowOff>
    </xdr:to>
    <xdr:pic>
      <xdr:nvPicPr>
        <xdr:cNvPr id="5" name="8 Imagen">
          <a:extLst>
            <a:ext uri="{FF2B5EF4-FFF2-40B4-BE49-F238E27FC236}">
              <a16:creationId xmlns:a16="http://schemas.microsoft.com/office/drawing/2014/main" id="{D34DE2B0-52F5-4EC7-B2C5-2A28D92BB34B}"/>
            </a:ext>
          </a:extLst>
        </xdr:cNvPr>
        <xdr:cNvPicPr>
          <a:picLocks noChangeAspect="1"/>
        </xdr:cNvPicPr>
      </xdr:nvPicPr>
      <xdr:blipFill>
        <a:blip xmlns:r="http://schemas.openxmlformats.org/officeDocument/2006/relationships" r:embed="rId4"/>
        <a:stretch>
          <a:fillRect/>
        </a:stretch>
      </xdr:blipFill>
      <xdr:spPr>
        <a:xfrm>
          <a:off x="0" y="19564036"/>
          <a:ext cx="5254368" cy="2019301"/>
        </a:xfrm>
        <a:prstGeom prst="rect">
          <a:avLst/>
        </a:prstGeom>
      </xdr:spPr>
    </xdr:pic>
    <xdr:clientData/>
  </xdr:twoCellAnchor>
  <xdr:twoCellAnchor editAs="oneCell">
    <xdr:from>
      <xdr:col>0</xdr:col>
      <xdr:colOff>0</xdr:colOff>
      <xdr:row>109</xdr:row>
      <xdr:rowOff>135157</xdr:rowOff>
    </xdr:from>
    <xdr:to>
      <xdr:col>6</xdr:col>
      <xdr:colOff>38928</xdr:colOff>
      <xdr:row>117</xdr:row>
      <xdr:rowOff>58192</xdr:rowOff>
    </xdr:to>
    <xdr:pic>
      <xdr:nvPicPr>
        <xdr:cNvPr id="6" name="1 Imagen">
          <a:extLst>
            <a:ext uri="{FF2B5EF4-FFF2-40B4-BE49-F238E27FC236}">
              <a16:creationId xmlns:a16="http://schemas.microsoft.com/office/drawing/2014/main" id="{F2913EB5-0941-4412-8507-F6FCD1FF19B8}"/>
            </a:ext>
          </a:extLst>
        </xdr:cNvPr>
        <xdr:cNvPicPr>
          <a:picLocks noChangeAspect="1"/>
        </xdr:cNvPicPr>
      </xdr:nvPicPr>
      <xdr:blipFill>
        <a:blip xmlns:r="http://schemas.openxmlformats.org/officeDocument/2006/relationships" r:embed="rId5"/>
        <a:stretch>
          <a:fillRect/>
        </a:stretch>
      </xdr:blipFill>
      <xdr:spPr>
        <a:xfrm>
          <a:off x="0" y="22214107"/>
          <a:ext cx="5639628" cy="1447035"/>
        </a:xfrm>
        <a:prstGeom prst="rect">
          <a:avLst/>
        </a:prstGeom>
      </xdr:spPr>
    </xdr:pic>
    <xdr:clientData/>
  </xdr:twoCellAnchor>
  <xdr:twoCellAnchor editAs="oneCell">
    <xdr:from>
      <xdr:col>0</xdr:col>
      <xdr:colOff>1</xdr:colOff>
      <xdr:row>116</xdr:row>
      <xdr:rowOff>165652</xdr:rowOff>
    </xdr:from>
    <xdr:to>
      <xdr:col>6</xdr:col>
      <xdr:colOff>121755</xdr:colOff>
      <xdr:row>123</xdr:row>
      <xdr:rowOff>120040</xdr:rowOff>
    </xdr:to>
    <xdr:pic>
      <xdr:nvPicPr>
        <xdr:cNvPr id="7" name="2 Imagen">
          <a:extLst>
            <a:ext uri="{FF2B5EF4-FFF2-40B4-BE49-F238E27FC236}">
              <a16:creationId xmlns:a16="http://schemas.microsoft.com/office/drawing/2014/main" id="{701E4907-184E-453A-B7C8-E77E6B9C20B4}"/>
            </a:ext>
          </a:extLst>
        </xdr:cNvPr>
        <xdr:cNvPicPr>
          <a:picLocks noChangeAspect="1"/>
        </xdr:cNvPicPr>
      </xdr:nvPicPr>
      <xdr:blipFill>
        <a:blip xmlns:r="http://schemas.openxmlformats.org/officeDocument/2006/relationships" r:embed="rId6"/>
        <a:stretch>
          <a:fillRect/>
        </a:stretch>
      </xdr:blipFill>
      <xdr:spPr>
        <a:xfrm>
          <a:off x="1" y="23578102"/>
          <a:ext cx="5722454" cy="1287888"/>
        </a:xfrm>
        <a:prstGeom prst="rect">
          <a:avLst/>
        </a:prstGeom>
      </xdr:spPr>
    </xdr:pic>
    <xdr:clientData/>
  </xdr:twoCellAnchor>
  <xdr:twoCellAnchor editAs="oneCell">
    <xdr:from>
      <xdr:col>0</xdr:col>
      <xdr:colOff>0</xdr:colOff>
      <xdr:row>126</xdr:row>
      <xdr:rowOff>109689</xdr:rowOff>
    </xdr:from>
    <xdr:to>
      <xdr:col>6</xdr:col>
      <xdr:colOff>55493</xdr:colOff>
      <xdr:row>135</xdr:row>
      <xdr:rowOff>24633</xdr:rowOff>
    </xdr:to>
    <xdr:pic>
      <xdr:nvPicPr>
        <xdr:cNvPr id="8" name="6 Imagen">
          <a:extLst>
            <a:ext uri="{FF2B5EF4-FFF2-40B4-BE49-F238E27FC236}">
              <a16:creationId xmlns:a16="http://schemas.microsoft.com/office/drawing/2014/main" id="{80A0F19E-D728-4F2C-A31B-A25E52CF8DDF}"/>
            </a:ext>
          </a:extLst>
        </xdr:cNvPr>
        <xdr:cNvPicPr>
          <a:picLocks noChangeAspect="1"/>
        </xdr:cNvPicPr>
      </xdr:nvPicPr>
      <xdr:blipFill>
        <a:blip xmlns:r="http://schemas.openxmlformats.org/officeDocument/2006/relationships" r:embed="rId7"/>
        <a:stretch>
          <a:fillRect/>
        </a:stretch>
      </xdr:blipFill>
      <xdr:spPr>
        <a:xfrm>
          <a:off x="0" y="25446189"/>
          <a:ext cx="5656193" cy="1629444"/>
        </a:xfrm>
        <a:prstGeom prst="rect">
          <a:avLst/>
        </a:prstGeom>
      </xdr:spPr>
    </xdr:pic>
    <xdr:clientData/>
  </xdr:twoCellAnchor>
  <xdr:twoCellAnchor editAs="oneCell">
    <xdr:from>
      <xdr:col>0</xdr:col>
      <xdr:colOff>57150</xdr:colOff>
      <xdr:row>142</xdr:row>
      <xdr:rowOff>126100</xdr:rowOff>
    </xdr:from>
    <xdr:to>
      <xdr:col>6</xdr:col>
      <xdr:colOff>47625</xdr:colOff>
      <xdr:row>155</xdr:row>
      <xdr:rowOff>37731</xdr:rowOff>
    </xdr:to>
    <xdr:pic>
      <xdr:nvPicPr>
        <xdr:cNvPr id="9" name="9 Imagen">
          <a:extLst>
            <a:ext uri="{FF2B5EF4-FFF2-40B4-BE49-F238E27FC236}">
              <a16:creationId xmlns:a16="http://schemas.microsoft.com/office/drawing/2014/main" id="{5E07EA7B-F528-49DD-AE16-493D31EAB3ED}"/>
            </a:ext>
          </a:extLst>
        </xdr:cNvPr>
        <xdr:cNvPicPr>
          <a:picLocks noChangeAspect="1"/>
        </xdr:cNvPicPr>
      </xdr:nvPicPr>
      <xdr:blipFill>
        <a:blip xmlns:r="http://schemas.openxmlformats.org/officeDocument/2006/relationships" r:embed="rId8"/>
        <a:stretch>
          <a:fillRect/>
        </a:stretch>
      </xdr:blipFill>
      <xdr:spPr>
        <a:xfrm>
          <a:off x="57150" y="28548700"/>
          <a:ext cx="5591175" cy="2388131"/>
        </a:xfrm>
        <a:prstGeom prst="rect">
          <a:avLst/>
        </a:prstGeom>
      </xdr:spPr>
    </xdr:pic>
    <xdr:clientData/>
  </xdr:twoCellAnchor>
  <xdr:twoCellAnchor editAs="oneCell">
    <xdr:from>
      <xdr:col>0</xdr:col>
      <xdr:colOff>0</xdr:colOff>
      <xdr:row>157</xdr:row>
      <xdr:rowOff>92489</xdr:rowOff>
    </xdr:from>
    <xdr:to>
      <xdr:col>5</xdr:col>
      <xdr:colOff>723900</xdr:colOff>
      <xdr:row>167</xdr:row>
      <xdr:rowOff>152088</xdr:rowOff>
    </xdr:to>
    <xdr:pic>
      <xdr:nvPicPr>
        <xdr:cNvPr id="10" name="10 Imagen">
          <a:extLst>
            <a:ext uri="{FF2B5EF4-FFF2-40B4-BE49-F238E27FC236}">
              <a16:creationId xmlns:a16="http://schemas.microsoft.com/office/drawing/2014/main" id="{9B703087-853C-4F0F-B28F-7CE95D28D1B8}"/>
            </a:ext>
          </a:extLst>
        </xdr:cNvPr>
        <xdr:cNvPicPr>
          <a:picLocks noChangeAspect="1"/>
        </xdr:cNvPicPr>
      </xdr:nvPicPr>
      <xdr:blipFill>
        <a:blip xmlns:r="http://schemas.openxmlformats.org/officeDocument/2006/relationships" r:embed="rId9"/>
        <a:stretch>
          <a:fillRect/>
        </a:stretch>
      </xdr:blipFill>
      <xdr:spPr>
        <a:xfrm>
          <a:off x="0" y="31372589"/>
          <a:ext cx="5562600" cy="1964599"/>
        </a:xfrm>
        <a:prstGeom prst="rect">
          <a:avLst/>
        </a:prstGeom>
      </xdr:spPr>
    </xdr:pic>
    <xdr:clientData/>
  </xdr:twoCellAnchor>
  <xdr:twoCellAnchor editAs="oneCell">
    <xdr:from>
      <xdr:col>1</xdr:col>
      <xdr:colOff>723900</xdr:colOff>
      <xdr:row>173</xdr:row>
      <xdr:rowOff>28575</xdr:rowOff>
    </xdr:from>
    <xdr:to>
      <xdr:col>3</xdr:col>
      <xdr:colOff>18867</xdr:colOff>
      <xdr:row>174</xdr:row>
      <xdr:rowOff>161885</xdr:rowOff>
    </xdr:to>
    <xdr:pic>
      <xdr:nvPicPr>
        <xdr:cNvPr id="11" name="11 Imagen">
          <a:extLst>
            <a:ext uri="{FF2B5EF4-FFF2-40B4-BE49-F238E27FC236}">
              <a16:creationId xmlns:a16="http://schemas.microsoft.com/office/drawing/2014/main" id="{1B178A26-C02D-406F-B70D-2B51EFE7AC3D}"/>
            </a:ext>
          </a:extLst>
        </xdr:cNvPr>
        <xdr:cNvPicPr>
          <a:picLocks noChangeAspect="1"/>
        </xdr:cNvPicPr>
      </xdr:nvPicPr>
      <xdr:blipFill>
        <a:blip xmlns:r="http://schemas.openxmlformats.org/officeDocument/2006/relationships" r:embed="rId10"/>
        <a:stretch>
          <a:fillRect/>
        </a:stretch>
      </xdr:blipFill>
      <xdr:spPr>
        <a:xfrm>
          <a:off x="1514475" y="34375725"/>
          <a:ext cx="1466667" cy="323810"/>
        </a:xfrm>
        <a:prstGeom prst="rect">
          <a:avLst/>
        </a:prstGeom>
      </xdr:spPr>
    </xdr:pic>
    <xdr:clientData/>
  </xdr:twoCellAnchor>
  <xdr:twoCellAnchor editAs="oneCell">
    <xdr:from>
      <xdr:col>1</xdr:col>
      <xdr:colOff>723900</xdr:colOff>
      <xdr:row>184</xdr:row>
      <xdr:rowOff>28575</xdr:rowOff>
    </xdr:from>
    <xdr:to>
      <xdr:col>3</xdr:col>
      <xdr:colOff>66486</xdr:colOff>
      <xdr:row>185</xdr:row>
      <xdr:rowOff>161885</xdr:rowOff>
    </xdr:to>
    <xdr:pic>
      <xdr:nvPicPr>
        <xdr:cNvPr id="12" name="12 Imagen">
          <a:extLst>
            <a:ext uri="{FF2B5EF4-FFF2-40B4-BE49-F238E27FC236}">
              <a16:creationId xmlns:a16="http://schemas.microsoft.com/office/drawing/2014/main" id="{15E6FF43-4E5C-4059-85E9-B71D0759CF18}"/>
            </a:ext>
          </a:extLst>
        </xdr:cNvPr>
        <xdr:cNvPicPr>
          <a:picLocks noChangeAspect="1"/>
        </xdr:cNvPicPr>
      </xdr:nvPicPr>
      <xdr:blipFill>
        <a:blip xmlns:r="http://schemas.openxmlformats.org/officeDocument/2006/relationships" r:embed="rId11"/>
        <a:stretch>
          <a:fillRect/>
        </a:stretch>
      </xdr:blipFill>
      <xdr:spPr>
        <a:xfrm>
          <a:off x="1514475" y="36490275"/>
          <a:ext cx="1514286" cy="323810"/>
        </a:xfrm>
        <a:prstGeom prst="rect">
          <a:avLst/>
        </a:prstGeom>
      </xdr:spPr>
    </xdr:pic>
    <xdr:clientData/>
  </xdr:twoCellAnchor>
  <xdr:twoCellAnchor editAs="oneCell">
    <xdr:from>
      <xdr:col>0</xdr:col>
      <xdr:colOff>0</xdr:colOff>
      <xdr:row>188</xdr:row>
      <xdr:rowOff>89534</xdr:rowOff>
    </xdr:from>
    <xdr:to>
      <xdr:col>6</xdr:col>
      <xdr:colOff>104775</xdr:colOff>
      <xdr:row>203</xdr:row>
      <xdr:rowOff>104338</xdr:rowOff>
    </xdr:to>
    <xdr:pic>
      <xdr:nvPicPr>
        <xdr:cNvPr id="13" name="13 Imagen">
          <a:extLst>
            <a:ext uri="{FF2B5EF4-FFF2-40B4-BE49-F238E27FC236}">
              <a16:creationId xmlns:a16="http://schemas.microsoft.com/office/drawing/2014/main" id="{BE187797-666F-40B5-8833-0BC95AA84160}"/>
            </a:ext>
          </a:extLst>
        </xdr:cNvPr>
        <xdr:cNvPicPr>
          <a:picLocks noChangeAspect="1"/>
        </xdr:cNvPicPr>
      </xdr:nvPicPr>
      <xdr:blipFill>
        <a:blip xmlns:r="http://schemas.openxmlformats.org/officeDocument/2006/relationships" r:embed="rId12"/>
        <a:stretch>
          <a:fillRect/>
        </a:stretch>
      </xdr:blipFill>
      <xdr:spPr>
        <a:xfrm>
          <a:off x="0" y="37313234"/>
          <a:ext cx="5705475" cy="2872304"/>
        </a:xfrm>
        <a:prstGeom prst="rect">
          <a:avLst/>
        </a:prstGeom>
      </xdr:spPr>
    </xdr:pic>
    <xdr:clientData/>
  </xdr:twoCellAnchor>
  <xdr:twoCellAnchor editAs="oneCell">
    <xdr:from>
      <xdr:col>0</xdr:col>
      <xdr:colOff>466725</xdr:colOff>
      <xdr:row>204</xdr:row>
      <xdr:rowOff>85725</xdr:rowOff>
    </xdr:from>
    <xdr:to>
      <xdr:col>2</xdr:col>
      <xdr:colOff>933170</xdr:colOff>
      <xdr:row>207</xdr:row>
      <xdr:rowOff>123749</xdr:rowOff>
    </xdr:to>
    <xdr:pic>
      <xdr:nvPicPr>
        <xdr:cNvPr id="14" name="14 Imagen">
          <a:extLst>
            <a:ext uri="{FF2B5EF4-FFF2-40B4-BE49-F238E27FC236}">
              <a16:creationId xmlns:a16="http://schemas.microsoft.com/office/drawing/2014/main" id="{F3921BA6-90A0-4480-BD60-3CA6E7F9D1FD}"/>
            </a:ext>
          </a:extLst>
        </xdr:cNvPr>
        <xdr:cNvPicPr>
          <a:picLocks noChangeAspect="1"/>
        </xdr:cNvPicPr>
      </xdr:nvPicPr>
      <xdr:blipFill>
        <a:blip xmlns:r="http://schemas.openxmlformats.org/officeDocument/2006/relationships" r:embed="rId13"/>
        <a:stretch>
          <a:fillRect/>
        </a:stretch>
      </xdr:blipFill>
      <xdr:spPr>
        <a:xfrm>
          <a:off x="466725" y="40357425"/>
          <a:ext cx="2238095" cy="609524"/>
        </a:xfrm>
        <a:prstGeom prst="rect">
          <a:avLst/>
        </a:prstGeom>
      </xdr:spPr>
    </xdr:pic>
    <xdr:clientData/>
  </xdr:twoCellAnchor>
  <xdr:twoCellAnchor editAs="oneCell">
    <xdr:from>
      <xdr:col>3</xdr:col>
      <xdr:colOff>28576</xdr:colOff>
      <xdr:row>209</xdr:row>
      <xdr:rowOff>0</xdr:rowOff>
    </xdr:from>
    <xdr:to>
      <xdr:col>3</xdr:col>
      <xdr:colOff>398026</xdr:colOff>
      <xdr:row>210</xdr:row>
      <xdr:rowOff>47590</xdr:rowOff>
    </xdr:to>
    <xdr:pic>
      <xdr:nvPicPr>
        <xdr:cNvPr id="15" name="15 Imagen">
          <a:extLst>
            <a:ext uri="{FF2B5EF4-FFF2-40B4-BE49-F238E27FC236}">
              <a16:creationId xmlns:a16="http://schemas.microsoft.com/office/drawing/2014/main" id="{3CD6F4F3-E114-4E95-908C-A8BB8DF5E82D}"/>
            </a:ext>
          </a:extLst>
        </xdr:cNvPr>
        <xdr:cNvPicPr>
          <a:picLocks noChangeAspect="1"/>
        </xdr:cNvPicPr>
      </xdr:nvPicPr>
      <xdr:blipFill>
        <a:blip xmlns:r="http://schemas.openxmlformats.org/officeDocument/2006/relationships" r:embed="rId14"/>
        <a:stretch>
          <a:fillRect/>
        </a:stretch>
      </xdr:blipFill>
      <xdr:spPr>
        <a:xfrm>
          <a:off x="2990851" y="41233725"/>
          <a:ext cx="369450" cy="247615"/>
        </a:xfrm>
        <a:prstGeom prst="rect">
          <a:avLst/>
        </a:prstGeom>
      </xdr:spPr>
    </xdr:pic>
    <xdr:clientData/>
  </xdr:twoCellAnchor>
  <xdr:twoCellAnchor editAs="oneCell">
    <xdr:from>
      <xdr:col>0</xdr:col>
      <xdr:colOff>38100</xdr:colOff>
      <xdr:row>28</xdr:row>
      <xdr:rowOff>76200</xdr:rowOff>
    </xdr:from>
    <xdr:to>
      <xdr:col>6</xdr:col>
      <xdr:colOff>28575</xdr:colOff>
      <xdr:row>40</xdr:row>
      <xdr:rowOff>178331</xdr:rowOff>
    </xdr:to>
    <xdr:pic>
      <xdr:nvPicPr>
        <xdr:cNvPr id="16" name="9 Imagen">
          <a:extLst>
            <a:ext uri="{FF2B5EF4-FFF2-40B4-BE49-F238E27FC236}">
              <a16:creationId xmlns:a16="http://schemas.microsoft.com/office/drawing/2014/main" id="{497146C3-55D4-4DFA-9BDB-73BEFCCFDA71}"/>
            </a:ext>
          </a:extLst>
        </xdr:cNvPr>
        <xdr:cNvPicPr>
          <a:picLocks noChangeAspect="1"/>
        </xdr:cNvPicPr>
      </xdr:nvPicPr>
      <xdr:blipFill>
        <a:blip xmlns:r="http://schemas.openxmlformats.org/officeDocument/2006/relationships" r:embed="rId8"/>
        <a:stretch>
          <a:fillRect/>
        </a:stretch>
      </xdr:blipFill>
      <xdr:spPr>
        <a:xfrm>
          <a:off x="38100" y="6524625"/>
          <a:ext cx="5591175" cy="23881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69</xdr:row>
      <xdr:rowOff>134077</xdr:rowOff>
    </xdr:from>
    <xdr:to>
      <xdr:col>5</xdr:col>
      <xdr:colOff>434174</xdr:colOff>
      <xdr:row>72</xdr:row>
      <xdr:rowOff>91492</xdr:rowOff>
    </xdr:to>
    <xdr:pic>
      <xdr:nvPicPr>
        <xdr:cNvPr id="2" name="3 Imagen">
          <a:extLst>
            <a:ext uri="{FF2B5EF4-FFF2-40B4-BE49-F238E27FC236}">
              <a16:creationId xmlns:a16="http://schemas.microsoft.com/office/drawing/2014/main" id="{1808A9FA-C06E-4D85-BF52-DE4380AD363D}"/>
            </a:ext>
          </a:extLst>
        </xdr:cNvPr>
        <xdr:cNvPicPr>
          <a:picLocks noChangeAspect="1"/>
        </xdr:cNvPicPr>
      </xdr:nvPicPr>
      <xdr:blipFill>
        <a:blip xmlns:r="http://schemas.openxmlformats.org/officeDocument/2006/relationships" r:embed="rId1"/>
        <a:stretch>
          <a:fillRect/>
        </a:stretch>
      </xdr:blipFill>
      <xdr:spPr>
        <a:xfrm>
          <a:off x="0" y="14535877"/>
          <a:ext cx="5272874" cy="528915"/>
        </a:xfrm>
        <a:prstGeom prst="rect">
          <a:avLst/>
        </a:prstGeom>
      </xdr:spPr>
    </xdr:pic>
    <xdr:clientData/>
  </xdr:twoCellAnchor>
  <xdr:twoCellAnchor editAs="oneCell">
    <xdr:from>
      <xdr:col>0</xdr:col>
      <xdr:colOff>0</xdr:colOff>
      <xdr:row>72</xdr:row>
      <xdr:rowOff>144780</xdr:rowOff>
    </xdr:from>
    <xdr:to>
      <xdr:col>5</xdr:col>
      <xdr:colOff>436682</xdr:colOff>
      <xdr:row>81</xdr:row>
      <xdr:rowOff>137327</xdr:rowOff>
    </xdr:to>
    <xdr:pic>
      <xdr:nvPicPr>
        <xdr:cNvPr id="3" name="4 Imagen">
          <a:extLst>
            <a:ext uri="{FF2B5EF4-FFF2-40B4-BE49-F238E27FC236}">
              <a16:creationId xmlns:a16="http://schemas.microsoft.com/office/drawing/2014/main" id="{3B0A1C5E-FF6D-4F29-B824-79D717771ECE}"/>
            </a:ext>
          </a:extLst>
        </xdr:cNvPr>
        <xdr:cNvPicPr>
          <a:picLocks noChangeAspect="1"/>
        </xdr:cNvPicPr>
      </xdr:nvPicPr>
      <xdr:blipFill>
        <a:blip xmlns:r="http://schemas.openxmlformats.org/officeDocument/2006/relationships" r:embed="rId2"/>
        <a:stretch>
          <a:fillRect/>
        </a:stretch>
      </xdr:blipFill>
      <xdr:spPr>
        <a:xfrm>
          <a:off x="0" y="15118080"/>
          <a:ext cx="5275382" cy="1707047"/>
        </a:xfrm>
        <a:prstGeom prst="rect">
          <a:avLst/>
        </a:prstGeom>
      </xdr:spPr>
    </xdr:pic>
    <xdr:clientData/>
  </xdr:twoCellAnchor>
  <xdr:twoCellAnchor editAs="oneCell">
    <xdr:from>
      <xdr:col>0</xdr:col>
      <xdr:colOff>21772</xdr:colOff>
      <xdr:row>84</xdr:row>
      <xdr:rowOff>141514</xdr:rowOff>
    </xdr:from>
    <xdr:to>
      <xdr:col>5</xdr:col>
      <xdr:colOff>448877</xdr:colOff>
      <xdr:row>93</xdr:row>
      <xdr:rowOff>109022</xdr:rowOff>
    </xdr:to>
    <xdr:pic>
      <xdr:nvPicPr>
        <xdr:cNvPr id="4" name="5 Imagen">
          <a:extLst>
            <a:ext uri="{FF2B5EF4-FFF2-40B4-BE49-F238E27FC236}">
              <a16:creationId xmlns:a16="http://schemas.microsoft.com/office/drawing/2014/main" id="{DB359542-2382-455D-9A1F-E5969AB9B5E2}"/>
            </a:ext>
          </a:extLst>
        </xdr:cNvPr>
        <xdr:cNvPicPr>
          <a:picLocks noChangeAspect="1"/>
        </xdr:cNvPicPr>
      </xdr:nvPicPr>
      <xdr:blipFill>
        <a:blip xmlns:r="http://schemas.openxmlformats.org/officeDocument/2006/relationships" r:embed="rId3"/>
        <a:stretch>
          <a:fillRect/>
        </a:stretch>
      </xdr:blipFill>
      <xdr:spPr>
        <a:xfrm>
          <a:off x="21772" y="17419864"/>
          <a:ext cx="5265805" cy="1682008"/>
        </a:xfrm>
        <a:prstGeom prst="rect">
          <a:avLst/>
        </a:prstGeom>
      </xdr:spPr>
    </xdr:pic>
    <xdr:clientData/>
  </xdr:twoCellAnchor>
  <xdr:twoCellAnchor editAs="oneCell">
    <xdr:from>
      <xdr:col>0</xdr:col>
      <xdr:colOff>0</xdr:colOff>
      <xdr:row>95</xdr:row>
      <xdr:rowOff>171136</xdr:rowOff>
    </xdr:from>
    <xdr:to>
      <xdr:col>5</xdr:col>
      <xdr:colOff>415668</xdr:colOff>
      <xdr:row>106</xdr:row>
      <xdr:rowOff>94937</xdr:rowOff>
    </xdr:to>
    <xdr:pic>
      <xdr:nvPicPr>
        <xdr:cNvPr id="5" name="8 Imagen">
          <a:extLst>
            <a:ext uri="{FF2B5EF4-FFF2-40B4-BE49-F238E27FC236}">
              <a16:creationId xmlns:a16="http://schemas.microsoft.com/office/drawing/2014/main" id="{958C7595-580E-4A75-BF1D-3A418CECAED8}"/>
            </a:ext>
          </a:extLst>
        </xdr:cNvPr>
        <xdr:cNvPicPr>
          <a:picLocks noChangeAspect="1"/>
        </xdr:cNvPicPr>
      </xdr:nvPicPr>
      <xdr:blipFill>
        <a:blip xmlns:r="http://schemas.openxmlformats.org/officeDocument/2006/relationships" r:embed="rId4"/>
        <a:stretch>
          <a:fillRect/>
        </a:stretch>
      </xdr:blipFill>
      <xdr:spPr>
        <a:xfrm>
          <a:off x="0" y="19564036"/>
          <a:ext cx="5254368" cy="2019301"/>
        </a:xfrm>
        <a:prstGeom prst="rect">
          <a:avLst/>
        </a:prstGeom>
      </xdr:spPr>
    </xdr:pic>
    <xdr:clientData/>
  </xdr:twoCellAnchor>
  <xdr:twoCellAnchor editAs="oneCell">
    <xdr:from>
      <xdr:col>0</xdr:col>
      <xdr:colOff>0</xdr:colOff>
      <xdr:row>109</xdr:row>
      <xdr:rowOff>135157</xdr:rowOff>
    </xdr:from>
    <xdr:to>
      <xdr:col>6</xdr:col>
      <xdr:colOff>38928</xdr:colOff>
      <xdr:row>117</xdr:row>
      <xdr:rowOff>58192</xdr:rowOff>
    </xdr:to>
    <xdr:pic>
      <xdr:nvPicPr>
        <xdr:cNvPr id="6" name="1 Imagen">
          <a:extLst>
            <a:ext uri="{FF2B5EF4-FFF2-40B4-BE49-F238E27FC236}">
              <a16:creationId xmlns:a16="http://schemas.microsoft.com/office/drawing/2014/main" id="{092F5D22-FCAB-4D6F-A01C-593B8336ADD2}"/>
            </a:ext>
          </a:extLst>
        </xdr:cNvPr>
        <xdr:cNvPicPr>
          <a:picLocks noChangeAspect="1"/>
        </xdr:cNvPicPr>
      </xdr:nvPicPr>
      <xdr:blipFill>
        <a:blip xmlns:r="http://schemas.openxmlformats.org/officeDocument/2006/relationships" r:embed="rId5"/>
        <a:stretch>
          <a:fillRect/>
        </a:stretch>
      </xdr:blipFill>
      <xdr:spPr>
        <a:xfrm>
          <a:off x="0" y="22214107"/>
          <a:ext cx="5639628" cy="1447035"/>
        </a:xfrm>
        <a:prstGeom prst="rect">
          <a:avLst/>
        </a:prstGeom>
      </xdr:spPr>
    </xdr:pic>
    <xdr:clientData/>
  </xdr:twoCellAnchor>
  <xdr:twoCellAnchor editAs="oneCell">
    <xdr:from>
      <xdr:col>0</xdr:col>
      <xdr:colOff>1</xdr:colOff>
      <xdr:row>116</xdr:row>
      <xdr:rowOff>165652</xdr:rowOff>
    </xdr:from>
    <xdr:to>
      <xdr:col>6</xdr:col>
      <xdr:colOff>121755</xdr:colOff>
      <xdr:row>123</xdr:row>
      <xdr:rowOff>120040</xdr:rowOff>
    </xdr:to>
    <xdr:pic>
      <xdr:nvPicPr>
        <xdr:cNvPr id="7" name="2 Imagen">
          <a:extLst>
            <a:ext uri="{FF2B5EF4-FFF2-40B4-BE49-F238E27FC236}">
              <a16:creationId xmlns:a16="http://schemas.microsoft.com/office/drawing/2014/main" id="{632C99CC-02AD-43CF-B27E-6CFB7B863ED2}"/>
            </a:ext>
          </a:extLst>
        </xdr:cNvPr>
        <xdr:cNvPicPr>
          <a:picLocks noChangeAspect="1"/>
        </xdr:cNvPicPr>
      </xdr:nvPicPr>
      <xdr:blipFill>
        <a:blip xmlns:r="http://schemas.openxmlformats.org/officeDocument/2006/relationships" r:embed="rId6"/>
        <a:stretch>
          <a:fillRect/>
        </a:stretch>
      </xdr:blipFill>
      <xdr:spPr>
        <a:xfrm>
          <a:off x="1" y="23578102"/>
          <a:ext cx="5722454" cy="1287888"/>
        </a:xfrm>
        <a:prstGeom prst="rect">
          <a:avLst/>
        </a:prstGeom>
      </xdr:spPr>
    </xdr:pic>
    <xdr:clientData/>
  </xdr:twoCellAnchor>
  <xdr:twoCellAnchor editAs="oneCell">
    <xdr:from>
      <xdr:col>0</xdr:col>
      <xdr:colOff>0</xdr:colOff>
      <xdr:row>126</xdr:row>
      <xdr:rowOff>109689</xdr:rowOff>
    </xdr:from>
    <xdr:to>
      <xdr:col>6</xdr:col>
      <xdr:colOff>55493</xdr:colOff>
      <xdr:row>135</xdr:row>
      <xdr:rowOff>24633</xdr:rowOff>
    </xdr:to>
    <xdr:pic>
      <xdr:nvPicPr>
        <xdr:cNvPr id="8" name="6 Imagen">
          <a:extLst>
            <a:ext uri="{FF2B5EF4-FFF2-40B4-BE49-F238E27FC236}">
              <a16:creationId xmlns:a16="http://schemas.microsoft.com/office/drawing/2014/main" id="{A37B15F2-6F40-4F8D-A16B-B6E7B031B41B}"/>
            </a:ext>
          </a:extLst>
        </xdr:cNvPr>
        <xdr:cNvPicPr>
          <a:picLocks noChangeAspect="1"/>
        </xdr:cNvPicPr>
      </xdr:nvPicPr>
      <xdr:blipFill>
        <a:blip xmlns:r="http://schemas.openxmlformats.org/officeDocument/2006/relationships" r:embed="rId7"/>
        <a:stretch>
          <a:fillRect/>
        </a:stretch>
      </xdr:blipFill>
      <xdr:spPr>
        <a:xfrm>
          <a:off x="0" y="25446189"/>
          <a:ext cx="5656193" cy="1629444"/>
        </a:xfrm>
        <a:prstGeom prst="rect">
          <a:avLst/>
        </a:prstGeom>
      </xdr:spPr>
    </xdr:pic>
    <xdr:clientData/>
  </xdr:twoCellAnchor>
  <xdr:twoCellAnchor editAs="oneCell">
    <xdr:from>
      <xdr:col>0</xdr:col>
      <xdr:colOff>57150</xdr:colOff>
      <xdr:row>142</xdr:row>
      <xdr:rowOff>126100</xdr:rowOff>
    </xdr:from>
    <xdr:to>
      <xdr:col>6</xdr:col>
      <xdr:colOff>47625</xdr:colOff>
      <xdr:row>155</xdr:row>
      <xdr:rowOff>37731</xdr:rowOff>
    </xdr:to>
    <xdr:pic>
      <xdr:nvPicPr>
        <xdr:cNvPr id="9" name="9 Imagen">
          <a:extLst>
            <a:ext uri="{FF2B5EF4-FFF2-40B4-BE49-F238E27FC236}">
              <a16:creationId xmlns:a16="http://schemas.microsoft.com/office/drawing/2014/main" id="{0BBAB4D9-ECC9-4479-A035-556F10238F94}"/>
            </a:ext>
          </a:extLst>
        </xdr:cNvPr>
        <xdr:cNvPicPr>
          <a:picLocks noChangeAspect="1"/>
        </xdr:cNvPicPr>
      </xdr:nvPicPr>
      <xdr:blipFill>
        <a:blip xmlns:r="http://schemas.openxmlformats.org/officeDocument/2006/relationships" r:embed="rId8"/>
        <a:stretch>
          <a:fillRect/>
        </a:stretch>
      </xdr:blipFill>
      <xdr:spPr>
        <a:xfrm>
          <a:off x="57150" y="28548700"/>
          <a:ext cx="5591175" cy="2388131"/>
        </a:xfrm>
        <a:prstGeom prst="rect">
          <a:avLst/>
        </a:prstGeom>
      </xdr:spPr>
    </xdr:pic>
    <xdr:clientData/>
  </xdr:twoCellAnchor>
  <xdr:twoCellAnchor editAs="oneCell">
    <xdr:from>
      <xdr:col>0</xdr:col>
      <xdr:colOff>0</xdr:colOff>
      <xdr:row>157</xdr:row>
      <xdr:rowOff>92489</xdr:rowOff>
    </xdr:from>
    <xdr:to>
      <xdr:col>5</xdr:col>
      <xdr:colOff>723900</xdr:colOff>
      <xdr:row>167</xdr:row>
      <xdr:rowOff>152088</xdr:rowOff>
    </xdr:to>
    <xdr:pic>
      <xdr:nvPicPr>
        <xdr:cNvPr id="10" name="10 Imagen">
          <a:extLst>
            <a:ext uri="{FF2B5EF4-FFF2-40B4-BE49-F238E27FC236}">
              <a16:creationId xmlns:a16="http://schemas.microsoft.com/office/drawing/2014/main" id="{52904DFF-86F5-436F-AF3C-671FEFDDE96A}"/>
            </a:ext>
          </a:extLst>
        </xdr:cNvPr>
        <xdr:cNvPicPr>
          <a:picLocks noChangeAspect="1"/>
        </xdr:cNvPicPr>
      </xdr:nvPicPr>
      <xdr:blipFill>
        <a:blip xmlns:r="http://schemas.openxmlformats.org/officeDocument/2006/relationships" r:embed="rId9"/>
        <a:stretch>
          <a:fillRect/>
        </a:stretch>
      </xdr:blipFill>
      <xdr:spPr>
        <a:xfrm>
          <a:off x="0" y="31372589"/>
          <a:ext cx="5562600" cy="1964599"/>
        </a:xfrm>
        <a:prstGeom prst="rect">
          <a:avLst/>
        </a:prstGeom>
      </xdr:spPr>
    </xdr:pic>
    <xdr:clientData/>
  </xdr:twoCellAnchor>
  <xdr:twoCellAnchor editAs="oneCell">
    <xdr:from>
      <xdr:col>1</xdr:col>
      <xdr:colOff>723900</xdr:colOff>
      <xdr:row>173</xdr:row>
      <xdr:rowOff>28575</xdr:rowOff>
    </xdr:from>
    <xdr:to>
      <xdr:col>3</xdr:col>
      <xdr:colOff>18867</xdr:colOff>
      <xdr:row>174</xdr:row>
      <xdr:rowOff>161885</xdr:rowOff>
    </xdr:to>
    <xdr:pic>
      <xdr:nvPicPr>
        <xdr:cNvPr id="11" name="11 Imagen">
          <a:extLst>
            <a:ext uri="{FF2B5EF4-FFF2-40B4-BE49-F238E27FC236}">
              <a16:creationId xmlns:a16="http://schemas.microsoft.com/office/drawing/2014/main" id="{77B6B4E7-3C2F-4008-84B5-3C922CAF6D12}"/>
            </a:ext>
          </a:extLst>
        </xdr:cNvPr>
        <xdr:cNvPicPr>
          <a:picLocks noChangeAspect="1"/>
        </xdr:cNvPicPr>
      </xdr:nvPicPr>
      <xdr:blipFill>
        <a:blip xmlns:r="http://schemas.openxmlformats.org/officeDocument/2006/relationships" r:embed="rId10"/>
        <a:stretch>
          <a:fillRect/>
        </a:stretch>
      </xdr:blipFill>
      <xdr:spPr>
        <a:xfrm>
          <a:off x="1514475" y="34375725"/>
          <a:ext cx="1466667" cy="323810"/>
        </a:xfrm>
        <a:prstGeom prst="rect">
          <a:avLst/>
        </a:prstGeom>
      </xdr:spPr>
    </xdr:pic>
    <xdr:clientData/>
  </xdr:twoCellAnchor>
  <xdr:twoCellAnchor editAs="oneCell">
    <xdr:from>
      <xdr:col>1</xdr:col>
      <xdr:colOff>723900</xdr:colOff>
      <xdr:row>184</xdr:row>
      <xdr:rowOff>28575</xdr:rowOff>
    </xdr:from>
    <xdr:to>
      <xdr:col>3</xdr:col>
      <xdr:colOff>66486</xdr:colOff>
      <xdr:row>185</xdr:row>
      <xdr:rowOff>161885</xdr:rowOff>
    </xdr:to>
    <xdr:pic>
      <xdr:nvPicPr>
        <xdr:cNvPr id="12" name="12 Imagen">
          <a:extLst>
            <a:ext uri="{FF2B5EF4-FFF2-40B4-BE49-F238E27FC236}">
              <a16:creationId xmlns:a16="http://schemas.microsoft.com/office/drawing/2014/main" id="{8889CE15-AE65-47A9-9572-56DB2EAAB701}"/>
            </a:ext>
          </a:extLst>
        </xdr:cNvPr>
        <xdr:cNvPicPr>
          <a:picLocks noChangeAspect="1"/>
        </xdr:cNvPicPr>
      </xdr:nvPicPr>
      <xdr:blipFill>
        <a:blip xmlns:r="http://schemas.openxmlformats.org/officeDocument/2006/relationships" r:embed="rId11"/>
        <a:stretch>
          <a:fillRect/>
        </a:stretch>
      </xdr:blipFill>
      <xdr:spPr>
        <a:xfrm>
          <a:off x="1514475" y="36490275"/>
          <a:ext cx="1514286" cy="323810"/>
        </a:xfrm>
        <a:prstGeom prst="rect">
          <a:avLst/>
        </a:prstGeom>
      </xdr:spPr>
    </xdr:pic>
    <xdr:clientData/>
  </xdr:twoCellAnchor>
  <xdr:twoCellAnchor editAs="oneCell">
    <xdr:from>
      <xdr:col>0</xdr:col>
      <xdr:colOff>0</xdr:colOff>
      <xdr:row>188</xdr:row>
      <xdr:rowOff>89534</xdr:rowOff>
    </xdr:from>
    <xdr:to>
      <xdr:col>6</xdr:col>
      <xdr:colOff>104775</xdr:colOff>
      <xdr:row>203</xdr:row>
      <xdr:rowOff>104338</xdr:rowOff>
    </xdr:to>
    <xdr:pic>
      <xdr:nvPicPr>
        <xdr:cNvPr id="13" name="13 Imagen">
          <a:extLst>
            <a:ext uri="{FF2B5EF4-FFF2-40B4-BE49-F238E27FC236}">
              <a16:creationId xmlns:a16="http://schemas.microsoft.com/office/drawing/2014/main" id="{DF521D5A-ED58-45D7-8593-B1BD7D8EB0E2}"/>
            </a:ext>
          </a:extLst>
        </xdr:cNvPr>
        <xdr:cNvPicPr>
          <a:picLocks noChangeAspect="1"/>
        </xdr:cNvPicPr>
      </xdr:nvPicPr>
      <xdr:blipFill>
        <a:blip xmlns:r="http://schemas.openxmlformats.org/officeDocument/2006/relationships" r:embed="rId12"/>
        <a:stretch>
          <a:fillRect/>
        </a:stretch>
      </xdr:blipFill>
      <xdr:spPr>
        <a:xfrm>
          <a:off x="0" y="37313234"/>
          <a:ext cx="5705475" cy="2872304"/>
        </a:xfrm>
        <a:prstGeom prst="rect">
          <a:avLst/>
        </a:prstGeom>
      </xdr:spPr>
    </xdr:pic>
    <xdr:clientData/>
  </xdr:twoCellAnchor>
  <xdr:twoCellAnchor editAs="oneCell">
    <xdr:from>
      <xdr:col>0</xdr:col>
      <xdr:colOff>466725</xdr:colOff>
      <xdr:row>204</xdr:row>
      <xdr:rowOff>85725</xdr:rowOff>
    </xdr:from>
    <xdr:to>
      <xdr:col>2</xdr:col>
      <xdr:colOff>933170</xdr:colOff>
      <xdr:row>207</xdr:row>
      <xdr:rowOff>123749</xdr:rowOff>
    </xdr:to>
    <xdr:pic>
      <xdr:nvPicPr>
        <xdr:cNvPr id="14" name="14 Imagen">
          <a:extLst>
            <a:ext uri="{FF2B5EF4-FFF2-40B4-BE49-F238E27FC236}">
              <a16:creationId xmlns:a16="http://schemas.microsoft.com/office/drawing/2014/main" id="{131D439D-9605-46FD-A1F9-E5C7E3613889}"/>
            </a:ext>
          </a:extLst>
        </xdr:cNvPr>
        <xdr:cNvPicPr>
          <a:picLocks noChangeAspect="1"/>
        </xdr:cNvPicPr>
      </xdr:nvPicPr>
      <xdr:blipFill>
        <a:blip xmlns:r="http://schemas.openxmlformats.org/officeDocument/2006/relationships" r:embed="rId13"/>
        <a:stretch>
          <a:fillRect/>
        </a:stretch>
      </xdr:blipFill>
      <xdr:spPr>
        <a:xfrm>
          <a:off x="466725" y="40357425"/>
          <a:ext cx="2238095" cy="609524"/>
        </a:xfrm>
        <a:prstGeom prst="rect">
          <a:avLst/>
        </a:prstGeom>
      </xdr:spPr>
    </xdr:pic>
    <xdr:clientData/>
  </xdr:twoCellAnchor>
  <xdr:twoCellAnchor editAs="oneCell">
    <xdr:from>
      <xdr:col>3</xdr:col>
      <xdr:colOff>28576</xdr:colOff>
      <xdr:row>209</xdr:row>
      <xdr:rowOff>0</xdr:rowOff>
    </xdr:from>
    <xdr:to>
      <xdr:col>3</xdr:col>
      <xdr:colOff>398026</xdr:colOff>
      <xdr:row>210</xdr:row>
      <xdr:rowOff>47590</xdr:rowOff>
    </xdr:to>
    <xdr:pic>
      <xdr:nvPicPr>
        <xdr:cNvPr id="15" name="15 Imagen">
          <a:extLst>
            <a:ext uri="{FF2B5EF4-FFF2-40B4-BE49-F238E27FC236}">
              <a16:creationId xmlns:a16="http://schemas.microsoft.com/office/drawing/2014/main" id="{72C7C087-898B-4526-B1BA-79434B57023F}"/>
            </a:ext>
          </a:extLst>
        </xdr:cNvPr>
        <xdr:cNvPicPr>
          <a:picLocks noChangeAspect="1"/>
        </xdr:cNvPicPr>
      </xdr:nvPicPr>
      <xdr:blipFill>
        <a:blip xmlns:r="http://schemas.openxmlformats.org/officeDocument/2006/relationships" r:embed="rId14"/>
        <a:stretch>
          <a:fillRect/>
        </a:stretch>
      </xdr:blipFill>
      <xdr:spPr>
        <a:xfrm>
          <a:off x="2990851" y="41233725"/>
          <a:ext cx="369450" cy="247615"/>
        </a:xfrm>
        <a:prstGeom prst="rect">
          <a:avLst/>
        </a:prstGeom>
      </xdr:spPr>
    </xdr:pic>
    <xdr:clientData/>
  </xdr:twoCellAnchor>
  <xdr:twoCellAnchor editAs="oneCell">
    <xdr:from>
      <xdr:col>0</xdr:col>
      <xdr:colOff>38100</xdr:colOff>
      <xdr:row>28</xdr:row>
      <xdr:rowOff>76200</xdr:rowOff>
    </xdr:from>
    <xdr:to>
      <xdr:col>6</xdr:col>
      <xdr:colOff>28575</xdr:colOff>
      <xdr:row>40</xdr:row>
      <xdr:rowOff>178331</xdr:rowOff>
    </xdr:to>
    <xdr:pic>
      <xdr:nvPicPr>
        <xdr:cNvPr id="16" name="9 Imagen">
          <a:extLst>
            <a:ext uri="{FF2B5EF4-FFF2-40B4-BE49-F238E27FC236}">
              <a16:creationId xmlns:a16="http://schemas.microsoft.com/office/drawing/2014/main" id="{D04C3C99-F8DD-47CC-B1B4-E4C5CE295AB1}"/>
            </a:ext>
          </a:extLst>
        </xdr:cNvPr>
        <xdr:cNvPicPr>
          <a:picLocks noChangeAspect="1"/>
        </xdr:cNvPicPr>
      </xdr:nvPicPr>
      <xdr:blipFill>
        <a:blip xmlns:r="http://schemas.openxmlformats.org/officeDocument/2006/relationships" r:embed="rId8"/>
        <a:stretch>
          <a:fillRect/>
        </a:stretch>
      </xdr:blipFill>
      <xdr:spPr>
        <a:xfrm>
          <a:off x="38100" y="6524625"/>
          <a:ext cx="5591175" cy="238813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69</xdr:row>
      <xdr:rowOff>134077</xdr:rowOff>
    </xdr:from>
    <xdr:to>
      <xdr:col>5</xdr:col>
      <xdr:colOff>243674</xdr:colOff>
      <xdr:row>72</xdr:row>
      <xdr:rowOff>91492</xdr:rowOff>
    </xdr:to>
    <xdr:pic>
      <xdr:nvPicPr>
        <xdr:cNvPr id="2" name="3 Imagen">
          <a:extLst>
            <a:ext uri="{FF2B5EF4-FFF2-40B4-BE49-F238E27FC236}">
              <a16:creationId xmlns:a16="http://schemas.microsoft.com/office/drawing/2014/main" id="{81CCDE05-DEDD-49D0-8D6B-98FE0759C815}"/>
            </a:ext>
          </a:extLst>
        </xdr:cNvPr>
        <xdr:cNvPicPr>
          <a:picLocks noChangeAspect="1"/>
        </xdr:cNvPicPr>
      </xdr:nvPicPr>
      <xdr:blipFill>
        <a:blip xmlns:r="http://schemas.openxmlformats.org/officeDocument/2006/relationships" r:embed="rId1"/>
        <a:stretch>
          <a:fillRect/>
        </a:stretch>
      </xdr:blipFill>
      <xdr:spPr>
        <a:xfrm>
          <a:off x="0" y="14364427"/>
          <a:ext cx="5272874" cy="528915"/>
        </a:xfrm>
        <a:prstGeom prst="rect">
          <a:avLst/>
        </a:prstGeom>
      </xdr:spPr>
    </xdr:pic>
    <xdr:clientData/>
  </xdr:twoCellAnchor>
  <xdr:twoCellAnchor editAs="oneCell">
    <xdr:from>
      <xdr:col>0</xdr:col>
      <xdr:colOff>0</xdr:colOff>
      <xdr:row>72</xdr:row>
      <xdr:rowOff>144780</xdr:rowOff>
    </xdr:from>
    <xdr:to>
      <xdr:col>5</xdr:col>
      <xdr:colOff>246182</xdr:colOff>
      <xdr:row>81</xdr:row>
      <xdr:rowOff>137327</xdr:rowOff>
    </xdr:to>
    <xdr:pic>
      <xdr:nvPicPr>
        <xdr:cNvPr id="3" name="4 Imagen">
          <a:extLst>
            <a:ext uri="{FF2B5EF4-FFF2-40B4-BE49-F238E27FC236}">
              <a16:creationId xmlns:a16="http://schemas.microsoft.com/office/drawing/2014/main" id="{85D3B42D-0DE5-44C4-8E64-C587D874D570}"/>
            </a:ext>
          </a:extLst>
        </xdr:cNvPr>
        <xdr:cNvPicPr>
          <a:picLocks noChangeAspect="1"/>
        </xdr:cNvPicPr>
      </xdr:nvPicPr>
      <xdr:blipFill>
        <a:blip xmlns:r="http://schemas.openxmlformats.org/officeDocument/2006/relationships" r:embed="rId2"/>
        <a:stretch>
          <a:fillRect/>
        </a:stretch>
      </xdr:blipFill>
      <xdr:spPr>
        <a:xfrm>
          <a:off x="0" y="14946630"/>
          <a:ext cx="5275382" cy="1707047"/>
        </a:xfrm>
        <a:prstGeom prst="rect">
          <a:avLst/>
        </a:prstGeom>
      </xdr:spPr>
    </xdr:pic>
    <xdr:clientData/>
  </xdr:twoCellAnchor>
  <xdr:twoCellAnchor editAs="oneCell">
    <xdr:from>
      <xdr:col>0</xdr:col>
      <xdr:colOff>21772</xdr:colOff>
      <xdr:row>84</xdr:row>
      <xdr:rowOff>141514</xdr:rowOff>
    </xdr:from>
    <xdr:to>
      <xdr:col>5</xdr:col>
      <xdr:colOff>258377</xdr:colOff>
      <xdr:row>93</xdr:row>
      <xdr:rowOff>109022</xdr:rowOff>
    </xdr:to>
    <xdr:pic>
      <xdr:nvPicPr>
        <xdr:cNvPr id="4" name="5 Imagen">
          <a:extLst>
            <a:ext uri="{FF2B5EF4-FFF2-40B4-BE49-F238E27FC236}">
              <a16:creationId xmlns:a16="http://schemas.microsoft.com/office/drawing/2014/main" id="{3E7F08C7-C665-4AF0-8FD1-89AE1159F8FD}"/>
            </a:ext>
          </a:extLst>
        </xdr:cNvPr>
        <xdr:cNvPicPr>
          <a:picLocks noChangeAspect="1"/>
        </xdr:cNvPicPr>
      </xdr:nvPicPr>
      <xdr:blipFill>
        <a:blip xmlns:r="http://schemas.openxmlformats.org/officeDocument/2006/relationships" r:embed="rId3"/>
        <a:stretch>
          <a:fillRect/>
        </a:stretch>
      </xdr:blipFill>
      <xdr:spPr>
        <a:xfrm>
          <a:off x="21772" y="17248414"/>
          <a:ext cx="5265805" cy="1682008"/>
        </a:xfrm>
        <a:prstGeom prst="rect">
          <a:avLst/>
        </a:prstGeom>
      </xdr:spPr>
    </xdr:pic>
    <xdr:clientData/>
  </xdr:twoCellAnchor>
  <xdr:twoCellAnchor editAs="oneCell">
    <xdr:from>
      <xdr:col>0</xdr:col>
      <xdr:colOff>0</xdr:colOff>
      <xdr:row>95</xdr:row>
      <xdr:rowOff>171136</xdr:rowOff>
    </xdr:from>
    <xdr:to>
      <xdr:col>5</xdr:col>
      <xdr:colOff>225168</xdr:colOff>
      <xdr:row>106</xdr:row>
      <xdr:rowOff>94937</xdr:rowOff>
    </xdr:to>
    <xdr:pic>
      <xdr:nvPicPr>
        <xdr:cNvPr id="5" name="8 Imagen">
          <a:extLst>
            <a:ext uri="{FF2B5EF4-FFF2-40B4-BE49-F238E27FC236}">
              <a16:creationId xmlns:a16="http://schemas.microsoft.com/office/drawing/2014/main" id="{0C5C0AB7-DD27-4D66-BAE6-B5F6B544AD89}"/>
            </a:ext>
          </a:extLst>
        </xdr:cNvPr>
        <xdr:cNvPicPr>
          <a:picLocks noChangeAspect="1"/>
        </xdr:cNvPicPr>
      </xdr:nvPicPr>
      <xdr:blipFill>
        <a:blip xmlns:r="http://schemas.openxmlformats.org/officeDocument/2006/relationships" r:embed="rId4"/>
        <a:stretch>
          <a:fillRect/>
        </a:stretch>
      </xdr:blipFill>
      <xdr:spPr>
        <a:xfrm>
          <a:off x="0" y="19392586"/>
          <a:ext cx="5254368" cy="2019301"/>
        </a:xfrm>
        <a:prstGeom prst="rect">
          <a:avLst/>
        </a:prstGeom>
      </xdr:spPr>
    </xdr:pic>
    <xdr:clientData/>
  </xdr:twoCellAnchor>
  <xdr:twoCellAnchor editAs="oneCell">
    <xdr:from>
      <xdr:col>0</xdr:col>
      <xdr:colOff>0</xdr:colOff>
      <xdr:row>109</xdr:row>
      <xdr:rowOff>135157</xdr:rowOff>
    </xdr:from>
    <xdr:to>
      <xdr:col>5</xdr:col>
      <xdr:colOff>610428</xdr:colOff>
      <xdr:row>117</xdr:row>
      <xdr:rowOff>58192</xdr:rowOff>
    </xdr:to>
    <xdr:pic>
      <xdr:nvPicPr>
        <xdr:cNvPr id="6" name="1 Imagen">
          <a:extLst>
            <a:ext uri="{FF2B5EF4-FFF2-40B4-BE49-F238E27FC236}">
              <a16:creationId xmlns:a16="http://schemas.microsoft.com/office/drawing/2014/main" id="{C14F0A59-4411-470E-AE68-B46131EE0FF6}"/>
            </a:ext>
          </a:extLst>
        </xdr:cNvPr>
        <xdr:cNvPicPr>
          <a:picLocks noChangeAspect="1"/>
        </xdr:cNvPicPr>
      </xdr:nvPicPr>
      <xdr:blipFill>
        <a:blip xmlns:r="http://schemas.openxmlformats.org/officeDocument/2006/relationships" r:embed="rId5"/>
        <a:stretch>
          <a:fillRect/>
        </a:stretch>
      </xdr:blipFill>
      <xdr:spPr>
        <a:xfrm>
          <a:off x="0" y="22042657"/>
          <a:ext cx="5639628" cy="1447035"/>
        </a:xfrm>
        <a:prstGeom prst="rect">
          <a:avLst/>
        </a:prstGeom>
      </xdr:spPr>
    </xdr:pic>
    <xdr:clientData/>
  </xdr:twoCellAnchor>
  <xdr:twoCellAnchor editAs="oneCell">
    <xdr:from>
      <xdr:col>0</xdr:col>
      <xdr:colOff>1</xdr:colOff>
      <xdr:row>116</xdr:row>
      <xdr:rowOff>165652</xdr:rowOff>
    </xdr:from>
    <xdr:to>
      <xdr:col>5</xdr:col>
      <xdr:colOff>693255</xdr:colOff>
      <xdr:row>123</xdr:row>
      <xdr:rowOff>120040</xdr:rowOff>
    </xdr:to>
    <xdr:pic>
      <xdr:nvPicPr>
        <xdr:cNvPr id="7" name="2 Imagen">
          <a:extLst>
            <a:ext uri="{FF2B5EF4-FFF2-40B4-BE49-F238E27FC236}">
              <a16:creationId xmlns:a16="http://schemas.microsoft.com/office/drawing/2014/main" id="{EFC1A525-B8C5-4565-B153-B9AC6C730C86}"/>
            </a:ext>
          </a:extLst>
        </xdr:cNvPr>
        <xdr:cNvPicPr>
          <a:picLocks noChangeAspect="1"/>
        </xdr:cNvPicPr>
      </xdr:nvPicPr>
      <xdr:blipFill>
        <a:blip xmlns:r="http://schemas.openxmlformats.org/officeDocument/2006/relationships" r:embed="rId6"/>
        <a:stretch>
          <a:fillRect/>
        </a:stretch>
      </xdr:blipFill>
      <xdr:spPr>
        <a:xfrm>
          <a:off x="1" y="23406652"/>
          <a:ext cx="5722454" cy="1287888"/>
        </a:xfrm>
        <a:prstGeom prst="rect">
          <a:avLst/>
        </a:prstGeom>
      </xdr:spPr>
    </xdr:pic>
    <xdr:clientData/>
  </xdr:twoCellAnchor>
  <xdr:twoCellAnchor editAs="oneCell">
    <xdr:from>
      <xdr:col>0</xdr:col>
      <xdr:colOff>0</xdr:colOff>
      <xdr:row>126</xdr:row>
      <xdr:rowOff>109689</xdr:rowOff>
    </xdr:from>
    <xdr:to>
      <xdr:col>5</xdr:col>
      <xdr:colOff>626993</xdr:colOff>
      <xdr:row>135</xdr:row>
      <xdr:rowOff>24633</xdr:rowOff>
    </xdr:to>
    <xdr:pic>
      <xdr:nvPicPr>
        <xdr:cNvPr id="8" name="6 Imagen">
          <a:extLst>
            <a:ext uri="{FF2B5EF4-FFF2-40B4-BE49-F238E27FC236}">
              <a16:creationId xmlns:a16="http://schemas.microsoft.com/office/drawing/2014/main" id="{BA9C46F0-573E-42B9-9127-74AFFF4D6384}"/>
            </a:ext>
          </a:extLst>
        </xdr:cNvPr>
        <xdr:cNvPicPr>
          <a:picLocks noChangeAspect="1"/>
        </xdr:cNvPicPr>
      </xdr:nvPicPr>
      <xdr:blipFill>
        <a:blip xmlns:r="http://schemas.openxmlformats.org/officeDocument/2006/relationships" r:embed="rId7"/>
        <a:stretch>
          <a:fillRect/>
        </a:stretch>
      </xdr:blipFill>
      <xdr:spPr>
        <a:xfrm>
          <a:off x="0" y="25274739"/>
          <a:ext cx="5656193" cy="1629444"/>
        </a:xfrm>
        <a:prstGeom prst="rect">
          <a:avLst/>
        </a:prstGeom>
      </xdr:spPr>
    </xdr:pic>
    <xdr:clientData/>
  </xdr:twoCellAnchor>
  <xdr:twoCellAnchor editAs="oneCell">
    <xdr:from>
      <xdr:col>0</xdr:col>
      <xdr:colOff>57150</xdr:colOff>
      <xdr:row>142</xdr:row>
      <xdr:rowOff>126100</xdr:rowOff>
    </xdr:from>
    <xdr:to>
      <xdr:col>5</xdr:col>
      <xdr:colOff>619125</xdr:colOff>
      <xdr:row>155</xdr:row>
      <xdr:rowOff>37731</xdr:rowOff>
    </xdr:to>
    <xdr:pic>
      <xdr:nvPicPr>
        <xdr:cNvPr id="9" name="9 Imagen">
          <a:extLst>
            <a:ext uri="{FF2B5EF4-FFF2-40B4-BE49-F238E27FC236}">
              <a16:creationId xmlns:a16="http://schemas.microsoft.com/office/drawing/2014/main" id="{1C3801DD-D961-4B2B-B69A-5A6DE26B5A1C}"/>
            </a:ext>
          </a:extLst>
        </xdr:cNvPr>
        <xdr:cNvPicPr>
          <a:picLocks noChangeAspect="1"/>
        </xdr:cNvPicPr>
      </xdr:nvPicPr>
      <xdr:blipFill>
        <a:blip xmlns:r="http://schemas.openxmlformats.org/officeDocument/2006/relationships" r:embed="rId8"/>
        <a:stretch>
          <a:fillRect/>
        </a:stretch>
      </xdr:blipFill>
      <xdr:spPr>
        <a:xfrm>
          <a:off x="57150" y="28377250"/>
          <a:ext cx="5591175" cy="2388131"/>
        </a:xfrm>
        <a:prstGeom prst="rect">
          <a:avLst/>
        </a:prstGeom>
      </xdr:spPr>
    </xdr:pic>
    <xdr:clientData/>
  </xdr:twoCellAnchor>
  <xdr:twoCellAnchor editAs="oneCell">
    <xdr:from>
      <xdr:col>0</xdr:col>
      <xdr:colOff>0</xdr:colOff>
      <xdr:row>157</xdr:row>
      <xdr:rowOff>92489</xdr:rowOff>
    </xdr:from>
    <xdr:to>
      <xdr:col>5</xdr:col>
      <xdr:colOff>533400</xdr:colOff>
      <xdr:row>167</xdr:row>
      <xdr:rowOff>152088</xdr:rowOff>
    </xdr:to>
    <xdr:pic>
      <xdr:nvPicPr>
        <xdr:cNvPr id="10" name="10 Imagen">
          <a:extLst>
            <a:ext uri="{FF2B5EF4-FFF2-40B4-BE49-F238E27FC236}">
              <a16:creationId xmlns:a16="http://schemas.microsoft.com/office/drawing/2014/main" id="{B3C4C3F5-9726-4737-953F-E2182DC4F12C}"/>
            </a:ext>
          </a:extLst>
        </xdr:cNvPr>
        <xdr:cNvPicPr>
          <a:picLocks noChangeAspect="1"/>
        </xdr:cNvPicPr>
      </xdr:nvPicPr>
      <xdr:blipFill>
        <a:blip xmlns:r="http://schemas.openxmlformats.org/officeDocument/2006/relationships" r:embed="rId9"/>
        <a:stretch>
          <a:fillRect/>
        </a:stretch>
      </xdr:blipFill>
      <xdr:spPr>
        <a:xfrm>
          <a:off x="0" y="31201139"/>
          <a:ext cx="5562600" cy="1964599"/>
        </a:xfrm>
        <a:prstGeom prst="rect">
          <a:avLst/>
        </a:prstGeom>
      </xdr:spPr>
    </xdr:pic>
    <xdr:clientData/>
  </xdr:twoCellAnchor>
  <xdr:twoCellAnchor editAs="oneCell">
    <xdr:from>
      <xdr:col>1</xdr:col>
      <xdr:colOff>723900</xdr:colOff>
      <xdr:row>173</xdr:row>
      <xdr:rowOff>28575</xdr:rowOff>
    </xdr:from>
    <xdr:to>
      <xdr:col>3</xdr:col>
      <xdr:colOff>18867</xdr:colOff>
      <xdr:row>174</xdr:row>
      <xdr:rowOff>161885</xdr:rowOff>
    </xdr:to>
    <xdr:pic>
      <xdr:nvPicPr>
        <xdr:cNvPr id="11" name="11 Imagen">
          <a:extLst>
            <a:ext uri="{FF2B5EF4-FFF2-40B4-BE49-F238E27FC236}">
              <a16:creationId xmlns:a16="http://schemas.microsoft.com/office/drawing/2014/main" id="{64122249-BB98-406E-BA91-F7608DB63E7D}"/>
            </a:ext>
          </a:extLst>
        </xdr:cNvPr>
        <xdr:cNvPicPr>
          <a:picLocks noChangeAspect="1"/>
        </xdr:cNvPicPr>
      </xdr:nvPicPr>
      <xdr:blipFill>
        <a:blip xmlns:r="http://schemas.openxmlformats.org/officeDocument/2006/relationships" r:embed="rId10"/>
        <a:stretch>
          <a:fillRect/>
        </a:stretch>
      </xdr:blipFill>
      <xdr:spPr>
        <a:xfrm>
          <a:off x="1514475" y="34204275"/>
          <a:ext cx="1466667" cy="323810"/>
        </a:xfrm>
        <a:prstGeom prst="rect">
          <a:avLst/>
        </a:prstGeom>
      </xdr:spPr>
    </xdr:pic>
    <xdr:clientData/>
  </xdr:twoCellAnchor>
  <xdr:twoCellAnchor editAs="oneCell">
    <xdr:from>
      <xdr:col>1</xdr:col>
      <xdr:colOff>723900</xdr:colOff>
      <xdr:row>184</xdr:row>
      <xdr:rowOff>28575</xdr:rowOff>
    </xdr:from>
    <xdr:to>
      <xdr:col>3</xdr:col>
      <xdr:colOff>66486</xdr:colOff>
      <xdr:row>185</xdr:row>
      <xdr:rowOff>161885</xdr:rowOff>
    </xdr:to>
    <xdr:pic>
      <xdr:nvPicPr>
        <xdr:cNvPr id="12" name="12 Imagen">
          <a:extLst>
            <a:ext uri="{FF2B5EF4-FFF2-40B4-BE49-F238E27FC236}">
              <a16:creationId xmlns:a16="http://schemas.microsoft.com/office/drawing/2014/main" id="{B8E7C81F-62FD-43A1-8FBF-EF95C0C3E485}"/>
            </a:ext>
          </a:extLst>
        </xdr:cNvPr>
        <xdr:cNvPicPr>
          <a:picLocks noChangeAspect="1"/>
        </xdr:cNvPicPr>
      </xdr:nvPicPr>
      <xdr:blipFill>
        <a:blip xmlns:r="http://schemas.openxmlformats.org/officeDocument/2006/relationships" r:embed="rId11"/>
        <a:stretch>
          <a:fillRect/>
        </a:stretch>
      </xdr:blipFill>
      <xdr:spPr>
        <a:xfrm>
          <a:off x="1514475" y="36318825"/>
          <a:ext cx="1514286" cy="323810"/>
        </a:xfrm>
        <a:prstGeom prst="rect">
          <a:avLst/>
        </a:prstGeom>
      </xdr:spPr>
    </xdr:pic>
    <xdr:clientData/>
  </xdr:twoCellAnchor>
  <xdr:twoCellAnchor editAs="oneCell">
    <xdr:from>
      <xdr:col>0</xdr:col>
      <xdr:colOff>0</xdr:colOff>
      <xdr:row>188</xdr:row>
      <xdr:rowOff>89534</xdr:rowOff>
    </xdr:from>
    <xdr:to>
      <xdr:col>5</xdr:col>
      <xdr:colOff>676275</xdr:colOff>
      <xdr:row>203</xdr:row>
      <xdr:rowOff>104338</xdr:rowOff>
    </xdr:to>
    <xdr:pic>
      <xdr:nvPicPr>
        <xdr:cNvPr id="13" name="13 Imagen">
          <a:extLst>
            <a:ext uri="{FF2B5EF4-FFF2-40B4-BE49-F238E27FC236}">
              <a16:creationId xmlns:a16="http://schemas.microsoft.com/office/drawing/2014/main" id="{0AC0AFB2-4A99-47C9-90C7-BFF57C1F4D1C}"/>
            </a:ext>
          </a:extLst>
        </xdr:cNvPr>
        <xdr:cNvPicPr>
          <a:picLocks noChangeAspect="1"/>
        </xdr:cNvPicPr>
      </xdr:nvPicPr>
      <xdr:blipFill>
        <a:blip xmlns:r="http://schemas.openxmlformats.org/officeDocument/2006/relationships" r:embed="rId12"/>
        <a:stretch>
          <a:fillRect/>
        </a:stretch>
      </xdr:blipFill>
      <xdr:spPr>
        <a:xfrm>
          <a:off x="0" y="37141784"/>
          <a:ext cx="5705475" cy="2872304"/>
        </a:xfrm>
        <a:prstGeom prst="rect">
          <a:avLst/>
        </a:prstGeom>
      </xdr:spPr>
    </xdr:pic>
    <xdr:clientData/>
  </xdr:twoCellAnchor>
  <xdr:twoCellAnchor editAs="oneCell">
    <xdr:from>
      <xdr:col>0</xdr:col>
      <xdr:colOff>466725</xdr:colOff>
      <xdr:row>204</xdr:row>
      <xdr:rowOff>85725</xdr:rowOff>
    </xdr:from>
    <xdr:to>
      <xdr:col>2</xdr:col>
      <xdr:colOff>933170</xdr:colOff>
      <xdr:row>207</xdr:row>
      <xdr:rowOff>123749</xdr:rowOff>
    </xdr:to>
    <xdr:pic>
      <xdr:nvPicPr>
        <xdr:cNvPr id="14" name="14 Imagen">
          <a:extLst>
            <a:ext uri="{FF2B5EF4-FFF2-40B4-BE49-F238E27FC236}">
              <a16:creationId xmlns:a16="http://schemas.microsoft.com/office/drawing/2014/main" id="{A2DF6EA3-7F2B-4AC1-A726-C632C4306BF2}"/>
            </a:ext>
          </a:extLst>
        </xdr:cNvPr>
        <xdr:cNvPicPr>
          <a:picLocks noChangeAspect="1"/>
        </xdr:cNvPicPr>
      </xdr:nvPicPr>
      <xdr:blipFill>
        <a:blip xmlns:r="http://schemas.openxmlformats.org/officeDocument/2006/relationships" r:embed="rId13"/>
        <a:stretch>
          <a:fillRect/>
        </a:stretch>
      </xdr:blipFill>
      <xdr:spPr>
        <a:xfrm>
          <a:off x="466725" y="40185975"/>
          <a:ext cx="2238095" cy="609524"/>
        </a:xfrm>
        <a:prstGeom prst="rect">
          <a:avLst/>
        </a:prstGeom>
      </xdr:spPr>
    </xdr:pic>
    <xdr:clientData/>
  </xdr:twoCellAnchor>
  <xdr:twoCellAnchor editAs="oneCell">
    <xdr:from>
      <xdr:col>3</xdr:col>
      <xdr:colOff>28576</xdr:colOff>
      <xdr:row>209</xdr:row>
      <xdr:rowOff>0</xdr:rowOff>
    </xdr:from>
    <xdr:to>
      <xdr:col>3</xdr:col>
      <xdr:colOff>398026</xdr:colOff>
      <xdr:row>210</xdr:row>
      <xdr:rowOff>47590</xdr:rowOff>
    </xdr:to>
    <xdr:pic>
      <xdr:nvPicPr>
        <xdr:cNvPr id="15" name="15 Imagen">
          <a:extLst>
            <a:ext uri="{FF2B5EF4-FFF2-40B4-BE49-F238E27FC236}">
              <a16:creationId xmlns:a16="http://schemas.microsoft.com/office/drawing/2014/main" id="{4C82C47A-B062-460C-9CB4-A06879071640}"/>
            </a:ext>
          </a:extLst>
        </xdr:cNvPr>
        <xdr:cNvPicPr>
          <a:picLocks noChangeAspect="1"/>
        </xdr:cNvPicPr>
      </xdr:nvPicPr>
      <xdr:blipFill>
        <a:blip xmlns:r="http://schemas.openxmlformats.org/officeDocument/2006/relationships" r:embed="rId14"/>
        <a:stretch>
          <a:fillRect/>
        </a:stretch>
      </xdr:blipFill>
      <xdr:spPr>
        <a:xfrm>
          <a:off x="2990851" y="41062275"/>
          <a:ext cx="369450" cy="247615"/>
        </a:xfrm>
        <a:prstGeom prst="rect">
          <a:avLst/>
        </a:prstGeom>
      </xdr:spPr>
    </xdr:pic>
    <xdr:clientData/>
  </xdr:twoCellAnchor>
  <xdr:twoCellAnchor editAs="oneCell">
    <xdr:from>
      <xdr:col>0</xdr:col>
      <xdr:colOff>38100</xdr:colOff>
      <xdr:row>28</xdr:row>
      <xdr:rowOff>76200</xdr:rowOff>
    </xdr:from>
    <xdr:to>
      <xdr:col>5</xdr:col>
      <xdr:colOff>600075</xdr:colOff>
      <xdr:row>40</xdr:row>
      <xdr:rowOff>178331</xdr:rowOff>
    </xdr:to>
    <xdr:pic>
      <xdr:nvPicPr>
        <xdr:cNvPr id="16" name="9 Imagen">
          <a:extLst>
            <a:ext uri="{FF2B5EF4-FFF2-40B4-BE49-F238E27FC236}">
              <a16:creationId xmlns:a16="http://schemas.microsoft.com/office/drawing/2014/main" id="{E8B2FCBF-62D5-45D1-8FA2-CD82F9781155}"/>
            </a:ext>
          </a:extLst>
        </xdr:cNvPr>
        <xdr:cNvPicPr>
          <a:picLocks noChangeAspect="1"/>
        </xdr:cNvPicPr>
      </xdr:nvPicPr>
      <xdr:blipFill>
        <a:blip xmlns:r="http://schemas.openxmlformats.org/officeDocument/2006/relationships" r:embed="rId8"/>
        <a:stretch>
          <a:fillRect/>
        </a:stretch>
      </xdr:blipFill>
      <xdr:spPr>
        <a:xfrm>
          <a:off x="38100" y="6353175"/>
          <a:ext cx="5591175" cy="238813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69</xdr:row>
      <xdr:rowOff>134077</xdr:rowOff>
    </xdr:from>
    <xdr:to>
      <xdr:col>5</xdr:col>
      <xdr:colOff>262724</xdr:colOff>
      <xdr:row>72</xdr:row>
      <xdr:rowOff>91492</xdr:rowOff>
    </xdr:to>
    <xdr:pic>
      <xdr:nvPicPr>
        <xdr:cNvPr id="2" name="3 Imagen">
          <a:extLst>
            <a:ext uri="{FF2B5EF4-FFF2-40B4-BE49-F238E27FC236}">
              <a16:creationId xmlns:a16="http://schemas.microsoft.com/office/drawing/2014/main" id="{46F38880-5C21-44B2-94F7-BBEA4A69CF70}"/>
            </a:ext>
          </a:extLst>
        </xdr:cNvPr>
        <xdr:cNvPicPr>
          <a:picLocks noChangeAspect="1"/>
        </xdr:cNvPicPr>
      </xdr:nvPicPr>
      <xdr:blipFill>
        <a:blip xmlns:r="http://schemas.openxmlformats.org/officeDocument/2006/relationships" r:embed="rId1"/>
        <a:stretch>
          <a:fillRect/>
        </a:stretch>
      </xdr:blipFill>
      <xdr:spPr>
        <a:xfrm>
          <a:off x="0" y="14364427"/>
          <a:ext cx="5272874" cy="528915"/>
        </a:xfrm>
        <a:prstGeom prst="rect">
          <a:avLst/>
        </a:prstGeom>
      </xdr:spPr>
    </xdr:pic>
    <xdr:clientData/>
  </xdr:twoCellAnchor>
  <xdr:twoCellAnchor editAs="oneCell">
    <xdr:from>
      <xdr:col>0</xdr:col>
      <xdr:colOff>0</xdr:colOff>
      <xdr:row>72</xdr:row>
      <xdr:rowOff>144780</xdr:rowOff>
    </xdr:from>
    <xdr:to>
      <xdr:col>5</xdr:col>
      <xdr:colOff>265232</xdr:colOff>
      <xdr:row>81</xdr:row>
      <xdr:rowOff>137327</xdr:rowOff>
    </xdr:to>
    <xdr:pic>
      <xdr:nvPicPr>
        <xdr:cNvPr id="3" name="4 Imagen">
          <a:extLst>
            <a:ext uri="{FF2B5EF4-FFF2-40B4-BE49-F238E27FC236}">
              <a16:creationId xmlns:a16="http://schemas.microsoft.com/office/drawing/2014/main" id="{0F035E50-6A1A-440F-B3F4-BA51123F2A2B}"/>
            </a:ext>
          </a:extLst>
        </xdr:cNvPr>
        <xdr:cNvPicPr>
          <a:picLocks noChangeAspect="1"/>
        </xdr:cNvPicPr>
      </xdr:nvPicPr>
      <xdr:blipFill>
        <a:blip xmlns:r="http://schemas.openxmlformats.org/officeDocument/2006/relationships" r:embed="rId2"/>
        <a:stretch>
          <a:fillRect/>
        </a:stretch>
      </xdr:blipFill>
      <xdr:spPr>
        <a:xfrm>
          <a:off x="0" y="14946630"/>
          <a:ext cx="5275382" cy="1707047"/>
        </a:xfrm>
        <a:prstGeom prst="rect">
          <a:avLst/>
        </a:prstGeom>
      </xdr:spPr>
    </xdr:pic>
    <xdr:clientData/>
  </xdr:twoCellAnchor>
  <xdr:twoCellAnchor editAs="oneCell">
    <xdr:from>
      <xdr:col>0</xdr:col>
      <xdr:colOff>21772</xdr:colOff>
      <xdr:row>84</xdr:row>
      <xdr:rowOff>141514</xdr:rowOff>
    </xdr:from>
    <xdr:to>
      <xdr:col>5</xdr:col>
      <xdr:colOff>277427</xdr:colOff>
      <xdr:row>93</xdr:row>
      <xdr:rowOff>109022</xdr:rowOff>
    </xdr:to>
    <xdr:pic>
      <xdr:nvPicPr>
        <xdr:cNvPr id="4" name="5 Imagen">
          <a:extLst>
            <a:ext uri="{FF2B5EF4-FFF2-40B4-BE49-F238E27FC236}">
              <a16:creationId xmlns:a16="http://schemas.microsoft.com/office/drawing/2014/main" id="{A3339BD7-E116-4075-B8FB-803E0AD87FB5}"/>
            </a:ext>
          </a:extLst>
        </xdr:cNvPr>
        <xdr:cNvPicPr>
          <a:picLocks noChangeAspect="1"/>
        </xdr:cNvPicPr>
      </xdr:nvPicPr>
      <xdr:blipFill>
        <a:blip xmlns:r="http://schemas.openxmlformats.org/officeDocument/2006/relationships" r:embed="rId3"/>
        <a:stretch>
          <a:fillRect/>
        </a:stretch>
      </xdr:blipFill>
      <xdr:spPr>
        <a:xfrm>
          <a:off x="21772" y="17248414"/>
          <a:ext cx="5265805" cy="1682008"/>
        </a:xfrm>
        <a:prstGeom prst="rect">
          <a:avLst/>
        </a:prstGeom>
      </xdr:spPr>
    </xdr:pic>
    <xdr:clientData/>
  </xdr:twoCellAnchor>
  <xdr:twoCellAnchor editAs="oneCell">
    <xdr:from>
      <xdr:col>0</xdr:col>
      <xdr:colOff>0</xdr:colOff>
      <xdr:row>95</xdr:row>
      <xdr:rowOff>171136</xdr:rowOff>
    </xdr:from>
    <xdr:to>
      <xdr:col>5</xdr:col>
      <xdr:colOff>244218</xdr:colOff>
      <xdr:row>106</xdr:row>
      <xdr:rowOff>94937</xdr:rowOff>
    </xdr:to>
    <xdr:pic>
      <xdr:nvPicPr>
        <xdr:cNvPr id="5" name="8 Imagen">
          <a:extLst>
            <a:ext uri="{FF2B5EF4-FFF2-40B4-BE49-F238E27FC236}">
              <a16:creationId xmlns:a16="http://schemas.microsoft.com/office/drawing/2014/main" id="{28C69D6E-99EB-4E2E-BD01-40310BE74681}"/>
            </a:ext>
          </a:extLst>
        </xdr:cNvPr>
        <xdr:cNvPicPr>
          <a:picLocks noChangeAspect="1"/>
        </xdr:cNvPicPr>
      </xdr:nvPicPr>
      <xdr:blipFill>
        <a:blip xmlns:r="http://schemas.openxmlformats.org/officeDocument/2006/relationships" r:embed="rId4"/>
        <a:stretch>
          <a:fillRect/>
        </a:stretch>
      </xdr:blipFill>
      <xdr:spPr>
        <a:xfrm>
          <a:off x="0" y="19392586"/>
          <a:ext cx="5254368" cy="2019301"/>
        </a:xfrm>
        <a:prstGeom prst="rect">
          <a:avLst/>
        </a:prstGeom>
      </xdr:spPr>
    </xdr:pic>
    <xdr:clientData/>
  </xdr:twoCellAnchor>
  <xdr:twoCellAnchor editAs="oneCell">
    <xdr:from>
      <xdr:col>0</xdr:col>
      <xdr:colOff>0</xdr:colOff>
      <xdr:row>109</xdr:row>
      <xdr:rowOff>135157</xdr:rowOff>
    </xdr:from>
    <xdr:to>
      <xdr:col>5</xdr:col>
      <xdr:colOff>629478</xdr:colOff>
      <xdr:row>117</xdr:row>
      <xdr:rowOff>58192</xdr:rowOff>
    </xdr:to>
    <xdr:pic>
      <xdr:nvPicPr>
        <xdr:cNvPr id="6" name="1 Imagen">
          <a:extLst>
            <a:ext uri="{FF2B5EF4-FFF2-40B4-BE49-F238E27FC236}">
              <a16:creationId xmlns:a16="http://schemas.microsoft.com/office/drawing/2014/main" id="{3369FFAD-E819-4BF3-B105-825021A596D5}"/>
            </a:ext>
          </a:extLst>
        </xdr:cNvPr>
        <xdr:cNvPicPr>
          <a:picLocks noChangeAspect="1"/>
        </xdr:cNvPicPr>
      </xdr:nvPicPr>
      <xdr:blipFill>
        <a:blip xmlns:r="http://schemas.openxmlformats.org/officeDocument/2006/relationships" r:embed="rId5"/>
        <a:stretch>
          <a:fillRect/>
        </a:stretch>
      </xdr:blipFill>
      <xdr:spPr>
        <a:xfrm>
          <a:off x="0" y="22042657"/>
          <a:ext cx="5639628" cy="1447035"/>
        </a:xfrm>
        <a:prstGeom prst="rect">
          <a:avLst/>
        </a:prstGeom>
      </xdr:spPr>
    </xdr:pic>
    <xdr:clientData/>
  </xdr:twoCellAnchor>
  <xdr:twoCellAnchor editAs="oneCell">
    <xdr:from>
      <xdr:col>0</xdr:col>
      <xdr:colOff>1</xdr:colOff>
      <xdr:row>116</xdr:row>
      <xdr:rowOff>165652</xdr:rowOff>
    </xdr:from>
    <xdr:to>
      <xdr:col>5</xdr:col>
      <xdr:colOff>712305</xdr:colOff>
      <xdr:row>123</xdr:row>
      <xdr:rowOff>120040</xdr:rowOff>
    </xdr:to>
    <xdr:pic>
      <xdr:nvPicPr>
        <xdr:cNvPr id="7" name="2 Imagen">
          <a:extLst>
            <a:ext uri="{FF2B5EF4-FFF2-40B4-BE49-F238E27FC236}">
              <a16:creationId xmlns:a16="http://schemas.microsoft.com/office/drawing/2014/main" id="{0C393472-E1AB-422B-AD45-81BD271755C2}"/>
            </a:ext>
          </a:extLst>
        </xdr:cNvPr>
        <xdr:cNvPicPr>
          <a:picLocks noChangeAspect="1"/>
        </xdr:cNvPicPr>
      </xdr:nvPicPr>
      <xdr:blipFill>
        <a:blip xmlns:r="http://schemas.openxmlformats.org/officeDocument/2006/relationships" r:embed="rId6"/>
        <a:stretch>
          <a:fillRect/>
        </a:stretch>
      </xdr:blipFill>
      <xdr:spPr>
        <a:xfrm>
          <a:off x="1" y="23406652"/>
          <a:ext cx="5722454" cy="1287888"/>
        </a:xfrm>
        <a:prstGeom prst="rect">
          <a:avLst/>
        </a:prstGeom>
      </xdr:spPr>
    </xdr:pic>
    <xdr:clientData/>
  </xdr:twoCellAnchor>
  <xdr:twoCellAnchor editAs="oneCell">
    <xdr:from>
      <xdr:col>0</xdr:col>
      <xdr:colOff>0</xdr:colOff>
      <xdr:row>126</xdr:row>
      <xdr:rowOff>109689</xdr:rowOff>
    </xdr:from>
    <xdr:to>
      <xdr:col>5</xdr:col>
      <xdr:colOff>646043</xdr:colOff>
      <xdr:row>135</xdr:row>
      <xdr:rowOff>24633</xdr:rowOff>
    </xdr:to>
    <xdr:pic>
      <xdr:nvPicPr>
        <xdr:cNvPr id="8" name="6 Imagen">
          <a:extLst>
            <a:ext uri="{FF2B5EF4-FFF2-40B4-BE49-F238E27FC236}">
              <a16:creationId xmlns:a16="http://schemas.microsoft.com/office/drawing/2014/main" id="{225664A8-0D60-4EB3-B15C-A6CB6D5CF54A}"/>
            </a:ext>
          </a:extLst>
        </xdr:cNvPr>
        <xdr:cNvPicPr>
          <a:picLocks noChangeAspect="1"/>
        </xdr:cNvPicPr>
      </xdr:nvPicPr>
      <xdr:blipFill>
        <a:blip xmlns:r="http://schemas.openxmlformats.org/officeDocument/2006/relationships" r:embed="rId7"/>
        <a:stretch>
          <a:fillRect/>
        </a:stretch>
      </xdr:blipFill>
      <xdr:spPr>
        <a:xfrm>
          <a:off x="0" y="25274739"/>
          <a:ext cx="5656193" cy="1629444"/>
        </a:xfrm>
        <a:prstGeom prst="rect">
          <a:avLst/>
        </a:prstGeom>
      </xdr:spPr>
    </xdr:pic>
    <xdr:clientData/>
  </xdr:twoCellAnchor>
  <xdr:twoCellAnchor editAs="oneCell">
    <xdr:from>
      <xdr:col>0</xdr:col>
      <xdr:colOff>57150</xdr:colOff>
      <xdr:row>142</xdr:row>
      <xdr:rowOff>126100</xdr:rowOff>
    </xdr:from>
    <xdr:to>
      <xdr:col>5</xdr:col>
      <xdr:colOff>638175</xdr:colOff>
      <xdr:row>155</xdr:row>
      <xdr:rowOff>37731</xdr:rowOff>
    </xdr:to>
    <xdr:pic>
      <xdr:nvPicPr>
        <xdr:cNvPr id="9" name="9 Imagen">
          <a:extLst>
            <a:ext uri="{FF2B5EF4-FFF2-40B4-BE49-F238E27FC236}">
              <a16:creationId xmlns:a16="http://schemas.microsoft.com/office/drawing/2014/main" id="{C6D2C5ED-FE20-404B-A1CB-ABF2187C6C99}"/>
            </a:ext>
          </a:extLst>
        </xdr:cNvPr>
        <xdr:cNvPicPr>
          <a:picLocks noChangeAspect="1"/>
        </xdr:cNvPicPr>
      </xdr:nvPicPr>
      <xdr:blipFill>
        <a:blip xmlns:r="http://schemas.openxmlformats.org/officeDocument/2006/relationships" r:embed="rId8"/>
        <a:stretch>
          <a:fillRect/>
        </a:stretch>
      </xdr:blipFill>
      <xdr:spPr>
        <a:xfrm>
          <a:off x="57150" y="28377250"/>
          <a:ext cx="5591175" cy="2388131"/>
        </a:xfrm>
        <a:prstGeom prst="rect">
          <a:avLst/>
        </a:prstGeom>
      </xdr:spPr>
    </xdr:pic>
    <xdr:clientData/>
  </xdr:twoCellAnchor>
  <xdr:twoCellAnchor editAs="oneCell">
    <xdr:from>
      <xdr:col>0</xdr:col>
      <xdr:colOff>0</xdr:colOff>
      <xdr:row>157</xdr:row>
      <xdr:rowOff>92489</xdr:rowOff>
    </xdr:from>
    <xdr:to>
      <xdr:col>5</xdr:col>
      <xdr:colOff>552450</xdr:colOff>
      <xdr:row>167</xdr:row>
      <xdr:rowOff>152088</xdr:rowOff>
    </xdr:to>
    <xdr:pic>
      <xdr:nvPicPr>
        <xdr:cNvPr id="10" name="10 Imagen">
          <a:extLst>
            <a:ext uri="{FF2B5EF4-FFF2-40B4-BE49-F238E27FC236}">
              <a16:creationId xmlns:a16="http://schemas.microsoft.com/office/drawing/2014/main" id="{D22259FE-E39B-4D0C-B6A5-41F168EBF6F9}"/>
            </a:ext>
          </a:extLst>
        </xdr:cNvPr>
        <xdr:cNvPicPr>
          <a:picLocks noChangeAspect="1"/>
        </xdr:cNvPicPr>
      </xdr:nvPicPr>
      <xdr:blipFill>
        <a:blip xmlns:r="http://schemas.openxmlformats.org/officeDocument/2006/relationships" r:embed="rId9"/>
        <a:stretch>
          <a:fillRect/>
        </a:stretch>
      </xdr:blipFill>
      <xdr:spPr>
        <a:xfrm>
          <a:off x="0" y="31201139"/>
          <a:ext cx="5562600" cy="1964599"/>
        </a:xfrm>
        <a:prstGeom prst="rect">
          <a:avLst/>
        </a:prstGeom>
      </xdr:spPr>
    </xdr:pic>
    <xdr:clientData/>
  </xdr:twoCellAnchor>
  <xdr:twoCellAnchor editAs="oneCell">
    <xdr:from>
      <xdr:col>1</xdr:col>
      <xdr:colOff>723900</xdr:colOff>
      <xdr:row>173</xdr:row>
      <xdr:rowOff>28575</xdr:rowOff>
    </xdr:from>
    <xdr:to>
      <xdr:col>3</xdr:col>
      <xdr:colOff>18867</xdr:colOff>
      <xdr:row>174</xdr:row>
      <xdr:rowOff>161885</xdr:rowOff>
    </xdr:to>
    <xdr:pic>
      <xdr:nvPicPr>
        <xdr:cNvPr id="11" name="11 Imagen">
          <a:extLst>
            <a:ext uri="{FF2B5EF4-FFF2-40B4-BE49-F238E27FC236}">
              <a16:creationId xmlns:a16="http://schemas.microsoft.com/office/drawing/2014/main" id="{7F00B19E-6203-4CCE-A5F5-7089017EC916}"/>
            </a:ext>
          </a:extLst>
        </xdr:cNvPr>
        <xdr:cNvPicPr>
          <a:picLocks noChangeAspect="1"/>
        </xdr:cNvPicPr>
      </xdr:nvPicPr>
      <xdr:blipFill>
        <a:blip xmlns:r="http://schemas.openxmlformats.org/officeDocument/2006/relationships" r:embed="rId10"/>
        <a:stretch>
          <a:fillRect/>
        </a:stretch>
      </xdr:blipFill>
      <xdr:spPr>
        <a:xfrm>
          <a:off x="1514475" y="34204275"/>
          <a:ext cx="1466667" cy="323810"/>
        </a:xfrm>
        <a:prstGeom prst="rect">
          <a:avLst/>
        </a:prstGeom>
      </xdr:spPr>
    </xdr:pic>
    <xdr:clientData/>
  </xdr:twoCellAnchor>
  <xdr:twoCellAnchor editAs="oneCell">
    <xdr:from>
      <xdr:col>1</xdr:col>
      <xdr:colOff>723900</xdr:colOff>
      <xdr:row>184</xdr:row>
      <xdr:rowOff>28575</xdr:rowOff>
    </xdr:from>
    <xdr:to>
      <xdr:col>3</xdr:col>
      <xdr:colOff>66486</xdr:colOff>
      <xdr:row>185</xdr:row>
      <xdr:rowOff>161885</xdr:rowOff>
    </xdr:to>
    <xdr:pic>
      <xdr:nvPicPr>
        <xdr:cNvPr id="12" name="12 Imagen">
          <a:extLst>
            <a:ext uri="{FF2B5EF4-FFF2-40B4-BE49-F238E27FC236}">
              <a16:creationId xmlns:a16="http://schemas.microsoft.com/office/drawing/2014/main" id="{E3916E3C-9AE8-4091-B8BA-3E425CED8818}"/>
            </a:ext>
          </a:extLst>
        </xdr:cNvPr>
        <xdr:cNvPicPr>
          <a:picLocks noChangeAspect="1"/>
        </xdr:cNvPicPr>
      </xdr:nvPicPr>
      <xdr:blipFill>
        <a:blip xmlns:r="http://schemas.openxmlformats.org/officeDocument/2006/relationships" r:embed="rId11"/>
        <a:stretch>
          <a:fillRect/>
        </a:stretch>
      </xdr:blipFill>
      <xdr:spPr>
        <a:xfrm>
          <a:off x="1514475" y="36318825"/>
          <a:ext cx="1514286" cy="323810"/>
        </a:xfrm>
        <a:prstGeom prst="rect">
          <a:avLst/>
        </a:prstGeom>
      </xdr:spPr>
    </xdr:pic>
    <xdr:clientData/>
  </xdr:twoCellAnchor>
  <xdr:twoCellAnchor editAs="oneCell">
    <xdr:from>
      <xdr:col>0</xdr:col>
      <xdr:colOff>0</xdr:colOff>
      <xdr:row>188</xdr:row>
      <xdr:rowOff>89534</xdr:rowOff>
    </xdr:from>
    <xdr:to>
      <xdr:col>5</xdr:col>
      <xdr:colOff>695325</xdr:colOff>
      <xdr:row>203</xdr:row>
      <xdr:rowOff>104338</xdr:rowOff>
    </xdr:to>
    <xdr:pic>
      <xdr:nvPicPr>
        <xdr:cNvPr id="13" name="13 Imagen">
          <a:extLst>
            <a:ext uri="{FF2B5EF4-FFF2-40B4-BE49-F238E27FC236}">
              <a16:creationId xmlns:a16="http://schemas.microsoft.com/office/drawing/2014/main" id="{D1EDF3FE-99C3-4D47-99E1-C41776F63A95}"/>
            </a:ext>
          </a:extLst>
        </xdr:cNvPr>
        <xdr:cNvPicPr>
          <a:picLocks noChangeAspect="1"/>
        </xdr:cNvPicPr>
      </xdr:nvPicPr>
      <xdr:blipFill>
        <a:blip xmlns:r="http://schemas.openxmlformats.org/officeDocument/2006/relationships" r:embed="rId12"/>
        <a:stretch>
          <a:fillRect/>
        </a:stretch>
      </xdr:blipFill>
      <xdr:spPr>
        <a:xfrm>
          <a:off x="0" y="37141784"/>
          <a:ext cx="5705475" cy="2872304"/>
        </a:xfrm>
        <a:prstGeom prst="rect">
          <a:avLst/>
        </a:prstGeom>
      </xdr:spPr>
    </xdr:pic>
    <xdr:clientData/>
  </xdr:twoCellAnchor>
  <xdr:twoCellAnchor editAs="oneCell">
    <xdr:from>
      <xdr:col>0</xdr:col>
      <xdr:colOff>466725</xdr:colOff>
      <xdr:row>204</xdr:row>
      <xdr:rowOff>85725</xdr:rowOff>
    </xdr:from>
    <xdr:to>
      <xdr:col>2</xdr:col>
      <xdr:colOff>933170</xdr:colOff>
      <xdr:row>207</xdr:row>
      <xdr:rowOff>123749</xdr:rowOff>
    </xdr:to>
    <xdr:pic>
      <xdr:nvPicPr>
        <xdr:cNvPr id="14" name="14 Imagen">
          <a:extLst>
            <a:ext uri="{FF2B5EF4-FFF2-40B4-BE49-F238E27FC236}">
              <a16:creationId xmlns:a16="http://schemas.microsoft.com/office/drawing/2014/main" id="{1B1E5678-0909-4D48-8023-18FF28D256F5}"/>
            </a:ext>
          </a:extLst>
        </xdr:cNvPr>
        <xdr:cNvPicPr>
          <a:picLocks noChangeAspect="1"/>
        </xdr:cNvPicPr>
      </xdr:nvPicPr>
      <xdr:blipFill>
        <a:blip xmlns:r="http://schemas.openxmlformats.org/officeDocument/2006/relationships" r:embed="rId13"/>
        <a:stretch>
          <a:fillRect/>
        </a:stretch>
      </xdr:blipFill>
      <xdr:spPr>
        <a:xfrm>
          <a:off x="466725" y="40185975"/>
          <a:ext cx="2238095" cy="609524"/>
        </a:xfrm>
        <a:prstGeom prst="rect">
          <a:avLst/>
        </a:prstGeom>
      </xdr:spPr>
    </xdr:pic>
    <xdr:clientData/>
  </xdr:twoCellAnchor>
  <xdr:twoCellAnchor editAs="oneCell">
    <xdr:from>
      <xdr:col>3</xdr:col>
      <xdr:colOff>28576</xdr:colOff>
      <xdr:row>209</xdr:row>
      <xdr:rowOff>0</xdr:rowOff>
    </xdr:from>
    <xdr:to>
      <xdr:col>3</xdr:col>
      <xdr:colOff>398026</xdr:colOff>
      <xdr:row>210</xdr:row>
      <xdr:rowOff>47590</xdr:rowOff>
    </xdr:to>
    <xdr:pic>
      <xdr:nvPicPr>
        <xdr:cNvPr id="15" name="15 Imagen">
          <a:extLst>
            <a:ext uri="{FF2B5EF4-FFF2-40B4-BE49-F238E27FC236}">
              <a16:creationId xmlns:a16="http://schemas.microsoft.com/office/drawing/2014/main" id="{18C0AA51-A8CE-4E3B-A144-1CDE30C3C4F5}"/>
            </a:ext>
          </a:extLst>
        </xdr:cNvPr>
        <xdr:cNvPicPr>
          <a:picLocks noChangeAspect="1"/>
        </xdr:cNvPicPr>
      </xdr:nvPicPr>
      <xdr:blipFill>
        <a:blip xmlns:r="http://schemas.openxmlformats.org/officeDocument/2006/relationships" r:embed="rId14"/>
        <a:stretch>
          <a:fillRect/>
        </a:stretch>
      </xdr:blipFill>
      <xdr:spPr>
        <a:xfrm>
          <a:off x="2990851" y="41062275"/>
          <a:ext cx="369450" cy="247615"/>
        </a:xfrm>
        <a:prstGeom prst="rect">
          <a:avLst/>
        </a:prstGeom>
      </xdr:spPr>
    </xdr:pic>
    <xdr:clientData/>
  </xdr:twoCellAnchor>
  <xdr:twoCellAnchor editAs="oneCell">
    <xdr:from>
      <xdr:col>0</xdr:col>
      <xdr:colOff>38100</xdr:colOff>
      <xdr:row>28</xdr:row>
      <xdr:rowOff>76200</xdr:rowOff>
    </xdr:from>
    <xdr:to>
      <xdr:col>5</xdr:col>
      <xdr:colOff>619125</xdr:colOff>
      <xdr:row>40</xdr:row>
      <xdr:rowOff>178331</xdr:rowOff>
    </xdr:to>
    <xdr:pic>
      <xdr:nvPicPr>
        <xdr:cNvPr id="16" name="9 Imagen">
          <a:extLst>
            <a:ext uri="{FF2B5EF4-FFF2-40B4-BE49-F238E27FC236}">
              <a16:creationId xmlns:a16="http://schemas.microsoft.com/office/drawing/2014/main" id="{07A7EC46-D299-42EF-AA84-A4A98C2B9184}"/>
            </a:ext>
          </a:extLst>
        </xdr:cNvPr>
        <xdr:cNvPicPr>
          <a:picLocks noChangeAspect="1"/>
        </xdr:cNvPicPr>
      </xdr:nvPicPr>
      <xdr:blipFill>
        <a:blip xmlns:r="http://schemas.openxmlformats.org/officeDocument/2006/relationships" r:embed="rId8"/>
        <a:stretch>
          <a:fillRect/>
        </a:stretch>
      </xdr:blipFill>
      <xdr:spPr>
        <a:xfrm>
          <a:off x="38100" y="6353175"/>
          <a:ext cx="5591175" cy="238813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69</xdr:row>
      <xdr:rowOff>134077</xdr:rowOff>
    </xdr:from>
    <xdr:to>
      <xdr:col>5</xdr:col>
      <xdr:colOff>434174</xdr:colOff>
      <xdr:row>72</xdr:row>
      <xdr:rowOff>91492</xdr:rowOff>
    </xdr:to>
    <xdr:pic>
      <xdr:nvPicPr>
        <xdr:cNvPr id="2" name="3 Imagen">
          <a:extLst>
            <a:ext uri="{FF2B5EF4-FFF2-40B4-BE49-F238E27FC236}">
              <a16:creationId xmlns:a16="http://schemas.microsoft.com/office/drawing/2014/main" id="{BBA0BA8E-07F4-4358-B2BB-F6DB2BB0C9BC}"/>
            </a:ext>
          </a:extLst>
        </xdr:cNvPr>
        <xdr:cNvPicPr>
          <a:picLocks noChangeAspect="1"/>
        </xdr:cNvPicPr>
      </xdr:nvPicPr>
      <xdr:blipFill>
        <a:blip xmlns:r="http://schemas.openxmlformats.org/officeDocument/2006/relationships" r:embed="rId1"/>
        <a:stretch>
          <a:fillRect/>
        </a:stretch>
      </xdr:blipFill>
      <xdr:spPr>
        <a:xfrm>
          <a:off x="0" y="14364427"/>
          <a:ext cx="5272874" cy="528915"/>
        </a:xfrm>
        <a:prstGeom prst="rect">
          <a:avLst/>
        </a:prstGeom>
      </xdr:spPr>
    </xdr:pic>
    <xdr:clientData/>
  </xdr:twoCellAnchor>
  <xdr:twoCellAnchor editAs="oneCell">
    <xdr:from>
      <xdr:col>0</xdr:col>
      <xdr:colOff>0</xdr:colOff>
      <xdr:row>72</xdr:row>
      <xdr:rowOff>144780</xdr:rowOff>
    </xdr:from>
    <xdr:to>
      <xdr:col>5</xdr:col>
      <xdr:colOff>436682</xdr:colOff>
      <xdr:row>81</xdr:row>
      <xdr:rowOff>137327</xdr:rowOff>
    </xdr:to>
    <xdr:pic>
      <xdr:nvPicPr>
        <xdr:cNvPr id="3" name="4 Imagen">
          <a:extLst>
            <a:ext uri="{FF2B5EF4-FFF2-40B4-BE49-F238E27FC236}">
              <a16:creationId xmlns:a16="http://schemas.microsoft.com/office/drawing/2014/main" id="{DAA88C8A-D2C0-42B8-AA5E-D073B6DCE161}"/>
            </a:ext>
          </a:extLst>
        </xdr:cNvPr>
        <xdr:cNvPicPr>
          <a:picLocks noChangeAspect="1"/>
        </xdr:cNvPicPr>
      </xdr:nvPicPr>
      <xdr:blipFill>
        <a:blip xmlns:r="http://schemas.openxmlformats.org/officeDocument/2006/relationships" r:embed="rId2"/>
        <a:stretch>
          <a:fillRect/>
        </a:stretch>
      </xdr:blipFill>
      <xdr:spPr>
        <a:xfrm>
          <a:off x="0" y="14946630"/>
          <a:ext cx="5275382" cy="1707047"/>
        </a:xfrm>
        <a:prstGeom prst="rect">
          <a:avLst/>
        </a:prstGeom>
      </xdr:spPr>
    </xdr:pic>
    <xdr:clientData/>
  </xdr:twoCellAnchor>
  <xdr:twoCellAnchor editAs="oneCell">
    <xdr:from>
      <xdr:col>0</xdr:col>
      <xdr:colOff>21772</xdr:colOff>
      <xdr:row>84</xdr:row>
      <xdr:rowOff>141514</xdr:rowOff>
    </xdr:from>
    <xdr:to>
      <xdr:col>5</xdr:col>
      <xdr:colOff>448877</xdr:colOff>
      <xdr:row>93</xdr:row>
      <xdr:rowOff>109022</xdr:rowOff>
    </xdr:to>
    <xdr:pic>
      <xdr:nvPicPr>
        <xdr:cNvPr id="4" name="5 Imagen">
          <a:extLst>
            <a:ext uri="{FF2B5EF4-FFF2-40B4-BE49-F238E27FC236}">
              <a16:creationId xmlns:a16="http://schemas.microsoft.com/office/drawing/2014/main" id="{03A61C2C-B934-4561-8BF0-12C03C5EF8F0}"/>
            </a:ext>
          </a:extLst>
        </xdr:cNvPr>
        <xdr:cNvPicPr>
          <a:picLocks noChangeAspect="1"/>
        </xdr:cNvPicPr>
      </xdr:nvPicPr>
      <xdr:blipFill>
        <a:blip xmlns:r="http://schemas.openxmlformats.org/officeDocument/2006/relationships" r:embed="rId3"/>
        <a:stretch>
          <a:fillRect/>
        </a:stretch>
      </xdr:blipFill>
      <xdr:spPr>
        <a:xfrm>
          <a:off x="21772" y="17248414"/>
          <a:ext cx="5265805" cy="1682008"/>
        </a:xfrm>
        <a:prstGeom prst="rect">
          <a:avLst/>
        </a:prstGeom>
      </xdr:spPr>
    </xdr:pic>
    <xdr:clientData/>
  </xdr:twoCellAnchor>
  <xdr:twoCellAnchor editAs="oneCell">
    <xdr:from>
      <xdr:col>0</xdr:col>
      <xdr:colOff>0</xdr:colOff>
      <xdr:row>95</xdr:row>
      <xdr:rowOff>171136</xdr:rowOff>
    </xdr:from>
    <xdr:to>
      <xdr:col>5</xdr:col>
      <xdr:colOff>415668</xdr:colOff>
      <xdr:row>106</xdr:row>
      <xdr:rowOff>94937</xdr:rowOff>
    </xdr:to>
    <xdr:pic>
      <xdr:nvPicPr>
        <xdr:cNvPr id="5" name="8 Imagen">
          <a:extLst>
            <a:ext uri="{FF2B5EF4-FFF2-40B4-BE49-F238E27FC236}">
              <a16:creationId xmlns:a16="http://schemas.microsoft.com/office/drawing/2014/main" id="{05E37B5D-8EF5-4467-AB7E-41A860F94FFB}"/>
            </a:ext>
          </a:extLst>
        </xdr:cNvPr>
        <xdr:cNvPicPr>
          <a:picLocks noChangeAspect="1"/>
        </xdr:cNvPicPr>
      </xdr:nvPicPr>
      <xdr:blipFill>
        <a:blip xmlns:r="http://schemas.openxmlformats.org/officeDocument/2006/relationships" r:embed="rId4"/>
        <a:stretch>
          <a:fillRect/>
        </a:stretch>
      </xdr:blipFill>
      <xdr:spPr>
        <a:xfrm>
          <a:off x="0" y="19392586"/>
          <a:ext cx="5254368" cy="2019301"/>
        </a:xfrm>
        <a:prstGeom prst="rect">
          <a:avLst/>
        </a:prstGeom>
      </xdr:spPr>
    </xdr:pic>
    <xdr:clientData/>
  </xdr:twoCellAnchor>
  <xdr:twoCellAnchor editAs="oneCell">
    <xdr:from>
      <xdr:col>0</xdr:col>
      <xdr:colOff>0</xdr:colOff>
      <xdr:row>109</xdr:row>
      <xdr:rowOff>135157</xdr:rowOff>
    </xdr:from>
    <xdr:to>
      <xdr:col>6</xdr:col>
      <xdr:colOff>38928</xdr:colOff>
      <xdr:row>117</xdr:row>
      <xdr:rowOff>58192</xdr:rowOff>
    </xdr:to>
    <xdr:pic>
      <xdr:nvPicPr>
        <xdr:cNvPr id="6" name="1 Imagen">
          <a:extLst>
            <a:ext uri="{FF2B5EF4-FFF2-40B4-BE49-F238E27FC236}">
              <a16:creationId xmlns:a16="http://schemas.microsoft.com/office/drawing/2014/main" id="{5CF08635-3726-419D-9614-C790799FAFB7}"/>
            </a:ext>
          </a:extLst>
        </xdr:cNvPr>
        <xdr:cNvPicPr>
          <a:picLocks noChangeAspect="1"/>
        </xdr:cNvPicPr>
      </xdr:nvPicPr>
      <xdr:blipFill>
        <a:blip xmlns:r="http://schemas.openxmlformats.org/officeDocument/2006/relationships" r:embed="rId5"/>
        <a:stretch>
          <a:fillRect/>
        </a:stretch>
      </xdr:blipFill>
      <xdr:spPr>
        <a:xfrm>
          <a:off x="0" y="22042657"/>
          <a:ext cx="5639628" cy="1447035"/>
        </a:xfrm>
        <a:prstGeom prst="rect">
          <a:avLst/>
        </a:prstGeom>
      </xdr:spPr>
    </xdr:pic>
    <xdr:clientData/>
  </xdr:twoCellAnchor>
  <xdr:twoCellAnchor editAs="oneCell">
    <xdr:from>
      <xdr:col>0</xdr:col>
      <xdr:colOff>1</xdr:colOff>
      <xdr:row>116</xdr:row>
      <xdr:rowOff>165652</xdr:rowOff>
    </xdr:from>
    <xdr:to>
      <xdr:col>6</xdr:col>
      <xdr:colOff>121755</xdr:colOff>
      <xdr:row>123</xdr:row>
      <xdr:rowOff>120040</xdr:rowOff>
    </xdr:to>
    <xdr:pic>
      <xdr:nvPicPr>
        <xdr:cNvPr id="7" name="2 Imagen">
          <a:extLst>
            <a:ext uri="{FF2B5EF4-FFF2-40B4-BE49-F238E27FC236}">
              <a16:creationId xmlns:a16="http://schemas.microsoft.com/office/drawing/2014/main" id="{96E73DFB-E9DB-4B76-B78C-29E3B8C8A232}"/>
            </a:ext>
          </a:extLst>
        </xdr:cNvPr>
        <xdr:cNvPicPr>
          <a:picLocks noChangeAspect="1"/>
        </xdr:cNvPicPr>
      </xdr:nvPicPr>
      <xdr:blipFill>
        <a:blip xmlns:r="http://schemas.openxmlformats.org/officeDocument/2006/relationships" r:embed="rId6"/>
        <a:stretch>
          <a:fillRect/>
        </a:stretch>
      </xdr:blipFill>
      <xdr:spPr>
        <a:xfrm>
          <a:off x="1" y="23406652"/>
          <a:ext cx="5722454" cy="1287888"/>
        </a:xfrm>
        <a:prstGeom prst="rect">
          <a:avLst/>
        </a:prstGeom>
      </xdr:spPr>
    </xdr:pic>
    <xdr:clientData/>
  </xdr:twoCellAnchor>
  <xdr:twoCellAnchor editAs="oneCell">
    <xdr:from>
      <xdr:col>0</xdr:col>
      <xdr:colOff>0</xdr:colOff>
      <xdr:row>126</xdr:row>
      <xdr:rowOff>109689</xdr:rowOff>
    </xdr:from>
    <xdr:to>
      <xdr:col>6</xdr:col>
      <xdr:colOff>55493</xdr:colOff>
      <xdr:row>135</xdr:row>
      <xdr:rowOff>24633</xdr:rowOff>
    </xdr:to>
    <xdr:pic>
      <xdr:nvPicPr>
        <xdr:cNvPr id="8" name="6 Imagen">
          <a:extLst>
            <a:ext uri="{FF2B5EF4-FFF2-40B4-BE49-F238E27FC236}">
              <a16:creationId xmlns:a16="http://schemas.microsoft.com/office/drawing/2014/main" id="{6163CFD7-F0ED-44FA-B663-B46E83952056}"/>
            </a:ext>
          </a:extLst>
        </xdr:cNvPr>
        <xdr:cNvPicPr>
          <a:picLocks noChangeAspect="1"/>
        </xdr:cNvPicPr>
      </xdr:nvPicPr>
      <xdr:blipFill>
        <a:blip xmlns:r="http://schemas.openxmlformats.org/officeDocument/2006/relationships" r:embed="rId7"/>
        <a:stretch>
          <a:fillRect/>
        </a:stretch>
      </xdr:blipFill>
      <xdr:spPr>
        <a:xfrm>
          <a:off x="0" y="25274739"/>
          <a:ext cx="5656193" cy="1629444"/>
        </a:xfrm>
        <a:prstGeom prst="rect">
          <a:avLst/>
        </a:prstGeom>
      </xdr:spPr>
    </xdr:pic>
    <xdr:clientData/>
  </xdr:twoCellAnchor>
  <xdr:twoCellAnchor editAs="oneCell">
    <xdr:from>
      <xdr:col>0</xdr:col>
      <xdr:colOff>57150</xdr:colOff>
      <xdr:row>142</xdr:row>
      <xdr:rowOff>126100</xdr:rowOff>
    </xdr:from>
    <xdr:to>
      <xdr:col>6</xdr:col>
      <xdr:colOff>47625</xdr:colOff>
      <xdr:row>155</xdr:row>
      <xdr:rowOff>37731</xdr:rowOff>
    </xdr:to>
    <xdr:pic>
      <xdr:nvPicPr>
        <xdr:cNvPr id="9" name="9 Imagen">
          <a:extLst>
            <a:ext uri="{FF2B5EF4-FFF2-40B4-BE49-F238E27FC236}">
              <a16:creationId xmlns:a16="http://schemas.microsoft.com/office/drawing/2014/main" id="{F32EDF29-0BD1-4447-A6AD-087B648634F9}"/>
            </a:ext>
          </a:extLst>
        </xdr:cNvPr>
        <xdr:cNvPicPr>
          <a:picLocks noChangeAspect="1"/>
        </xdr:cNvPicPr>
      </xdr:nvPicPr>
      <xdr:blipFill>
        <a:blip xmlns:r="http://schemas.openxmlformats.org/officeDocument/2006/relationships" r:embed="rId8"/>
        <a:stretch>
          <a:fillRect/>
        </a:stretch>
      </xdr:blipFill>
      <xdr:spPr>
        <a:xfrm>
          <a:off x="57150" y="28377250"/>
          <a:ext cx="5591175" cy="2388131"/>
        </a:xfrm>
        <a:prstGeom prst="rect">
          <a:avLst/>
        </a:prstGeom>
      </xdr:spPr>
    </xdr:pic>
    <xdr:clientData/>
  </xdr:twoCellAnchor>
  <xdr:twoCellAnchor editAs="oneCell">
    <xdr:from>
      <xdr:col>0</xdr:col>
      <xdr:colOff>0</xdr:colOff>
      <xdr:row>157</xdr:row>
      <xdr:rowOff>92489</xdr:rowOff>
    </xdr:from>
    <xdr:to>
      <xdr:col>5</xdr:col>
      <xdr:colOff>723900</xdr:colOff>
      <xdr:row>167</xdr:row>
      <xdr:rowOff>152088</xdr:rowOff>
    </xdr:to>
    <xdr:pic>
      <xdr:nvPicPr>
        <xdr:cNvPr id="10" name="10 Imagen">
          <a:extLst>
            <a:ext uri="{FF2B5EF4-FFF2-40B4-BE49-F238E27FC236}">
              <a16:creationId xmlns:a16="http://schemas.microsoft.com/office/drawing/2014/main" id="{2873B8AA-7D33-4A44-8209-97865AA990C8}"/>
            </a:ext>
          </a:extLst>
        </xdr:cNvPr>
        <xdr:cNvPicPr>
          <a:picLocks noChangeAspect="1"/>
        </xdr:cNvPicPr>
      </xdr:nvPicPr>
      <xdr:blipFill>
        <a:blip xmlns:r="http://schemas.openxmlformats.org/officeDocument/2006/relationships" r:embed="rId9"/>
        <a:stretch>
          <a:fillRect/>
        </a:stretch>
      </xdr:blipFill>
      <xdr:spPr>
        <a:xfrm>
          <a:off x="0" y="31201139"/>
          <a:ext cx="5562600" cy="1964599"/>
        </a:xfrm>
        <a:prstGeom prst="rect">
          <a:avLst/>
        </a:prstGeom>
      </xdr:spPr>
    </xdr:pic>
    <xdr:clientData/>
  </xdr:twoCellAnchor>
  <xdr:twoCellAnchor editAs="oneCell">
    <xdr:from>
      <xdr:col>1</xdr:col>
      <xdr:colOff>723900</xdr:colOff>
      <xdr:row>173</xdr:row>
      <xdr:rowOff>28575</xdr:rowOff>
    </xdr:from>
    <xdr:to>
      <xdr:col>3</xdr:col>
      <xdr:colOff>18867</xdr:colOff>
      <xdr:row>174</xdr:row>
      <xdr:rowOff>161885</xdr:rowOff>
    </xdr:to>
    <xdr:pic>
      <xdr:nvPicPr>
        <xdr:cNvPr id="11" name="11 Imagen">
          <a:extLst>
            <a:ext uri="{FF2B5EF4-FFF2-40B4-BE49-F238E27FC236}">
              <a16:creationId xmlns:a16="http://schemas.microsoft.com/office/drawing/2014/main" id="{3E3997C3-005C-41EB-AB8E-743076962D7A}"/>
            </a:ext>
          </a:extLst>
        </xdr:cNvPr>
        <xdr:cNvPicPr>
          <a:picLocks noChangeAspect="1"/>
        </xdr:cNvPicPr>
      </xdr:nvPicPr>
      <xdr:blipFill>
        <a:blip xmlns:r="http://schemas.openxmlformats.org/officeDocument/2006/relationships" r:embed="rId10"/>
        <a:stretch>
          <a:fillRect/>
        </a:stretch>
      </xdr:blipFill>
      <xdr:spPr>
        <a:xfrm>
          <a:off x="1514475" y="34204275"/>
          <a:ext cx="1466667" cy="323810"/>
        </a:xfrm>
        <a:prstGeom prst="rect">
          <a:avLst/>
        </a:prstGeom>
      </xdr:spPr>
    </xdr:pic>
    <xdr:clientData/>
  </xdr:twoCellAnchor>
  <xdr:twoCellAnchor editAs="oneCell">
    <xdr:from>
      <xdr:col>1</xdr:col>
      <xdr:colOff>723900</xdr:colOff>
      <xdr:row>184</xdr:row>
      <xdr:rowOff>28575</xdr:rowOff>
    </xdr:from>
    <xdr:to>
      <xdr:col>3</xdr:col>
      <xdr:colOff>66486</xdr:colOff>
      <xdr:row>185</xdr:row>
      <xdr:rowOff>161885</xdr:rowOff>
    </xdr:to>
    <xdr:pic>
      <xdr:nvPicPr>
        <xdr:cNvPr id="12" name="12 Imagen">
          <a:extLst>
            <a:ext uri="{FF2B5EF4-FFF2-40B4-BE49-F238E27FC236}">
              <a16:creationId xmlns:a16="http://schemas.microsoft.com/office/drawing/2014/main" id="{4DED1A60-CDD5-44A1-9074-E416AAB42396}"/>
            </a:ext>
          </a:extLst>
        </xdr:cNvPr>
        <xdr:cNvPicPr>
          <a:picLocks noChangeAspect="1"/>
        </xdr:cNvPicPr>
      </xdr:nvPicPr>
      <xdr:blipFill>
        <a:blip xmlns:r="http://schemas.openxmlformats.org/officeDocument/2006/relationships" r:embed="rId11"/>
        <a:stretch>
          <a:fillRect/>
        </a:stretch>
      </xdr:blipFill>
      <xdr:spPr>
        <a:xfrm>
          <a:off x="1514475" y="36318825"/>
          <a:ext cx="1514286" cy="323810"/>
        </a:xfrm>
        <a:prstGeom prst="rect">
          <a:avLst/>
        </a:prstGeom>
      </xdr:spPr>
    </xdr:pic>
    <xdr:clientData/>
  </xdr:twoCellAnchor>
  <xdr:twoCellAnchor editAs="oneCell">
    <xdr:from>
      <xdr:col>0</xdr:col>
      <xdr:colOff>0</xdr:colOff>
      <xdr:row>188</xdr:row>
      <xdr:rowOff>89534</xdr:rowOff>
    </xdr:from>
    <xdr:to>
      <xdr:col>6</xdr:col>
      <xdr:colOff>104775</xdr:colOff>
      <xdr:row>203</xdr:row>
      <xdr:rowOff>104338</xdr:rowOff>
    </xdr:to>
    <xdr:pic>
      <xdr:nvPicPr>
        <xdr:cNvPr id="13" name="13 Imagen">
          <a:extLst>
            <a:ext uri="{FF2B5EF4-FFF2-40B4-BE49-F238E27FC236}">
              <a16:creationId xmlns:a16="http://schemas.microsoft.com/office/drawing/2014/main" id="{9CEFE5DA-B6AB-422C-86A0-8514A309A2FF}"/>
            </a:ext>
          </a:extLst>
        </xdr:cNvPr>
        <xdr:cNvPicPr>
          <a:picLocks noChangeAspect="1"/>
        </xdr:cNvPicPr>
      </xdr:nvPicPr>
      <xdr:blipFill>
        <a:blip xmlns:r="http://schemas.openxmlformats.org/officeDocument/2006/relationships" r:embed="rId12"/>
        <a:stretch>
          <a:fillRect/>
        </a:stretch>
      </xdr:blipFill>
      <xdr:spPr>
        <a:xfrm>
          <a:off x="0" y="37141784"/>
          <a:ext cx="5705475" cy="2872304"/>
        </a:xfrm>
        <a:prstGeom prst="rect">
          <a:avLst/>
        </a:prstGeom>
      </xdr:spPr>
    </xdr:pic>
    <xdr:clientData/>
  </xdr:twoCellAnchor>
  <xdr:twoCellAnchor editAs="oneCell">
    <xdr:from>
      <xdr:col>0</xdr:col>
      <xdr:colOff>466725</xdr:colOff>
      <xdr:row>204</xdr:row>
      <xdr:rowOff>85725</xdr:rowOff>
    </xdr:from>
    <xdr:to>
      <xdr:col>2</xdr:col>
      <xdr:colOff>933170</xdr:colOff>
      <xdr:row>207</xdr:row>
      <xdr:rowOff>123749</xdr:rowOff>
    </xdr:to>
    <xdr:pic>
      <xdr:nvPicPr>
        <xdr:cNvPr id="14" name="14 Imagen">
          <a:extLst>
            <a:ext uri="{FF2B5EF4-FFF2-40B4-BE49-F238E27FC236}">
              <a16:creationId xmlns:a16="http://schemas.microsoft.com/office/drawing/2014/main" id="{1B691B23-AFA3-4DD0-8795-6C55A26EFA2B}"/>
            </a:ext>
          </a:extLst>
        </xdr:cNvPr>
        <xdr:cNvPicPr>
          <a:picLocks noChangeAspect="1"/>
        </xdr:cNvPicPr>
      </xdr:nvPicPr>
      <xdr:blipFill>
        <a:blip xmlns:r="http://schemas.openxmlformats.org/officeDocument/2006/relationships" r:embed="rId13"/>
        <a:stretch>
          <a:fillRect/>
        </a:stretch>
      </xdr:blipFill>
      <xdr:spPr>
        <a:xfrm>
          <a:off x="466725" y="40185975"/>
          <a:ext cx="2238095" cy="609524"/>
        </a:xfrm>
        <a:prstGeom prst="rect">
          <a:avLst/>
        </a:prstGeom>
      </xdr:spPr>
    </xdr:pic>
    <xdr:clientData/>
  </xdr:twoCellAnchor>
  <xdr:twoCellAnchor editAs="oneCell">
    <xdr:from>
      <xdr:col>3</xdr:col>
      <xdr:colOff>28576</xdr:colOff>
      <xdr:row>209</xdr:row>
      <xdr:rowOff>0</xdr:rowOff>
    </xdr:from>
    <xdr:to>
      <xdr:col>3</xdr:col>
      <xdr:colOff>398026</xdr:colOff>
      <xdr:row>210</xdr:row>
      <xdr:rowOff>47590</xdr:rowOff>
    </xdr:to>
    <xdr:pic>
      <xdr:nvPicPr>
        <xdr:cNvPr id="15" name="15 Imagen">
          <a:extLst>
            <a:ext uri="{FF2B5EF4-FFF2-40B4-BE49-F238E27FC236}">
              <a16:creationId xmlns:a16="http://schemas.microsoft.com/office/drawing/2014/main" id="{B533B90F-1A90-46AA-835A-CEF1D81EEA66}"/>
            </a:ext>
          </a:extLst>
        </xdr:cNvPr>
        <xdr:cNvPicPr>
          <a:picLocks noChangeAspect="1"/>
        </xdr:cNvPicPr>
      </xdr:nvPicPr>
      <xdr:blipFill>
        <a:blip xmlns:r="http://schemas.openxmlformats.org/officeDocument/2006/relationships" r:embed="rId14"/>
        <a:stretch>
          <a:fillRect/>
        </a:stretch>
      </xdr:blipFill>
      <xdr:spPr>
        <a:xfrm>
          <a:off x="2990851" y="41062275"/>
          <a:ext cx="369450" cy="247615"/>
        </a:xfrm>
        <a:prstGeom prst="rect">
          <a:avLst/>
        </a:prstGeom>
      </xdr:spPr>
    </xdr:pic>
    <xdr:clientData/>
  </xdr:twoCellAnchor>
  <xdr:twoCellAnchor editAs="oneCell">
    <xdr:from>
      <xdr:col>0</xdr:col>
      <xdr:colOff>38100</xdr:colOff>
      <xdr:row>28</xdr:row>
      <xdr:rowOff>76200</xdr:rowOff>
    </xdr:from>
    <xdr:to>
      <xdr:col>6</xdr:col>
      <xdr:colOff>28575</xdr:colOff>
      <xdr:row>40</xdr:row>
      <xdr:rowOff>178331</xdr:rowOff>
    </xdr:to>
    <xdr:pic>
      <xdr:nvPicPr>
        <xdr:cNvPr id="16" name="9 Imagen">
          <a:extLst>
            <a:ext uri="{FF2B5EF4-FFF2-40B4-BE49-F238E27FC236}">
              <a16:creationId xmlns:a16="http://schemas.microsoft.com/office/drawing/2014/main" id="{A2A3CDA2-9611-4ABE-883F-C2BE8A1C2E4B}"/>
            </a:ext>
          </a:extLst>
        </xdr:cNvPr>
        <xdr:cNvPicPr>
          <a:picLocks noChangeAspect="1"/>
        </xdr:cNvPicPr>
      </xdr:nvPicPr>
      <xdr:blipFill>
        <a:blip xmlns:r="http://schemas.openxmlformats.org/officeDocument/2006/relationships" r:embed="rId8"/>
        <a:stretch>
          <a:fillRect/>
        </a:stretch>
      </xdr:blipFill>
      <xdr:spPr>
        <a:xfrm>
          <a:off x="38100" y="6353175"/>
          <a:ext cx="5591175" cy="238813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9</xdr:col>
      <xdr:colOff>28575</xdr:colOff>
      <xdr:row>10</xdr:row>
      <xdr:rowOff>179433</xdr:rowOff>
    </xdr:to>
    <xdr:pic>
      <xdr:nvPicPr>
        <xdr:cNvPr id="2" name="Imagen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1"/>
          <a:ext cx="8505825" cy="2084432"/>
        </a:xfrm>
        <a:prstGeom prst="rect">
          <a:avLst/>
        </a:prstGeom>
      </xdr:spPr>
    </xdr:pic>
    <xdr:clientData/>
  </xdr:twoCellAnchor>
  <xdr:twoCellAnchor editAs="oneCell">
    <xdr:from>
      <xdr:col>0</xdr:col>
      <xdr:colOff>0</xdr:colOff>
      <xdr:row>21</xdr:row>
      <xdr:rowOff>142874</xdr:rowOff>
    </xdr:from>
    <xdr:to>
      <xdr:col>8</xdr:col>
      <xdr:colOff>688801</xdr:colOff>
      <xdr:row>64</xdr:row>
      <xdr:rowOff>27607</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0" y="4143374"/>
          <a:ext cx="8404051" cy="8076233"/>
        </a:xfrm>
        <a:prstGeom prst="rect">
          <a:avLst/>
        </a:prstGeom>
      </xdr:spPr>
    </xdr:pic>
    <xdr:clientData/>
  </xdr:twoCellAnchor>
  <xdr:twoCellAnchor editAs="oneCell">
    <xdr:from>
      <xdr:col>0</xdr:col>
      <xdr:colOff>0</xdr:colOff>
      <xdr:row>65</xdr:row>
      <xdr:rowOff>133350</xdr:rowOff>
    </xdr:from>
    <xdr:to>
      <xdr:col>8</xdr:col>
      <xdr:colOff>476811</xdr:colOff>
      <xdr:row>75</xdr:row>
      <xdr:rowOff>37882</xdr:rowOff>
    </xdr:to>
    <xdr:pic>
      <xdr:nvPicPr>
        <xdr:cNvPr id="4" name="Imagen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0" y="12515850"/>
          <a:ext cx="8192061" cy="1809531"/>
        </a:xfrm>
        <a:prstGeom prst="rect">
          <a:avLst/>
        </a:prstGeom>
      </xdr:spPr>
    </xdr:pic>
    <xdr:clientData/>
  </xdr:twoCellAnchor>
  <xdr:twoCellAnchor editAs="oneCell">
    <xdr:from>
      <xdr:col>0</xdr:col>
      <xdr:colOff>0</xdr:colOff>
      <xdr:row>76</xdr:row>
      <xdr:rowOff>0</xdr:rowOff>
    </xdr:from>
    <xdr:to>
      <xdr:col>4</xdr:col>
      <xdr:colOff>799439</xdr:colOff>
      <xdr:row>82</xdr:row>
      <xdr:rowOff>95095</xdr:rowOff>
    </xdr:to>
    <xdr:pic>
      <xdr:nvPicPr>
        <xdr:cNvPr id="5" name="Imagen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a:stretch>
          <a:fillRect/>
        </a:stretch>
      </xdr:blipFill>
      <xdr:spPr>
        <a:xfrm>
          <a:off x="0" y="14478000"/>
          <a:ext cx="5285714" cy="1238095"/>
        </a:xfrm>
        <a:prstGeom prst="rect">
          <a:avLst/>
        </a:prstGeom>
      </xdr:spPr>
    </xdr:pic>
    <xdr:clientData/>
  </xdr:twoCellAnchor>
  <xdr:twoCellAnchor editAs="oneCell">
    <xdr:from>
      <xdr:col>0</xdr:col>
      <xdr:colOff>0</xdr:colOff>
      <xdr:row>89</xdr:row>
      <xdr:rowOff>0</xdr:rowOff>
    </xdr:from>
    <xdr:to>
      <xdr:col>8</xdr:col>
      <xdr:colOff>298195</xdr:colOff>
      <xdr:row>125</xdr:row>
      <xdr:rowOff>161048</xdr:rowOff>
    </xdr:to>
    <xdr:pic>
      <xdr:nvPicPr>
        <xdr:cNvPr id="6" name="Imagen 5">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5"/>
        <a:stretch>
          <a:fillRect/>
        </a:stretch>
      </xdr:blipFill>
      <xdr:spPr>
        <a:xfrm>
          <a:off x="0" y="16954500"/>
          <a:ext cx="8019048" cy="7019048"/>
        </a:xfrm>
        <a:prstGeom prst="rect">
          <a:avLst/>
        </a:prstGeom>
      </xdr:spPr>
    </xdr:pic>
    <xdr:clientData/>
  </xdr:twoCellAnchor>
  <xdr:twoCellAnchor editAs="oneCell">
    <xdr:from>
      <xdr:col>0</xdr:col>
      <xdr:colOff>0</xdr:colOff>
      <xdr:row>127</xdr:row>
      <xdr:rowOff>0</xdr:rowOff>
    </xdr:from>
    <xdr:to>
      <xdr:col>8</xdr:col>
      <xdr:colOff>202956</xdr:colOff>
      <xdr:row>160</xdr:row>
      <xdr:rowOff>37309</xdr:rowOff>
    </xdr:to>
    <xdr:pic>
      <xdr:nvPicPr>
        <xdr:cNvPr id="7" name="Imagen 6">
          <a:extLst>
            <a:ext uri="{FF2B5EF4-FFF2-40B4-BE49-F238E27FC236}">
              <a16:creationId xmlns:a16="http://schemas.microsoft.com/office/drawing/2014/main" id="{00000000-0008-0000-1200-000007000000}"/>
            </a:ext>
          </a:extLst>
        </xdr:cNvPr>
        <xdr:cNvPicPr>
          <a:picLocks noChangeAspect="1"/>
        </xdr:cNvPicPr>
      </xdr:nvPicPr>
      <xdr:blipFill>
        <a:blip xmlns:r="http://schemas.openxmlformats.org/officeDocument/2006/relationships" r:embed="rId6"/>
        <a:stretch>
          <a:fillRect/>
        </a:stretch>
      </xdr:blipFill>
      <xdr:spPr>
        <a:xfrm>
          <a:off x="0" y="24193500"/>
          <a:ext cx="7923809" cy="6323809"/>
        </a:xfrm>
        <a:prstGeom prst="rect">
          <a:avLst/>
        </a:prstGeom>
      </xdr:spPr>
    </xdr:pic>
    <xdr:clientData/>
  </xdr:twoCellAnchor>
  <xdr:twoCellAnchor editAs="oneCell">
    <xdr:from>
      <xdr:col>0</xdr:col>
      <xdr:colOff>0</xdr:colOff>
      <xdr:row>174</xdr:row>
      <xdr:rowOff>0</xdr:rowOff>
    </xdr:from>
    <xdr:to>
      <xdr:col>7</xdr:col>
      <xdr:colOff>641147</xdr:colOff>
      <xdr:row>180</xdr:row>
      <xdr:rowOff>85571</xdr:rowOff>
    </xdr:to>
    <xdr:pic>
      <xdr:nvPicPr>
        <xdr:cNvPr id="8" name="Imagen 7">
          <a:extLst>
            <a:ext uri="{FF2B5EF4-FFF2-40B4-BE49-F238E27FC236}">
              <a16:creationId xmlns:a16="http://schemas.microsoft.com/office/drawing/2014/main" id="{00000000-0008-0000-1200-000008000000}"/>
            </a:ext>
          </a:extLst>
        </xdr:cNvPr>
        <xdr:cNvPicPr>
          <a:picLocks noChangeAspect="1"/>
        </xdr:cNvPicPr>
      </xdr:nvPicPr>
      <xdr:blipFill>
        <a:blip xmlns:r="http://schemas.openxmlformats.org/officeDocument/2006/relationships" r:embed="rId7"/>
        <a:stretch>
          <a:fillRect/>
        </a:stretch>
      </xdr:blipFill>
      <xdr:spPr>
        <a:xfrm>
          <a:off x="0" y="31813500"/>
          <a:ext cx="7600000" cy="122857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761999</xdr:colOff>
      <xdr:row>1</xdr:row>
      <xdr:rowOff>190499</xdr:rowOff>
    </xdr:from>
    <xdr:to>
      <xdr:col>9</xdr:col>
      <xdr:colOff>466724</xdr:colOff>
      <xdr:row>20</xdr:row>
      <xdr:rowOff>144298</xdr:rowOff>
    </xdr:to>
    <xdr:pic>
      <xdr:nvPicPr>
        <xdr:cNvPr id="3" name="2 Imagen" descr="image.png">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761999" y="380999"/>
          <a:ext cx="6562725" cy="3573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704850</xdr:colOff>
      <xdr:row>23</xdr:row>
      <xdr:rowOff>57150</xdr:rowOff>
    </xdr:from>
    <xdr:to>
      <xdr:col>2</xdr:col>
      <xdr:colOff>257031</xdr:colOff>
      <xdr:row>24</xdr:row>
      <xdr:rowOff>76174</xdr:rowOff>
    </xdr:to>
    <xdr:pic>
      <xdr:nvPicPr>
        <xdr:cNvPr id="6" name="5 Imagen">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3"/>
        <a:stretch>
          <a:fillRect/>
        </a:stretch>
      </xdr:blipFill>
      <xdr:spPr>
        <a:xfrm>
          <a:off x="704850" y="4438650"/>
          <a:ext cx="1152381" cy="209524"/>
        </a:xfrm>
        <a:prstGeom prst="rect">
          <a:avLst/>
        </a:prstGeom>
      </xdr:spPr>
    </xdr:pic>
    <xdr:clientData/>
  </xdr:twoCellAnchor>
  <xdr:twoCellAnchor editAs="oneCell">
    <xdr:from>
      <xdr:col>6</xdr:col>
      <xdr:colOff>0</xdr:colOff>
      <xdr:row>23</xdr:row>
      <xdr:rowOff>0</xdr:rowOff>
    </xdr:from>
    <xdr:to>
      <xdr:col>7</xdr:col>
      <xdr:colOff>57048</xdr:colOff>
      <xdr:row>24</xdr:row>
      <xdr:rowOff>57119</xdr:rowOff>
    </xdr:to>
    <xdr:pic>
      <xdr:nvPicPr>
        <xdr:cNvPr id="7" name="6 Imagen">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4"/>
        <a:stretch>
          <a:fillRect/>
        </a:stretch>
      </xdr:blipFill>
      <xdr:spPr>
        <a:xfrm>
          <a:off x="4648200" y="4381500"/>
          <a:ext cx="819048" cy="24761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0</xdr:col>
      <xdr:colOff>476250</xdr:colOff>
      <xdr:row>9</xdr:row>
      <xdr:rowOff>0</xdr:rowOff>
    </xdr:from>
    <xdr:ext cx="3279085" cy="384571"/>
    <xdr:pic>
      <xdr:nvPicPr>
        <xdr:cNvPr id="2" name="Imagen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476250" y="1905000"/>
          <a:ext cx="3279085" cy="384571"/>
        </a:xfrm>
        <a:prstGeom prst="rect">
          <a:avLst/>
        </a:prstGeom>
      </xdr:spPr>
    </xdr:pic>
    <xdr:clientData/>
  </xdr:oneCellAnchor>
  <xdr:twoCellAnchor editAs="oneCell">
    <xdr:from>
      <xdr:col>0</xdr:col>
      <xdr:colOff>9525</xdr:colOff>
      <xdr:row>13</xdr:row>
      <xdr:rowOff>19050</xdr:rowOff>
    </xdr:from>
    <xdr:to>
      <xdr:col>4</xdr:col>
      <xdr:colOff>283301</xdr:colOff>
      <xdr:row>15</xdr:row>
      <xdr:rowOff>66569</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9525" y="2876550"/>
          <a:ext cx="6407876" cy="428519"/>
        </a:xfrm>
        <a:prstGeom prst="rect">
          <a:avLst/>
        </a:prstGeom>
      </xdr:spPr>
    </xdr:pic>
    <xdr:clientData/>
  </xdr:twoCellAnchor>
  <xdr:twoCellAnchor editAs="oneCell">
    <xdr:from>
      <xdr:col>0</xdr:col>
      <xdr:colOff>1323976</xdr:colOff>
      <xdr:row>31</xdr:row>
      <xdr:rowOff>173723</xdr:rowOff>
    </xdr:from>
    <xdr:to>
      <xdr:col>0</xdr:col>
      <xdr:colOff>3000376</xdr:colOff>
      <xdr:row>34</xdr:row>
      <xdr:rowOff>85650</xdr:rowOff>
    </xdr:to>
    <xdr:pic>
      <xdr:nvPicPr>
        <xdr:cNvPr id="4" name="Imagen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3"/>
        <a:stretch>
          <a:fillRect/>
        </a:stretch>
      </xdr:blipFill>
      <xdr:spPr>
        <a:xfrm>
          <a:off x="1323976" y="6460223"/>
          <a:ext cx="1676400" cy="483427"/>
        </a:xfrm>
        <a:prstGeom prst="rect">
          <a:avLst/>
        </a:prstGeom>
      </xdr:spPr>
    </xdr:pic>
    <xdr:clientData/>
  </xdr:twoCellAnchor>
  <xdr:twoCellAnchor editAs="oneCell">
    <xdr:from>
      <xdr:col>0</xdr:col>
      <xdr:colOff>0</xdr:colOff>
      <xdr:row>37</xdr:row>
      <xdr:rowOff>19050</xdr:rowOff>
    </xdr:from>
    <xdr:to>
      <xdr:col>5</xdr:col>
      <xdr:colOff>353232</xdr:colOff>
      <xdr:row>39</xdr:row>
      <xdr:rowOff>104689</xdr:rowOff>
    </xdr:to>
    <xdr:pic>
      <xdr:nvPicPr>
        <xdr:cNvPr id="5" name="Imagen 4">
          <a:extLst>
            <a:ext uri="{FF2B5EF4-FFF2-40B4-BE49-F238E27FC236}">
              <a16:creationId xmlns:a16="http://schemas.microsoft.com/office/drawing/2014/main" id="{00000000-0008-0000-1100-000005000000}"/>
            </a:ext>
          </a:extLst>
        </xdr:cNvPr>
        <xdr:cNvPicPr>
          <a:picLocks noChangeAspect="1"/>
        </xdr:cNvPicPr>
      </xdr:nvPicPr>
      <xdr:blipFill>
        <a:blip xmlns:r="http://schemas.openxmlformats.org/officeDocument/2006/relationships" r:embed="rId4"/>
        <a:stretch>
          <a:fillRect/>
        </a:stretch>
      </xdr:blipFill>
      <xdr:spPr>
        <a:xfrm>
          <a:off x="0" y="7448550"/>
          <a:ext cx="7249332" cy="466639"/>
        </a:xfrm>
        <a:prstGeom prst="rect">
          <a:avLst/>
        </a:prstGeom>
      </xdr:spPr>
    </xdr:pic>
    <xdr:clientData/>
  </xdr:twoCellAnchor>
  <xdr:twoCellAnchor editAs="oneCell">
    <xdr:from>
      <xdr:col>0</xdr:col>
      <xdr:colOff>47625</xdr:colOff>
      <xdr:row>43</xdr:row>
      <xdr:rowOff>125377</xdr:rowOff>
    </xdr:from>
    <xdr:to>
      <xdr:col>5</xdr:col>
      <xdr:colOff>495300</xdr:colOff>
      <xdr:row>47</xdr:row>
      <xdr:rowOff>95118</xdr:rowOff>
    </xdr:to>
    <xdr:pic>
      <xdr:nvPicPr>
        <xdr:cNvPr id="6" name="Imagen 5">
          <a:extLst>
            <a:ext uri="{FF2B5EF4-FFF2-40B4-BE49-F238E27FC236}">
              <a16:creationId xmlns:a16="http://schemas.microsoft.com/office/drawing/2014/main" id="{00000000-0008-0000-1100-000006000000}"/>
            </a:ext>
          </a:extLst>
        </xdr:cNvPr>
        <xdr:cNvPicPr>
          <a:picLocks noChangeAspect="1"/>
        </xdr:cNvPicPr>
      </xdr:nvPicPr>
      <xdr:blipFill>
        <a:blip xmlns:r="http://schemas.openxmlformats.org/officeDocument/2006/relationships" r:embed="rId5"/>
        <a:stretch>
          <a:fillRect/>
        </a:stretch>
      </xdr:blipFill>
      <xdr:spPr>
        <a:xfrm>
          <a:off x="47625" y="8802652"/>
          <a:ext cx="7343775" cy="731741"/>
        </a:xfrm>
        <a:prstGeom prst="rect">
          <a:avLst/>
        </a:prstGeom>
      </xdr:spPr>
    </xdr:pic>
    <xdr:clientData/>
  </xdr:twoCellAnchor>
  <xdr:twoCellAnchor editAs="oneCell">
    <xdr:from>
      <xdr:col>0</xdr:col>
      <xdr:colOff>2076450</xdr:colOff>
      <xdr:row>48</xdr:row>
      <xdr:rowOff>120159</xdr:rowOff>
    </xdr:from>
    <xdr:to>
      <xdr:col>0</xdr:col>
      <xdr:colOff>3200400</xdr:colOff>
      <xdr:row>51</xdr:row>
      <xdr:rowOff>95140</xdr:rowOff>
    </xdr:to>
    <xdr:pic>
      <xdr:nvPicPr>
        <xdr:cNvPr id="7" name="Imagen 6">
          <a:extLst>
            <a:ext uri="{FF2B5EF4-FFF2-40B4-BE49-F238E27FC236}">
              <a16:creationId xmlns:a16="http://schemas.microsoft.com/office/drawing/2014/main" id="{00000000-0008-0000-1100-000007000000}"/>
            </a:ext>
          </a:extLst>
        </xdr:cNvPr>
        <xdr:cNvPicPr>
          <a:picLocks noChangeAspect="1"/>
        </xdr:cNvPicPr>
      </xdr:nvPicPr>
      <xdr:blipFill>
        <a:blip xmlns:r="http://schemas.openxmlformats.org/officeDocument/2006/relationships" r:embed="rId6"/>
        <a:stretch>
          <a:fillRect/>
        </a:stretch>
      </xdr:blipFill>
      <xdr:spPr>
        <a:xfrm>
          <a:off x="2076450" y="9749934"/>
          <a:ext cx="1123950" cy="689356"/>
        </a:xfrm>
        <a:prstGeom prst="rect">
          <a:avLst/>
        </a:prstGeom>
      </xdr:spPr>
    </xdr:pic>
    <xdr:clientData/>
  </xdr:twoCellAnchor>
  <xdr:twoCellAnchor editAs="oneCell">
    <xdr:from>
      <xdr:col>0</xdr:col>
      <xdr:colOff>57150</xdr:colOff>
      <xdr:row>53</xdr:row>
      <xdr:rowOff>81475</xdr:rowOff>
    </xdr:from>
    <xdr:to>
      <xdr:col>5</xdr:col>
      <xdr:colOff>447675</xdr:colOff>
      <xdr:row>59</xdr:row>
      <xdr:rowOff>56949</xdr:rowOff>
    </xdr:to>
    <xdr:pic>
      <xdr:nvPicPr>
        <xdr:cNvPr id="8" name="Imagen 7">
          <a:extLst>
            <a:ext uri="{FF2B5EF4-FFF2-40B4-BE49-F238E27FC236}">
              <a16:creationId xmlns:a16="http://schemas.microsoft.com/office/drawing/2014/main" id="{00000000-0008-0000-1100-000008000000}"/>
            </a:ext>
          </a:extLst>
        </xdr:cNvPr>
        <xdr:cNvPicPr>
          <a:picLocks noChangeAspect="1"/>
        </xdr:cNvPicPr>
      </xdr:nvPicPr>
      <xdr:blipFill>
        <a:blip xmlns:r="http://schemas.openxmlformats.org/officeDocument/2006/relationships" r:embed="rId7"/>
        <a:stretch>
          <a:fillRect/>
        </a:stretch>
      </xdr:blipFill>
      <xdr:spPr>
        <a:xfrm>
          <a:off x="57150" y="10806625"/>
          <a:ext cx="7286625" cy="1118474"/>
        </a:xfrm>
        <a:prstGeom prst="rect">
          <a:avLst/>
        </a:prstGeom>
      </xdr:spPr>
    </xdr:pic>
    <xdr:clientData/>
  </xdr:twoCellAnchor>
  <xdr:twoCellAnchor editAs="oneCell">
    <xdr:from>
      <xdr:col>0</xdr:col>
      <xdr:colOff>2085975</xdr:colOff>
      <xdr:row>60</xdr:row>
      <xdr:rowOff>95250</xdr:rowOff>
    </xdr:from>
    <xdr:to>
      <xdr:col>0</xdr:col>
      <xdr:colOff>3169509</xdr:colOff>
      <xdr:row>62</xdr:row>
      <xdr:rowOff>142812</xdr:rowOff>
    </xdr:to>
    <xdr:pic>
      <xdr:nvPicPr>
        <xdr:cNvPr id="9" name="Imagen 8">
          <a:extLst>
            <a:ext uri="{FF2B5EF4-FFF2-40B4-BE49-F238E27FC236}">
              <a16:creationId xmlns:a16="http://schemas.microsoft.com/office/drawing/2014/main" id="{00000000-0008-0000-1100-000009000000}"/>
            </a:ext>
          </a:extLst>
        </xdr:cNvPr>
        <xdr:cNvPicPr>
          <a:picLocks noChangeAspect="1"/>
        </xdr:cNvPicPr>
      </xdr:nvPicPr>
      <xdr:blipFill>
        <a:blip xmlns:r="http://schemas.openxmlformats.org/officeDocument/2006/relationships" r:embed="rId8"/>
        <a:stretch>
          <a:fillRect/>
        </a:stretch>
      </xdr:blipFill>
      <xdr:spPr>
        <a:xfrm>
          <a:off x="2085975" y="12153900"/>
          <a:ext cx="1083534" cy="428562"/>
        </a:xfrm>
        <a:prstGeom prst="rect">
          <a:avLst/>
        </a:prstGeom>
      </xdr:spPr>
    </xdr:pic>
    <xdr:clientData/>
  </xdr:twoCellAnchor>
  <xdr:twoCellAnchor editAs="oneCell">
    <xdr:from>
      <xdr:col>0</xdr:col>
      <xdr:colOff>238125</xdr:colOff>
      <xdr:row>122</xdr:row>
      <xdr:rowOff>0</xdr:rowOff>
    </xdr:from>
    <xdr:to>
      <xdr:col>2</xdr:col>
      <xdr:colOff>47625</xdr:colOff>
      <xdr:row>127</xdr:row>
      <xdr:rowOff>98908</xdr:rowOff>
    </xdr:to>
    <xdr:pic>
      <xdr:nvPicPr>
        <xdr:cNvPr id="24" name="Imagen 23">
          <a:extLst>
            <a:ext uri="{FF2B5EF4-FFF2-40B4-BE49-F238E27FC236}">
              <a16:creationId xmlns:a16="http://schemas.microsoft.com/office/drawing/2014/main" id="{00000000-0008-0000-1100-000018000000}"/>
            </a:ext>
          </a:extLst>
        </xdr:cNvPr>
        <xdr:cNvPicPr>
          <a:picLocks noChangeAspect="1"/>
        </xdr:cNvPicPr>
      </xdr:nvPicPr>
      <xdr:blipFill>
        <a:blip xmlns:r="http://schemas.openxmlformats.org/officeDocument/2006/relationships" r:embed="rId9"/>
        <a:stretch>
          <a:fillRect/>
        </a:stretch>
      </xdr:blipFill>
      <xdr:spPr>
        <a:xfrm>
          <a:off x="238125" y="24431625"/>
          <a:ext cx="4419600" cy="1156183"/>
        </a:xfrm>
        <a:prstGeom prst="rect">
          <a:avLst/>
        </a:prstGeom>
      </xdr:spPr>
    </xdr:pic>
    <xdr:clientData/>
  </xdr:twoCellAnchor>
  <xdr:twoCellAnchor editAs="oneCell">
    <xdr:from>
      <xdr:col>0</xdr:col>
      <xdr:colOff>504825</xdr:colOff>
      <xdr:row>90</xdr:row>
      <xdr:rowOff>38100</xdr:rowOff>
    </xdr:from>
    <xdr:to>
      <xdr:col>1</xdr:col>
      <xdr:colOff>971084</xdr:colOff>
      <xdr:row>97</xdr:row>
      <xdr:rowOff>95076</xdr:rowOff>
    </xdr:to>
    <xdr:pic>
      <xdr:nvPicPr>
        <xdr:cNvPr id="25" name="Imagen 24">
          <a:extLst>
            <a:ext uri="{FF2B5EF4-FFF2-40B4-BE49-F238E27FC236}">
              <a16:creationId xmlns:a16="http://schemas.microsoft.com/office/drawing/2014/main" id="{00000000-0008-0000-1100-000019000000}"/>
            </a:ext>
          </a:extLst>
        </xdr:cNvPr>
        <xdr:cNvPicPr>
          <a:picLocks noChangeAspect="1"/>
        </xdr:cNvPicPr>
      </xdr:nvPicPr>
      <xdr:blipFill>
        <a:blip xmlns:r="http://schemas.openxmlformats.org/officeDocument/2006/relationships" r:embed="rId10"/>
        <a:stretch>
          <a:fillRect/>
        </a:stretch>
      </xdr:blipFill>
      <xdr:spPr>
        <a:xfrm>
          <a:off x="504825" y="15906750"/>
          <a:ext cx="3723809" cy="1390476"/>
        </a:xfrm>
        <a:prstGeom prst="rect">
          <a:avLst/>
        </a:prstGeom>
      </xdr:spPr>
    </xdr:pic>
    <xdr:clientData/>
  </xdr:twoCellAnchor>
  <xdr:twoCellAnchor editAs="oneCell">
    <xdr:from>
      <xdr:col>8</xdr:col>
      <xdr:colOff>85725</xdr:colOff>
      <xdr:row>91</xdr:row>
      <xdr:rowOff>47625</xdr:rowOff>
    </xdr:from>
    <xdr:to>
      <xdr:col>9</xdr:col>
      <xdr:colOff>275863</xdr:colOff>
      <xdr:row>111</xdr:row>
      <xdr:rowOff>132824</xdr:rowOff>
    </xdr:to>
    <xdr:pic>
      <xdr:nvPicPr>
        <xdr:cNvPr id="26" name="Imagen 25">
          <a:extLst>
            <a:ext uri="{FF2B5EF4-FFF2-40B4-BE49-F238E27FC236}">
              <a16:creationId xmlns:a16="http://schemas.microsoft.com/office/drawing/2014/main" id="{00000000-0008-0000-1100-00001A000000}"/>
            </a:ext>
          </a:extLst>
        </xdr:cNvPr>
        <xdr:cNvPicPr>
          <a:picLocks noChangeAspect="1"/>
        </xdr:cNvPicPr>
      </xdr:nvPicPr>
      <xdr:blipFill>
        <a:blip xmlns:r="http://schemas.openxmlformats.org/officeDocument/2006/relationships" r:embed="rId11"/>
        <a:stretch>
          <a:fillRect/>
        </a:stretch>
      </xdr:blipFill>
      <xdr:spPr>
        <a:xfrm>
          <a:off x="8943975" y="18154650"/>
          <a:ext cx="2895238" cy="4209524"/>
        </a:xfrm>
        <a:prstGeom prst="rect">
          <a:avLst/>
        </a:prstGeom>
      </xdr:spPr>
    </xdr:pic>
    <xdr:clientData/>
  </xdr:twoCellAnchor>
  <xdr:twoCellAnchor editAs="oneCell">
    <xdr:from>
      <xdr:col>0</xdr:col>
      <xdr:colOff>0</xdr:colOff>
      <xdr:row>63</xdr:row>
      <xdr:rowOff>47625</xdr:rowOff>
    </xdr:from>
    <xdr:to>
      <xdr:col>5</xdr:col>
      <xdr:colOff>499324</xdr:colOff>
      <xdr:row>72</xdr:row>
      <xdr:rowOff>18749</xdr:rowOff>
    </xdr:to>
    <xdr:pic>
      <xdr:nvPicPr>
        <xdr:cNvPr id="27" name="Imagen 26">
          <a:extLst>
            <a:ext uri="{FF2B5EF4-FFF2-40B4-BE49-F238E27FC236}">
              <a16:creationId xmlns:a16="http://schemas.microsoft.com/office/drawing/2014/main" id="{00000000-0008-0000-1100-00001B000000}"/>
            </a:ext>
          </a:extLst>
        </xdr:cNvPr>
        <xdr:cNvPicPr>
          <a:picLocks noChangeAspect="1"/>
        </xdr:cNvPicPr>
      </xdr:nvPicPr>
      <xdr:blipFill>
        <a:blip xmlns:r="http://schemas.openxmlformats.org/officeDocument/2006/relationships" r:embed="rId12"/>
        <a:stretch>
          <a:fillRect/>
        </a:stretch>
      </xdr:blipFill>
      <xdr:spPr>
        <a:xfrm>
          <a:off x="0" y="12677775"/>
          <a:ext cx="7395424" cy="1685624"/>
        </a:xfrm>
        <a:prstGeom prst="rect">
          <a:avLst/>
        </a:prstGeom>
      </xdr:spPr>
    </xdr:pic>
    <xdr:clientData/>
  </xdr:twoCellAnchor>
  <xdr:twoCellAnchor editAs="oneCell">
    <xdr:from>
      <xdr:col>0</xdr:col>
      <xdr:colOff>1247775</xdr:colOff>
      <xdr:row>73</xdr:row>
      <xdr:rowOff>158411</xdr:rowOff>
    </xdr:from>
    <xdr:to>
      <xdr:col>1</xdr:col>
      <xdr:colOff>666750</xdr:colOff>
      <xdr:row>75</xdr:row>
      <xdr:rowOff>133293</xdr:rowOff>
    </xdr:to>
    <xdr:pic>
      <xdr:nvPicPr>
        <xdr:cNvPr id="28" name="Imagen 27">
          <a:extLst>
            <a:ext uri="{FF2B5EF4-FFF2-40B4-BE49-F238E27FC236}">
              <a16:creationId xmlns:a16="http://schemas.microsoft.com/office/drawing/2014/main" id="{00000000-0008-0000-1100-00001C000000}"/>
            </a:ext>
          </a:extLst>
        </xdr:cNvPr>
        <xdr:cNvPicPr>
          <a:picLocks noChangeAspect="1"/>
        </xdr:cNvPicPr>
      </xdr:nvPicPr>
      <xdr:blipFill>
        <a:blip xmlns:r="http://schemas.openxmlformats.org/officeDocument/2006/relationships" r:embed="rId13"/>
        <a:stretch>
          <a:fillRect/>
        </a:stretch>
      </xdr:blipFill>
      <xdr:spPr>
        <a:xfrm>
          <a:off x="1247775" y="14693561"/>
          <a:ext cx="2676525" cy="355882"/>
        </a:xfrm>
        <a:prstGeom prst="rect">
          <a:avLst/>
        </a:prstGeom>
      </xdr:spPr>
    </xdr:pic>
    <xdr:clientData/>
  </xdr:twoCellAnchor>
  <xdr:twoCellAnchor editAs="oneCell">
    <xdr:from>
      <xdr:col>0</xdr:col>
      <xdr:colOff>19050</xdr:colOff>
      <xdr:row>76</xdr:row>
      <xdr:rowOff>165456</xdr:rowOff>
    </xdr:from>
    <xdr:to>
      <xdr:col>1</xdr:col>
      <xdr:colOff>561975</xdr:colOff>
      <xdr:row>78</xdr:row>
      <xdr:rowOff>114249</xdr:rowOff>
    </xdr:to>
    <xdr:pic>
      <xdr:nvPicPr>
        <xdr:cNvPr id="29" name="Imagen 28">
          <a:extLst>
            <a:ext uri="{FF2B5EF4-FFF2-40B4-BE49-F238E27FC236}">
              <a16:creationId xmlns:a16="http://schemas.microsoft.com/office/drawing/2014/main" id="{00000000-0008-0000-1100-00001D000000}"/>
            </a:ext>
          </a:extLst>
        </xdr:cNvPr>
        <xdr:cNvPicPr>
          <a:picLocks noChangeAspect="1"/>
        </xdr:cNvPicPr>
      </xdr:nvPicPr>
      <xdr:blipFill>
        <a:blip xmlns:r="http://schemas.openxmlformats.org/officeDocument/2006/relationships" r:embed="rId14"/>
        <a:stretch>
          <a:fillRect/>
        </a:stretch>
      </xdr:blipFill>
      <xdr:spPr>
        <a:xfrm>
          <a:off x="19050" y="15272106"/>
          <a:ext cx="3800475" cy="329793"/>
        </a:xfrm>
        <a:prstGeom prst="rect">
          <a:avLst/>
        </a:prstGeom>
      </xdr:spPr>
    </xdr:pic>
    <xdr:clientData/>
  </xdr:twoCellAnchor>
  <xdr:twoCellAnchor editAs="oneCell">
    <xdr:from>
      <xdr:col>0</xdr:col>
      <xdr:colOff>9526</xdr:colOff>
      <xdr:row>79</xdr:row>
      <xdr:rowOff>16622</xdr:rowOff>
    </xdr:from>
    <xdr:to>
      <xdr:col>0</xdr:col>
      <xdr:colOff>2162176</xdr:colOff>
      <xdr:row>80</xdr:row>
      <xdr:rowOff>95204</xdr:rowOff>
    </xdr:to>
    <xdr:pic>
      <xdr:nvPicPr>
        <xdr:cNvPr id="30" name="Imagen 29">
          <a:extLst>
            <a:ext uri="{FF2B5EF4-FFF2-40B4-BE49-F238E27FC236}">
              <a16:creationId xmlns:a16="http://schemas.microsoft.com/office/drawing/2014/main" id="{00000000-0008-0000-1100-00001E000000}"/>
            </a:ext>
          </a:extLst>
        </xdr:cNvPr>
        <xdr:cNvPicPr>
          <a:picLocks noChangeAspect="1"/>
        </xdr:cNvPicPr>
      </xdr:nvPicPr>
      <xdr:blipFill>
        <a:blip xmlns:r="http://schemas.openxmlformats.org/officeDocument/2006/relationships" r:embed="rId15"/>
        <a:stretch>
          <a:fillRect/>
        </a:stretch>
      </xdr:blipFill>
      <xdr:spPr>
        <a:xfrm>
          <a:off x="9526" y="15694772"/>
          <a:ext cx="2152650" cy="269082"/>
        </a:xfrm>
        <a:prstGeom prst="rect">
          <a:avLst/>
        </a:prstGeom>
      </xdr:spPr>
    </xdr:pic>
    <xdr:clientData/>
  </xdr:twoCellAnchor>
  <xdr:twoCellAnchor editAs="oneCell">
    <xdr:from>
      <xdr:col>0</xdr:col>
      <xdr:colOff>123825</xdr:colOff>
      <xdr:row>105</xdr:row>
      <xdr:rowOff>114300</xdr:rowOff>
    </xdr:from>
    <xdr:to>
      <xdr:col>2</xdr:col>
      <xdr:colOff>313725</xdr:colOff>
      <xdr:row>116</xdr:row>
      <xdr:rowOff>75943</xdr:rowOff>
    </xdr:to>
    <xdr:pic>
      <xdr:nvPicPr>
        <xdr:cNvPr id="31" name="Imagen 30">
          <a:extLst>
            <a:ext uri="{FF2B5EF4-FFF2-40B4-BE49-F238E27FC236}">
              <a16:creationId xmlns:a16="http://schemas.microsoft.com/office/drawing/2014/main" id="{00000000-0008-0000-1100-00001F000000}"/>
            </a:ext>
          </a:extLst>
        </xdr:cNvPr>
        <xdr:cNvPicPr>
          <a:picLocks noChangeAspect="1"/>
        </xdr:cNvPicPr>
      </xdr:nvPicPr>
      <xdr:blipFill>
        <a:blip xmlns:r="http://schemas.openxmlformats.org/officeDocument/2006/relationships" r:embed="rId16"/>
        <a:stretch>
          <a:fillRect/>
        </a:stretch>
      </xdr:blipFill>
      <xdr:spPr>
        <a:xfrm>
          <a:off x="123825" y="20888325"/>
          <a:ext cx="4800000" cy="205714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0</xdr:col>
      <xdr:colOff>476250</xdr:colOff>
      <xdr:row>11</xdr:row>
      <xdr:rowOff>0</xdr:rowOff>
    </xdr:from>
    <xdr:ext cx="3279085" cy="384571"/>
    <xdr:pic>
      <xdr:nvPicPr>
        <xdr:cNvPr id="5" name="Imagen 4">
          <a:extLst>
            <a:ext uri="{FF2B5EF4-FFF2-40B4-BE49-F238E27FC236}">
              <a16:creationId xmlns:a16="http://schemas.microsoft.com/office/drawing/2014/main" id="{00000000-0008-0000-1000-000005000000}"/>
            </a:ext>
          </a:extLst>
        </xdr:cNvPr>
        <xdr:cNvPicPr>
          <a:picLocks noChangeAspect="1"/>
        </xdr:cNvPicPr>
      </xdr:nvPicPr>
      <xdr:blipFill>
        <a:blip xmlns:r="http://schemas.openxmlformats.org/officeDocument/2006/relationships" r:embed="rId1"/>
        <a:stretch>
          <a:fillRect/>
        </a:stretch>
      </xdr:blipFill>
      <xdr:spPr>
        <a:xfrm>
          <a:off x="476250" y="13906500"/>
          <a:ext cx="3279085" cy="384571"/>
        </a:xfrm>
        <a:prstGeom prst="rect">
          <a:avLst/>
        </a:prstGeom>
      </xdr:spPr>
    </xdr:pic>
    <xdr:clientData/>
  </xdr:oneCellAnchor>
  <xdr:twoCellAnchor editAs="oneCell">
    <xdr:from>
      <xdr:col>0</xdr:col>
      <xdr:colOff>9525</xdr:colOff>
      <xdr:row>16</xdr:row>
      <xdr:rowOff>19050</xdr:rowOff>
    </xdr:from>
    <xdr:to>
      <xdr:col>4</xdr:col>
      <xdr:colOff>454751</xdr:colOff>
      <xdr:row>18</xdr:row>
      <xdr:rowOff>66569</xdr:rowOff>
    </xdr:to>
    <xdr:pic>
      <xdr:nvPicPr>
        <xdr:cNvPr id="6" name="Imagen 5">
          <a:extLst>
            <a:ext uri="{FF2B5EF4-FFF2-40B4-BE49-F238E27FC236}">
              <a16:creationId xmlns:a16="http://schemas.microsoft.com/office/drawing/2014/main" id="{00000000-0008-0000-1000-000006000000}"/>
            </a:ext>
          </a:extLst>
        </xdr:cNvPr>
        <xdr:cNvPicPr>
          <a:picLocks noChangeAspect="1"/>
        </xdr:cNvPicPr>
      </xdr:nvPicPr>
      <xdr:blipFill>
        <a:blip xmlns:r="http://schemas.openxmlformats.org/officeDocument/2006/relationships" r:embed="rId2"/>
        <a:stretch>
          <a:fillRect/>
        </a:stretch>
      </xdr:blipFill>
      <xdr:spPr>
        <a:xfrm>
          <a:off x="9525" y="14878050"/>
          <a:ext cx="6407876" cy="428519"/>
        </a:xfrm>
        <a:prstGeom prst="rect">
          <a:avLst/>
        </a:prstGeom>
      </xdr:spPr>
    </xdr:pic>
    <xdr:clientData/>
  </xdr:twoCellAnchor>
  <xdr:twoCellAnchor editAs="oneCell">
    <xdr:from>
      <xdr:col>0</xdr:col>
      <xdr:colOff>1323976</xdr:colOff>
      <xdr:row>34</xdr:row>
      <xdr:rowOff>173723</xdr:rowOff>
    </xdr:from>
    <xdr:to>
      <xdr:col>0</xdr:col>
      <xdr:colOff>3000376</xdr:colOff>
      <xdr:row>37</xdr:row>
      <xdr:rowOff>85650</xdr:rowOff>
    </xdr:to>
    <xdr:pic>
      <xdr:nvPicPr>
        <xdr:cNvPr id="2" name="Imagen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3"/>
        <a:stretch>
          <a:fillRect/>
        </a:stretch>
      </xdr:blipFill>
      <xdr:spPr>
        <a:xfrm>
          <a:off x="1323976" y="18080723"/>
          <a:ext cx="1676400" cy="483427"/>
        </a:xfrm>
        <a:prstGeom prst="rect">
          <a:avLst/>
        </a:prstGeom>
      </xdr:spPr>
    </xdr:pic>
    <xdr:clientData/>
  </xdr:twoCellAnchor>
  <xdr:twoCellAnchor editAs="oneCell">
    <xdr:from>
      <xdr:col>0</xdr:col>
      <xdr:colOff>0</xdr:colOff>
      <xdr:row>40</xdr:row>
      <xdr:rowOff>19050</xdr:rowOff>
    </xdr:from>
    <xdr:to>
      <xdr:col>5</xdr:col>
      <xdr:colOff>524682</xdr:colOff>
      <xdr:row>42</xdr:row>
      <xdr:rowOff>104689</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4"/>
        <a:stretch>
          <a:fillRect/>
        </a:stretch>
      </xdr:blipFill>
      <xdr:spPr>
        <a:xfrm>
          <a:off x="0" y="19069050"/>
          <a:ext cx="7249332" cy="466639"/>
        </a:xfrm>
        <a:prstGeom prst="rect">
          <a:avLst/>
        </a:prstGeom>
      </xdr:spPr>
    </xdr:pic>
    <xdr:clientData/>
  </xdr:twoCellAnchor>
  <xdr:twoCellAnchor editAs="oneCell">
    <xdr:from>
      <xdr:col>0</xdr:col>
      <xdr:colOff>47625</xdr:colOff>
      <xdr:row>46</xdr:row>
      <xdr:rowOff>125377</xdr:rowOff>
    </xdr:from>
    <xdr:to>
      <xdr:col>5</xdr:col>
      <xdr:colOff>666750</xdr:colOff>
      <xdr:row>50</xdr:row>
      <xdr:rowOff>95118</xdr:rowOff>
    </xdr:to>
    <xdr:pic>
      <xdr:nvPicPr>
        <xdr:cNvPr id="4" name="Imagen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5"/>
        <a:stretch>
          <a:fillRect/>
        </a:stretch>
      </xdr:blipFill>
      <xdr:spPr>
        <a:xfrm>
          <a:off x="47625" y="20318377"/>
          <a:ext cx="7343775" cy="731741"/>
        </a:xfrm>
        <a:prstGeom prst="rect">
          <a:avLst/>
        </a:prstGeom>
      </xdr:spPr>
    </xdr:pic>
    <xdr:clientData/>
  </xdr:twoCellAnchor>
  <xdr:twoCellAnchor editAs="oneCell">
    <xdr:from>
      <xdr:col>0</xdr:col>
      <xdr:colOff>2076450</xdr:colOff>
      <xdr:row>51</xdr:row>
      <xdr:rowOff>120159</xdr:rowOff>
    </xdr:from>
    <xdr:to>
      <xdr:col>0</xdr:col>
      <xdr:colOff>3200400</xdr:colOff>
      <xdr:row>54</xdr:row>
      <xdr:rowOff>95140</xdr:rowOff>
    </xdr:to>
    <xdr:pic>
      <xdr:nvPicPr>
        <xdr:cNvPr id="7" name="Imagen 6">
          <a:extLst>
            <a:ext uri="{FF2B5EF4-FFF2-40B4-BE49-F238E27FC236}">
              <a16:creationId xmlns:a16="http://schemas.microsoft.com/office/drawing/2014/main" id="{00000000-0008-0000-1000-000007000000}"/>
            </a:ext>
          </a:extLst>
        </xdr:cNvPr>
        <xdr:cNvPicPr>
          <a:picLocks noChangeAspect="1"/>
        </xdr:cNvPicPr>
      </xdr:nvPicPr>
      <xdr:blipFill>
        <a:blip xmlns:r="http://schemas.openxmlformats.org/officeDocument/2006/relationships" r:embed="rId6"/>
        <a:stretch>
          <a:fillRect/>
        </a:stretch>
      </xdr:blipFill>
      <xdr:spPr>
        <a:xfrm>
          <a:off x="2076450" y="21265659"/>
          <a:ext cx="1123950" cy="689356"/>
        </a:xfrm>
        <a:prstGeom prst="rect">
          <a:avLst/>
        </a:prstGeom>
      </xdr:spPr>
    </xdr:pic>
    <xdr:clientData/>
  </xdr:twoCellAnchor>
  <xdr:twoCellAnchor editAs="oneCell">
    <xdr:from>
      <xdr:col>0</xdr:col>
      <xdr:colOff>57150</xdr:colOff>
      <xdr:row>56</xdr:row>
      <xdr:rowOff>81475</xdr:rowOff>
    </xdr:from>
    <xdr:to>
      <xdr:col>5</xdr:col>
      <xdr:colOff>619125</xdr:colOff>
      <xdr:row>62</xdr:row>
      <xdr:rowOff>56949</xdr:rowOff>
    </xdr:to>
    <xdr:pic>
      <xdr:nvPicPr>
        <xdr:cNvPr id="8" name="Imagen 7">
          <a:extLst>
            <a:ext uri="{FF2B5EF4-FFF2-40B4-BE49-F238E27FC236}">
              <a16:creationId xmlns:a16="http://schemas.microsoft.com/office/drawing/2014/main" id="{00000000-0008-0000-1000-000008000000}"/>
            </a:ext>
          </a:extLst>
        </xdr:cNvPr>
        <xdr:cNvPicPr>
          <a:picLocks noChangeAspect="1"/>
        </xdr:cNvPicPr>
      </xdr:nvPicPr>
      <xdr:blipFill>
        <a:blip xmlns:r="http://schemas.openxmlformats.org/officeDocument/2006/relationships" r:embed="rId7"/>
        <a:stretch>
          <a:fillRect/>
        </a:stretch>
      </xdr:blipFill>
      <xdr:spPr>
        <a:xfrm>
          <a:off x="57150" y="22208050"/>
          <a:ext cx="7286625" cy="1118474"/>
        </a:xfrm>
        <a:prstGeom prst="rect">
          <a:avLst/>
        </a:prstGeom>
      </xdr:spPr>
    </xdr:pic>
    <xdr:clientData/>
  </xdr:twoCellAnchor>
  <xdr:twoCellAnchor editAs="oneCell">
    <xdr:from>
      <xdr:col>0</xdr:col>
      <xdr:colOff>2085975</xdr:colOff>
      <xdr:row>63</xdr:row>
      <xdr:rowOff>95250</xdr:rowOff>
    </xdr:from>
    <xdr:to>
      <xdr:col>0</xdr:col>
      <xdr:colOff>3169509</xdr:colOff>
      <xdr:row>65</xdr:row>
      <xdr:rowOff>142812</xdr:rowOff>
    </xdr:to>
    <xdr:pic>
      <xdr:nvPicPr>
        <xdr:cNvPr id="9" name="Imagen 8">
          <a:extLst>
            <a:ext uri="{FF2B5EF4-FFF2-40B4-BE49-F238E27FC236}">
              <a16:creationId xmlns:a16="http://schemas.microsoft.com/office/drawing/2014/main" id="{00000000-0008-0000-1000-000009000000}"/>
            </a:ext>
          </a:extLst>
        </xdr:cNvPr>
        <xdr:cNvPicPr>
          <a:picLocks noChangeAspect="1"/>
        </xdr:cNvPicPr>
      </xdr:nvPicPr>
      <xdr:blipFill>
        <a:blip xmlns:r="http://schemas.openxmlformats.org/officeDocument/2006/relationships" r:embed="rId8"/>
        <a:stretch>
          <a:fillRect/>
        </a:stretch>
      </xdr:blipFill>
      <xdr:spPr>
        <a:xfrm>
          <a:off x="2085975" y="23555325"/>
          <a:ext cx="1083534" cy="428562"/>
        </a:xfrm>
        <a:prstGeom prst="rect">
          <a:avLst/>
        </a:prstGeom>
      </xdr:spPr>
    </xdr:pic>
    <xdr:clientData/>
  </xdr:twoCellAnchor>
  <xdr:twoCellAnchor editAs="oneCell">
    <xdr:from>
      <xdr:col>0</xdr:col>
      <xdr:colOff>0</xdr:colOff>
      <xdr:row>66</xdr:row>
      <xdr:rowOff>57150</xdr:rowOff>
    </xdr:from>
    <xdr:to>
      <xdr:col>5</xdr:col>
      <xdr:colOff>670774</xdr:colOff>
      <xdr:row>75</xdr:row>
      <xdr:rowOff>28274</xdr:rowOff>
    </xdr:to>
    <xdr:pic>
      <xdr:nvPicPr>
        <xdr:cNvPr id="10" name="Imagen 9">
          <a:extLst>
            <a:ext uri="{FF2B5EF4-FFF2-40B4-BE49-F238E27FC236}">
              <a16:creationId xmlns:a16="http://schemas.microsoft.com/office/drawing/2014/main" id="{00000000-0008-0000-1000-00000A000000}"/>
            </a:ext>
          </a:extLst>
        </xdr:cNvPr>
        <xdr:cNvPicPr>
          <a:picLocks noChangeAspect="1"/>
        </xdr:cNvPicPr>
      </xdr:nvPicPr>
      <xdr:blipFill>
        <a:blip xmlns:r="http://schemas.openxmlformats.org/officeDocument/2006/relationships" r:embed="rId9"/>
        <a:stretch>
          <a:fillRect/>
        </a:stretch>
      </xdr:blipFill>
      <xdr:spPr>
        <a:xfrm>
          <a:off x="0" y="12687300"/>
          <a:ext cx="7395424" cy="1685624"/>
        </a:xfrm>
        <a:prstGeom prst="rect">
          <a:avLst/>
        </a:prstGeom>
      </xdr:spPr>
    </xdr:pic>
    <xdr:clientData/>
  </xdr:twoCellAnchor>
  <xdr:twoCellAnchor editAs="oneCell">
    <xdr:from>
      <xdr:col>0</xdr:col>
      <xdr:colOff>1209675</xdr:colOff>
      <xdr:row>76</xdr:row>
      <xdr:rowOff>82211</xdr:rowOff>
    </xdr:from>
    <xdr:to>
      <xdr:col>1</xdr:col>
      <xdr:colOff>628650</xdr:colOff>
      <xdr:row>78</xdr:row>
      <xdr:rowOff>57093</xdr:rowOff>
    </xdr:to>
    <xdr:pic>
      <xdr:nvPicPr>
        <xdr:cNvPr id="11" name="Imagen 10">
          <a:extLst>
            <a:ext uri="{FF2B5EF4-FFF2-40B4-BE49-F238E27FC236}">
              <a16:creationId xmlns:a16="http://schemas.microsoft.com/office/drawing/2014/main" id="{00000000-0008-0000-1000-00000B000000}"/>
            </a:ext>
          </a:extLst>
        </xdr:cNvPr>
        <xdr:cNvPicPr>
          <a:picLocks noChangeAspect="1"/>
        </xdr:cNvPicPr>
      </xdr:nvPicPr>
      <xdr:blipFill>
        <a:blip xmlns:r="http://schemas.openxmlformats.org/officeDocument/2006/relationships" r:embed="rId10"/>
        <a:stretch>
          <a:fillRect/>
        </a:stretch>
      </xdr:blipFill>
      <xdr:spPr>
        <a:xfrm>
          <a:off x="1209675" y="26018786"/>
          <a:ext cx="2676525" cy="355882"/>
        </a:xfrm>
        <a:prstGeom prst="rect">
          <a:avLst/>
        </a:prstGeom>
      </xdr:spPr>
    </xdr:pic>
    <xdr:clientData/>
  </xdr:twoCellAnchor>
  <xdr:twoCellAnchor editAs="oneCell">
    <xdr:from>
      <xdr:col>0</xdr:col>
      <xdr:colOff>38100</xdr:colOff>
      <xdr:row>79</xdr:row>
      <xdr:rowOff>79731</xdr:rowOff>
    </xdr:from>
    <xdr:to>
      <xdr:col>1</xdr:col>
      <xdr:colOff>581025</xdr:colOff>
      <xdr:row>81</xdr:row>
      <xdr:rowOff>28524</xdr:rowOff>
    </xdr:to>
    <xdr:pic>
      <xdr:nvPicPr>
        <xdr:cNvPr id="12" name="Imagen 11">
          <a:extLst>
            <a:ext uri="{FF2B5EF4-FFF2-40B4-BE49-F238E27FC236}">
              <a16:creationId xmlns:a16="http://schemas.microsoft.com/office/drawing/2014/main" id="{00000000-0008-0000-1000-00000C000000}"/>
            </a:ext>
          </a:extLst>
        </xdr:cNvPr>
        <xdr:cNvPicPr>
          <a:picLocks noChangeAspect="1"/>
        </xdr:cNvPicPr>
      </xdr:nvPicPr>
      <xdr:blipFill>
        <a:blip xmlns:r="http://schemas.openxmlformats.org/officeDocument/2006/relationships" r:embed="rId11"/>
        <a:stretch>
          <a:fillRect/>
        </a:stretch>
      </xdr:blipFill>
      <xdr:spPr>
        <a:xfrm>
          <a:off x="38100" y="26587806"/>
          <a:ext cx="3800475" cy="329793"/>
        </a:xfrm>
        <a:prstGeom prst="rect">
          <a:avLst/>
        </a:prstGeom>
      </xdr:spPr>
    </xdr:pic>
    <xdr:clientData/>
  </xdr:twoCellAnchor>
  <xdr:twoCellAnchor editAs="oneCell">
    <xdr:from>
      <xdr:col>0</xdr:col>
      <xdr:colOff>28576</xdr:colOff>
      <xdr:row>82</xdr:row>
      <xdr:rowOff>16622</xdr:rowOff>
    </xdr:from>
    <xdr:to>
      <xdr:col>0</xdr:col>
      <xdr:colOff>2181226</xdr:colOff>
      <xdr:row>83</xdr:row>
      <xdr:rowOff>95204</xdr:rowOff>
    </xdr:to>
    <xdr:pic>
      <xdr:nvPicPr>
        <xdr:cNvPr id="13" name="Imagen 12">
          <a:extLst>
            <a:ext uri="{FF2B5EF4-FFF2-40B4-BE49-F238E27FC236}">
              <a16:creationId xmlns:a16="http://schemas.microsoft.com/office/drawing/2014/main" id="{00000000-0008-0000-1000-00000D000000}"/>
            </a:ext>
          </a:extLst>
        </xdr:cNvPr>
        <xdr:cNvPicPr>
          <a:picLocks noChangeAspect="1"/>
        </xdr:cNvPicPr>
      </xdr:nvPicPr>
      <xdr:blipFill>
        <a:blip xmlns:r="http://schemas.openxmlformats.org/officeDocument/2006/relationships" r:embed="rId12"/>
        <a:stretch>
          <a:fillRect/>
        </a:stretch>
      </xdr:blipFill>
      <xdr:spPr>
        <a:xfrm>
          <a:off x="28576" y="27096197"/>
          <a:ext cx="2152650" cy="269082"/>
        </a:xfrm>
        <a:prstGeom prst="rect">
          <a:avLst/>
        </a:prstGeom>
      </xdr:spPr>
    </xdr:pic>
    <xdr:clientData/>
  </xdr:twoCellAnchor>
  <xdr:twoCellAnchor editAs="oneCell">
    <xdr:from>
      <xdr:col>0</xdr:col>
      <xdr:colOff>28575</xdr:colOff>
      <xdr:row>87</xdr:row>
      <xdr:rowOff>24205</xdr:rowOff>
    </xdr:from>
    <xdr:to>
      <xdr:col>5</xdr:col>
      <xdr:colOff>514350</xdr:colOff>
      <xdr:row>95</xdr:row>
      <xdr:rowOff>123529</xdr:rowOff>
    </xdr:to>
    <xdr:pic>
      <xdr:nvPicPr>
        <xdr:cNvPr id="14" name="Imagen 13">
          <a:extLst>
            <a:ext uri="{FF2B5EF4-FFF2-40B4-BE49-F238E27FC236}">
              <a16:creationId xmlns:a16="http://schemas.microsoft.com/office/drawing/2014/main" id="{00000000-0008-0000-1000-00000E000000}"/>
            </a:ext>
          </a:extLst>
        </xdr:cNvPr>
        <xdr:cNvPicPr>
          <a:picLocks noChangeAspect="1"/>
        </xdr:cNvPicPr>
      </xdr:nvPicPr>
      <xdr:blipFill>
        <a:blip xmlns:r="http://schemas.openxmlformats.org/officeDocument/2006/relationships" r:embed="rId13"/>
        <a:stretch>
          <a:fillRect/>
        </a:stretch>
      </xdr:blipFill>
      <xdr:spPr>
        <a:xfrm>
          <a:off x="28575" y="16121455"/>
          <a:ext cx="7210425" cy="1623324"/>
        </a:xfrm>
        <a:prstGeom prst="rect">
          <a:avLst/>
        </a:prstGeom>
      </xdr:spPr>
    </xdr:pic>
    <xdr:clientData/>
  </xdr:twoCellAnchor>
  <xdr:twoCellAnchor editAs="oneCell">
    <xdr:from>
      <xdr:col>0</xdr:col>
      <xdr:colOff>1771650</xdr:colOff>
      <xdr:row>96</xdr:row>
      <xdr:rowOff>38590</xdr:rowOff>
    </xdr:from>
    <xdr:to>
      <xdr:col>0</xdr:col>
      <xdr:colOff>3143250</xdr:colOff>
      <xdr:row>98</xdr:row>
      <xdr:rowOff>9467</xdr:rowOff>
    </xdr:to>
    <xdr:pic>
      <xdr:nvPicPr>
        <xdr:cNvPr id="15" name="Imagen 14">
          <a:extLst>
            <a:ext uri="{FF2B5EF4-FFF2-40B4-BE49-F238E27FC236}">
              <a16:creationId xmlns:a16="http://schemas.microsoft.com/office/drawing/2014/main" id="{00000000-0008-0000-1000-00000F000000}"/>
            </a:ext>
          </a:extLst>
        </xdr:cNvPr>
        <xdr:cNvPicPr>
          <a:picLocks noChangeAspect="1"/>
        </xdr:cNvPicPr>
      </xdr:nvPicPr>
      <xdr:blipFill>
        <a:blip xmlns:r="http://schemas.openxmlformats.org/officeDocument/2006/relationships" r:embed="rId14"/>
        <a:stretch>
          <a:fillRect/>
        </a:stretch>
      </xdr:blipFill>
      <xdr:spPr>
        <a:xfrm>
          <a:off x="1771650" y="17850340"/>
          <a:ext cx="1371600" cy="351877"/>
        </a:xfrm>
        <a:prstGeom prst="rect">
          <a:avLst/>
        </a:prstGeom>
      </xdr:spPr>
    </xdr:pic>
    <xdr:clientData/>
  </xdr:twoCellAnchor>
  <xdr:twoCellAnchor editAs="oneCell">
    <xdr:from>
      <xdr:col>0</xdr:col>
      <xdr:colOff>0</xdr:colOff>
      <xdr:row>101</xdr:row>
      <xdr:rowOff>10888</xdr:rowOff>
    </xdr:from>
    <xdr:to>
      <xdr:col>3</xdr:col>
      <xdr:colOff>323850</xdr:colOff>
      <xdr:row>102</xdr:row>
      <xdr:rowOff>95204</xdr:rowOff>
    </xdr:to>
    <xdr:pic>
      <xdr:nvPicPr>
        <xdr:cNvPr id="16" name="Imagen 15">
          <a:extLst>
            <a:ext uri="{FF2B5EF4-FFF2-40B4-BE49-F238E27FC236}">
              <a16:creationId xmlns:a16="http://schemas.microsoft.com/office/drawing/2014/main" id="{00000000-0008-0000-1000-000010000000}"/>
            </a:ext>
          </a:extLst>
        </xdr:cNvPr>
        <xdr:cNvPicPr>
          <a:picLocks noChangeAspect="1"/>
        </xdr:cNvPicPr>
      </xdr:nvPicPr>
      <xdr:blipFill>
        <a:blip xmlns:r="http://schemas.openxmlformats.org/officeDocument/2006/relationships" r:embed="rId15"/>
        <a:stretch>
          <a:fillRect/>
        </a:stretch>
      </xdr:blipFill>
      <xdr:spPr>
        <a:xfrm>
          <a:off x="0" y="18813238"/>
          <a:ext cx="5524500" cy="274816"/>
        </a:xfrm>
        <a:prstGeom prst="rect">
          <a:avLst/>
        </a:prstGeom>
      </xdr:spPr>
    </xdr:pic>
    <xdr:clientData/>
  </xdr:twoCellAnchor>
  <xdr:twoCellAnchor editAs="oneCell">
    <xdr:from>
      <xdr:col>0</xdr:col>
      <xdr:colOff>0</xdr:colOff>
      <xdr:row>106</xdr:row>
      <xdr:rowOff>150</xdr:rowOff>
    </xdr:from>
    <xdr:to>
      <xdr:col>5</xdr:col>
      <xdr:colOff>466725</xdr:colOff>
      <xdr:row>108</xdr:row>
      <xdr:rowOff>114209</xdr:rowOff>
    </xdr:to>
    <xdr:pic>
      <xdr:nvPicPr>
        <xdr:cNvPr id="17" name="Imagen 16">
          <a:extLst>
            <a:ext uri="{FF2B5EF4-FFF2-40B4-BE49-F238E27FC236}">
              <a16:creationId xmlns:a16="http://schemas.microsoft.com/office/drawing/2014/main" id="{00000000-0008-0000-1000-000011000000}"/>
            </a:ext>
          </a:extLst>
        </xdr:cNvPr>
        <xdr:cNvPicPr>
          <a:picLocks noChangeAspect="1"/>
        </xdr:cNvPicPr>
      </xdr:nvPicPr>
      <xdr:blipFill>
        <a:blip xmlns:r="http://schemas.openxmlformats.org/officeDocument/2006/relationships" r:embed="rId16"/>
        <a:stretch>
          <a:fillRect/>
        </a:stretch>
      </xdr:blipFill>
      <xdr:spPr>
        <a:xfrm>
          <a:off x="0" y="19793100"/>
          <a:ext cx="7191375" cy="495059"/>
        </a:xfrm>
        <a:prstGeom prst="rect">
          <a:avLst/>
        </a:prstGeom>
      </xdr:spPr>
    </xdr:pic>
    <xdr:clientData/>
  </xdr:twoCellAnchor>
  <xdr:twoCellAnchor editAs="oneCell">
    <xdr:from>
      <xdr:col>0</xdr:col>
      <xdr:colOff>1057275</xdr:colOff>
      <xdr:row>109</xdr:row>
      <xdr:rowOff>104775</xdr:rowOff>
    </xdr:from>
    <xdr:to>
      <xdr:col>1</xdr:col>
      <xdr:colOff>218773</xdr:colOff>
      <xdr:row>111</xdr:row>
      <xdr:rowOff>142823</xdr:rowOff>
    </xdr:to>
    <xdr:pic>
      <xdr:nvPicPr>
        <xdr:cNvPr id="18" name="Imagen 17">
          <a:extLst>
            <a:ext uri="{FF2B5EF4-FFF2-40B4-BE49-F238E27FC236}">
              <a16:creationId xmlns:a16="http://schemas.microsoft.com/office/drawing/2014/main" id="{00000000-0008-0000-1000-000012000000}"/>
            </a:ext>
          </a:extLst>
        </xdr:cNvPr>
        <xdr:cNvPicPr>
          <a:picLocks noChangeAspect="1"/>
        </xdr:cNvPicPr>
      </xdr:nvPicPr>
      <xdr:blipFill>
        <a:blip xmlns:r="http://schemas.openxmlformats.org/officeDocument/2006/relationships" r:embed="rId17"/>
        <a:stretch>
          <a:fillRect/>
        </a:stretch>
      </xdr:blipFill>
      <xdr:spPr>
        <a:xfrm>
          <a:off x="1057275" y="20469225"/>
          <a:ext cx="2419048" cy="419048"/>
        </a:xfrm>
        <a:prstGeom prst="rect">
          <a:avLst/>
        </a:prstGeom>
      </xdr:spPr>
    </xdr:pic>
    <xdr:clientData/>
  </xdr:twoCellAnchor>
  <xdr:twoCellAnchor editAs="oneCell">
    <xdr:from>
      <xdr:col>0</xdr:col>
      <xdr:colOff>0</xdr:colOff>
      <xdr:row>112</xdr:row>
      <xdr:rowOff>154297</xdr:rowOff>
    </xdr:from>
    <xdr:to>
      <xdr:col>4</xdr:col>
      <xdr:colOff>476250</xdr:colOff>
      <xdr:row>114</xdr:row>
      <xdr:rowOff>66625</xdr:rowOff>
    </xdr:to>
    <xdr:pic>
      <xdr:nvPicPr>
        <xdr:cNvPr id="19" name="Imagen 18">
          <a:extLst>
            <a:ext uri="{FF2B5EF4-FFF2-40B4-BE49-F238E27FC236}">
              <a16:creationId xmlns:a16="http://schemas.microsoft.com/office/drawing/2014/main" id="{00000000-0008-0000-1000-000013000000}"/>
            </a:ext>
          </a:extLst>
        </xdr:cNvPr>
        <xdr:cNvPicPr>
          <a:picLocks noChangeAspect="1"/>
        </xdr:cNvPicPr>
      </xdr:nvPicPr>
      <xdr:blipFill>
        <a:blip xmlns:r="http://schemas.openxmlformats.org/officeDocument/2006/relationships" r:embed="rId18"/>
        <a:stretch>
          <a:fillRect/>
        </a:stretch>
      </xdr:blipFill>
      <xdr:spPr>
        <a:xfrm>
          <a:off x="0" y="21090247"/>
          <a:ext cx="6438900" cy="293328"/>
        </a:xfrm>
        <a:prstGeom prst="rect">
          <a:avLst/>
        </a:prstGeom>
      </xdr:spPr>
    </xdr:pic>
    <xdr:clientData/>
  </xdr:twoCellAnchor>
  <xdr:twoCellAnchor editAs="oneCell">
    <xdr:from>
      <xdr:col>0</xdr:col>
      <xdr:colOff>19050</xdr:colOff>
      <xdr:row>118</xdr:row>
      <xdr:rowOff>0</xdr:rowOff>
    </xdr:from>
    <xdr:to>
      <xdr:col>5</xdr:col>
      <xdr:colOff>614868</xdr:colOff>
      <xdr:row>124</xdr:row>
      <xdr:rowOff>75980</xdr:rowOff>
    </xdr:to>
    <xdr:pic>
      <xdr:nvPicPr>
        <xdr:cNvPr id="20" name="Imagen 19">
          <a:extLst>
            <a:ext uri="{FF2B5EF4-FFF2-40B4-BE49-F238E27FC236}">
              <a16:creationId xmlns:a16="http://schemas.microsoft.com/office/drawing/2014/main" id="{00000000-0008-0000-1000-000014000000}"/>
            </a:ext>
          </a:extLst>
        </xdr:cNvPr>
        <xdr:cNvPicPr>
          <a:picLocks noChangeAspect="1"/>
        </xdr:cNvPicPr>
      </xdr:nvPicPr>
      <xdr:blipFill>
        <a:blip xmlns:r="http://schemas.openxmlformats.org/officeDocument/2006/relationships" r:embed="rId19"/>
        <a:stretch>
          <a:fillRect/>
        </a:stretch>
      </xdr:blipFill>
      <xdr:spPr>
        <a:xfrm>
          <a:off x="19050" y="22726650"/>
          <a:ext cx="7320468" cy="1218980"/>
        </a:xfrm>
        <a:prstGeom prst="rect">
          <a:avLst/>
        </a:prstGeom>
      </xdr:spPr>
    </xdr:pic>
    <xdr:clientData/>
  </xdr:twoCellAnchor>
  <xdr:twoCellAnchor editAs="oneCell">
    <xdr:from>
      <xdr:col>0</xdr:col>
      <xdr:colOff>3038475</xdr:colOff>
      <xdr:row>125</xdr:row>
      <xdr:rowOff>107685</xdr:rowOff>
    </xdr:from>
    <xdr:to>
      <xdr:col>1</xdr:col>
      <xdr:colOff>1038225</xdr:colOff>
      <xdr:row>129</xdr:row>
      <xdr:rowOff>37996</xdr:rowOff>
    </xdr:to>
    <xdr:pic>
      <xdr:nvPicPr>
        <xdr:cNvPr id="21" name="Imagen 20">
          <a:extLst>
            <a:ext uri="{FF2B5EF4-FFF2-40B4-BE49-F238E27FC236}">
              <a16:creationId xmlns:a16="http://schemas.microsoft.com/office/drawing/2014/main" id="{00000000-0008-0000-1000-000015000000}"/>
            </a:ext>
          </a:extLst>
        </xdr:cNvPr>
        <xdr:cNvPicPr>
          <a:picLocks noChangeAspect="1"/>
        </xdr:cNvPicPr>
      </xdr:nvPicPr>
      <xdr:blipFill>
        <a:blip xmlns:r="http://schemas.openxmlformats.org/officeDocument/2006/relationships" r:embed="rId20"/>
        <a:stretch>
          <a:fillRect/>
        </a:stretch>
      </xdr:blipFill>
      <xdr:spPr>
        <a:xfrm>
          <a:off x="3038475" y="24548835"/>
          <a:ext cx="1257300" cy="692311"/>
        </a:xfrm>
        <a:prstGeom prst="rect">
          <a:avLst/>
        </a:prstGeom>
      </xdr:spPr>
    </xdr:pic>
    <xdr:clientData/>
  </xdr:twoCellAnchor>
  <xdr:twoCellAnchor editAs="oneCell">
    <xdr:from>
      <xdr:col>0</xdr:col>
      <xdr:colOff>104775</xdr:colOff>
      <xdr:row>129</xdr:row>
      <xdr:rowOff>178681</xdr:rowOff>
    </xdr:from>
    <xdr:to>
      <xdr:col>0</xdr:col>
      <xdr:colOff>3162300</xdr:colOff>
      <xdr:row>131</xdr:row>
      <xdr:rowOff>66630</xdr:rowOff>
    </xdr:to>
    <xdr:pic>
      <xdr:nvPicPr>
        <xdr:cNvPr id="23" name="Imagen 22">
          <a:extLst>
            <a:ext uri="{FF2B5EF4-FFF2-40B4-BE49-F238E27FC236}">
              <a16:creationId xmlns:a16="http://schemas.microsoft.com/office/drawing/2014/main" id="{00000000-0008-0000-1000-000017000000}"/>
            </a:ext>
          </a:extLst>
        </xdr:cNvPr>
        <xdr:cNvPicPr>
          <a:picLocks noChangeAspect="1"/>
        </xdr:cNvPicPr>
      </xdr:nvPicPr>
      <xdr:blipFill>
        <a:blip xmlns:r="http://schemas.openxmlformats.org/officeDocument/2006/relationships" r:embed="rId21"/>
        <a:stretch>
          <a:fillRect/>
        </a:stretch>
      </xdr:blipFill>
      <xdr:spPr>
        <a:xfrm>
          <a:off x="104775" y="25381831"/>
          <a:ext cx="3057525" cy="268949"/>
        </a:xfrm>
        <a:prstGeom prst="rect">
          <a:avLst/>
        </a:prstGeom>
      </xdr:spPr>
    </xdr:pic>
    <xdr:clientData/>
  </xdr:twoCellAnchor>
  <xdr:twoCellAnchor editAs="oneCell">
    <xdr:from>
      <xdr:col>0</xdr:col>
      <xdr:colOff>19050</xdr:colOff>
      <xdr:row>132</xdr:row>
      <xdr:rowOff>18437</xdr:rowOff>
    </xdr:from>
    <xdr:to>
      <xdr:col>1</xdr:col>
      <xdr:colOff>152400</xdr:colOff>
      <xdr:row>133</xdr:row>
      <xdr:rowOff>66634</xdr:rowOff>
    </xdr:to>
    <xdr:pic>
      <xdr:nvPicPr>
        <xdr:cNvPr id="24" name="Imagen 23">
          <a:extLst>
            <a:ext uri="{FF2B5EF4-FFF2-40B4-BE49-F238E27FC236}">
              <a16:creationId xmlns:a16="http://schemas.microsoft.com/office/drawing/2014/main" id="{00000000-0008-0000-1000-000018000000}"/>
            </a:ext>
          </a:extLst>
        </xdr:cNvPr>
        <xdr:cNvPicPr>
          <a:picLocks noChangeAspect="1"/>
        </xdr:cNvPicPr>
      </xdr:nvPicPr>
      <xdr:blipFill>
        <a:blip xmlns:r="http://schemas.openxmlformats.org/officeDocument/2006/relationships" r:embed="rId22"/>
        <a:stretch>
          <a:fillRect/>
        </a:stretch>
      </xdr:blipFill>
      <xdr:spPr>
        <a:xfrm>
          <a:off x="19050" y="25793087"/>
          <a:ext cx="3390900" cy="238697"/>
        </a:xfrm>
        <a:prstGeom prst="rect">
          <a:avLst/>
        </a:prstGeom>
      </xdr:spPr>
    </xdr:pic>
    <xdr:clientData/>
  </xdr:twoCellAnchor>
  <xdr:twoCellAnchor editAs="oneCell">
    <xdr:from>
      <xdr:col>0</xdr:col>
      <xdr:colOff>0</xdr:colOff>
      <xdr:row>135</xdr:row>
      <xdr:rowOff>95250</xdr:rowOff>
    </xdr:from>
    <xdr:to>
      <xdr:col>1</xdr:col>
      <xdr:colOff>1162050</xdr:colOff>
      <xdr:row>141</xdr:row>
      <xdr:rowOff>108433</xdr:rowOff>
    </xdr:to>
    <xdr:pic>
      <xdr:nvPicPr>
        <xdr:cNvPr id="25" name="Imagen 24">
          <a:extLst>
            <a:ext uri="{FF2B5EF4-FFF2-40B4-BE49-F238E27FC236}">
              <a16:creationId xmlns:a16="http://schemas.microsoft.com/office/drawing/2014/main" id="{00000000-0008-0000-1000-000019000000}"/>
            </a:ext>
          </a:extLst>
        </xdr:cNvPr>
        <xdr:cNvPicPr>
          <a:picLocks noChangeAspect="1"/>
        </xdr:cNvPicPr>
      </xdr:nvPicPr>
      <xdr:blipFill>
        <a:blip xmlns:r="http://schemas.openxmlformats.org/officeDocument/2006/relationships" r:embed="rId23"/>
        <a:stretch>
          <a:fillRect/>
        </a:stretch>
      </xdr:blipFill>
      <xdr:spPr>
        <a:xfrm>
          <a:off x="0" y="26584275"/>
          <a:ext cx="4419600" cy="115618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2"/>
  <sheetViews>
    <sheetView topLeftCell="A2" workbookViewId="0">
      <selection activeCell="G42" sqref="G42"/>
    </sheetView>
  </sheetViews>
  <sheetFormatPr baseColWidth="10" defaultRowHeight="15" x14ac:dyDescent="0.25"/>
  <cols>
    <col min="6" max="6" width="12.28515625" bestFit="1" customWidth="1"/>
  </cols>
  <sheetData>
    <row r="1" spans="1:12" x14ac:dyDescent="0.25">
      <c r="A1" s="149" t="s">
        <v>96</v>
      </c>
      <c r="B1" s="150"/>
      <c r="C1" s="150"/>
      <c r="D1" s="151"/>
    </row>
    <row r="2" spans="1:12" ht="15.75" thickBot="1" x14ac:dyDescent="0.3">
      <c r="A2" s="152"/>
      <c r="B2" s="153"/>
      <c r="C2" s="153"/>
      <c r="D2" s="154"/>
    </row>
    <row r="3" spans="1:12" ht="15.75" thickBot="1" x14ac:dyDescent="0.3"/>
    <row r="4" spans="1:12" ht="15.75" thickBot="1" x14ac:dyDescent="0.3">
      <c r="F4" s="155" t="s">
        <v>97</v>
      </c>
      <c r="G4" s="156"/>
      <c r="H4" s="157"/>
      <c r="J4" s="155" t="s">
        <v>98</v>
      </c>
      <c r="K4" s="156"/>
      <c r="L4" s="157"/>
    </row>
    <row r="6" spans="1:12" x14ac:dyDescent="0.25">
      <c r="H6" s="13" t="s">
        <v>58</v>
      </c>
      <c r="L6" s="13" t="s">
        <v>58</v>
      </c>
    </row>
    <row r="7" spans="1:12" x14ac:dyDescent="0.25">
      <c r="F7" s="158" t="s">
        <v>99</v>
      </c>
      <c r="G7" s="158"/>
      <c r="H7" s="13">
        <v>556</v>
      </c>
      <c r="J7" s="158" t="s">
        <v>104</v>
      </c>
      <c r="K7" s="158"/>
      <c r="L7" s="13">
        <v>514</v>
      </c>
    </row>
    <row r="8" spans="1:12" x14ac:dyDescent="0.25">
      <c r="F8" s="158" t="s">
        <v>100</v>
      </c>
      <c r="G8" s="158"/>
      <c r="H8" s="13"/>
      <c r="J8" s="158" t="s">
        <v>100</v>
      </c>
      <c r="K8" s="158"/>
      <c r="L8" s="13"/>
    </row>
    <row r="9" spans="1:12" x14ac:dyDescent="0.25">
      <c r="F9" s="158" t="s">
        <v>101</v>
      </c>
      <c r="G9" s="158"/>
      <c r="H9" s="13"/>
      <c r="J9" s="158" t="s">
        <v>101</v>
      </c>
      <c r="K9" s="158"/>
      <c r="L9" s="13"/>
    </row>
    <row r="10" spans="1:12" x14ac:dyDescent="0.25">
      <c r="F10" s="158" t="s">
        <v>102</v>
      </c>
      <c r="G10" s="158"/>
      <c r="H10" s="13">
        <f>(2/3)*D27</f>
        <v>100</v>
      </c>
      <c r="J10" s="158" t="s">
        <v>102</v>
      </c>
      <c r="K10" s="158"/>
      <c r="L10" s="13">
        <f>D28+D27/3</f>
        <v>200</v>
      </c>
    </row>
    <row r="11" spans="1:12" x14ac:dyDescent="0.25">
      <c r="F11" s="158"/>
      <c r="G11" s="158"/>
      <c r="H11" s="13"/>
      <c r="J11" s="158" t="s">
        <v>116</v>
      </c>
      <c r="K11" s="158"/>
      <c r="L11" s="13">
        <f>D31-D23-(D25+D26-1)*75</f>
        <v>50</v>
      </c>
    </row>
    <row r="12" spans="1:12" x14ac:dyDescent="0.25">
      <c r="F12" s="158" t="s">
        <v>107</v>
      </c>
      <c r="G12" s="158"/>
      <c r="H12" s="13">
        <f>H7-H8+H9+H10</f>
        <v>656</v>
      </c>
      <c r="J12" s="158" t="s">
        <v>117</v>
      </c>
      <c r="K12" s="158"/>
      <c r="L12" s="13"/>
    </row>
    <row r="13" spans="1:12" x14ac:dyDescent="0.25">
      <c r="F13" s="158"/>
      <c r="G13" s="158"/>
      <c r="H13" s="13"/>
      <c r="J13" s="158"/>
      <c r="K13" s="158"/>
      <c r="L13" s="13"/>
    </row>
    <row r="14" spans="1:12" x14ac:dyDescent="0.25">
      <c r="F14" s="158" t="s">
        <v>103</v>
      </c>
      <c r="G14" s="158"/>
      <c r="H14" s="13">
        <f>D29</f>
        <v>680</v>
      </c>
      <c r="J14" s="158" t="s">
        <v>107</v>
      </c>
      <c r="K14" s="158"/>
      <c r="L14" s="13">
        <f>L7-L8+L9+L10+L11+L12</f>
        <v>764</v>
      </c>
    </row>
    <row r="15" spans="1:12" x14ac:dyDescent="0.25">
      <c r="F15" s="158"/>
      <c r="G15" s="158"/>
      <c r="H15" s="13"/>
      <c r="J15" s="158"/>
      <c r="K15" s="158"/>
      <c r="L15" s="13"/>
    </row>
    <row r="16" spans="1:12" x14ac:dyDescent="0.25">
      <c r="F16" s="158" t="s">
        <v>106</v>
      </c>
      <c r="G16" s="158"/>
      <c r="H16" s="13">
        <f>H12</f>
        <v>656</v>
      </c>
      <c r="J16" s="158" t="s">
        <v>105</v>
      </c>
      <c r="K16" s="158"/>
      <c r="L16" s="13">
        <f>D30</f>
        <v>790</v>
      </c>
    </row>
    <row r="17" spans="1:12" x14ac:dyDescent="0.25">
      <c r="F17" s="160"/>
      <c r="G17" s="160"/>
      <c r="J17" s="158"/>
      <c r="K17" s="158"/>
      <c r="L17" s="13"/>
    </row>
    <row r="18" spans="1:12" ht="15.75" thickBot="1" x14ac:dyDescent="0.3">
      <c r="J18" s="158" t="s">
        <v>106</v>
      </c>
      <c r="K18" s="158"/>
      <c r="L18" s="13">
        <f>L14</f>
        <v>764</v>
      </c>
    </row>
    <row r="19" spans="1:12" ht="15.75" thickBot="1" x14ac:dyDescent="0.3">
      <c r="A19" s="161" t="s">
        <v>108</v>
      </c>
      <c r="B19" s="162"/>
      <c r="C19" s="162"/>
      <c r="D19" s="163"/>
    </row>
    <row r="21" spans="1:12" x14ac:dyDescent="0.25">
      <c r="A21" s="160"/>
      <c r="B21" s="160"/>
      <c r="C21" s="160"/>
      <c r="D21" s="3" t="s">
        <v>58</v>
      </c>
    </row>
    <row r="22" spans="1:12" x14ac:dyDescent="0.25">
      <c r="A22" s="159" t="s">
        <v>109</v>
      </c>
      <c r="B22" s="159"/>
      <c r="C22" s="159"/>
      <c r="D22" s="3">
        <v>1070</v>
      </c>
    </row>
    <row r="23" spans="1:12" x14ac:dyDescent="0.25">
      <c r="A23" s="159" t="s">
        <v>110</v>
      </c>
      <c r="B23" s="159"/>
      <c r="C23" s="159"/>
      <c r="D23" s="3">
        <f>D22+75</f>
        <v>1145</v>
      </c>
    </row>
    <row r="24" spans="1:12" x14ac:dyDescent="0.25">
      <c r="A24" s="159" t="s">
        <v>111</v>
      </c>
      <c r="B24" s="159"/>
      <c r="C24" s="159"/>
      <c r="D24" s="3">
        <v>75</v>
      </c>
    </row>
    <row r="25" spans="1:12" x14ac:dyDescent="0.25">
      <c r="A25" s="159" t="s">
        <v>112</v>
      </c>
      <c r="B25" s="159"/>
      <c r="C25" s="159"/>
      <c r="D25" s="3">
        <v>2</v>
      </c>
    </row>
    <row r="26" spans="1:12" x14ac:dyDescent="0.25">
      <c r="A26" s="159" t="s">
        <v>113</v>
      </c>
      <c r="B26" s="159"/>
      <c r="C26" s="159"/>
      <c r="D26" s="3">
        <v>2</v>
      </c>
    </row>
    <row r="27" spans="1:12" x14ac:dyDescent="0.25">
      <c r="A27" s="159" t="s">
        <v>114</v>
      </c>
      <c r="B27" s="159"/>
      <c r="C27" s="159"/>
      <c r="D27" s="3">
        <f>D25*75</f>
        <v>150</v>
      </c>
    </row>
    <row r="28" spans="1:12" x14ac:dyDescent="0.25">
      <c r="A28" s="159" t="s">
        <v>115</v>
      </c>
      <c r="B28" s="159"/>
      <c r="C28" s="159"/>
      <c r="D28" s="3">
        <f>D26*75</f>
        <v>150</v>
      </c>
    </row>
    <row r="29" spans="1:12" x14ac:dyDescent="0.25">
      <c r="A29" s="159" t="s">
        <v>103</v>
      </c>
      <c r="B29" s="159"/>
      <c r="C29" s="159"/>
      <c r="D29" s="3">
        <v>680</v>
      </c>
    </row>
    <row r="30" spans="1:12" x14ac:dyDescent="0.25">
      <c r="A30" s="159" t="s">
        <v>105</v>
      </c>
      <c r="B30" s="159"/>
      <c r="C30" s="159"/>
      <c r="D30" s="3">
        <v>790</v>
      </c>
    </row>
    <row r="31" spans="1:12" x14ac:dyDescent="0.25">
      <c r="A31" s="159" t="s">
        <v>118</v>
      </c>
      <c r="B31" s="159"/>
      <c r="C31" s="159"/>
      <c r="D31" s="3">
        <v>1420</v>
      </c>
    </row>
    <row r="32" spans="1:12" x14ac:dyDescent="0.25">
      <c r="A32" s="160"/>
      <c r="B32" s="160"/>
      <c r="C32" s="160"/>
    </row>
  </sheetData>
  <mergeCells count="39">
    <mergeCell ref="A31:C31"/>
    <mergeCell ref="A32:C32"/>
    <mergeCell ref="J11:K11"/>
    <mergeCell ref="J12:K12"/>
    <mergeCell ref="A21:C21"/>
    <mergeCell ref="A26:C26"/>
    <mergeCell ref="A27:C27"/>
    <mergeCell ref="A28:C28"/>
    <mergeCell ref="A29:C29"/>
    <mergeCell ref="A30:C30"/>
    <mergeCell ref="A19:D19"/>
    <mergeCell ref="A22:C22"/>
    <mergeCell ref="A23:C23"/>
    <mergeCell ref="A24:C24"/>
    <mergeCell ref="A25:C25"/>
    <mergeCell ref="F17:G17"/>
    <mergeCell ref="F9:G9"/>
    <mergeCell ref="F10:G10"/>
    <mergeCell ref="F11:G11"/>
    <mergeCell ref="J18:K18"/>
    <mergeCell ref="F14:G14"/>
    <mergeCell ref="F13:G13"/>
    <mergeCell ref="F15:G15"/>
    <mergeCell ref="F16:G16"/>
    <mergeCell ref="J16:K16"/>
    <mergeCell ref="F12:G12"/>
    <mergeCell ref="J14:K14"/>
    <mergeCell ref="J15:K15"/>
    <mergeCell ref="J17:K17"/>
    <mergeCell ref="J9:K9"/>
    <mergeCell ref="J10:K10"/>
    <mergeCell ref="J13:K13"/>
    <mergeCell ref="A1:D2"/>
    <mergeCell ref="F4:H4"/>
    <mergeCell ref="J4:L4"/>
    <mergeCell ref="F7:G7"/>
    <mergeCell ref="F8:G8"/>
    <mergeCell ref="J7:K7"/>
    <mergeCell ref="J8:K8"/>
  </mergeCells>
  <conditionalFormatting sqref="H16">
    <cfRule type="cellIs" dxfId="138" priority="5" operator="equal">
      <formula>$H$14</formula>
    </cfRule>
    <cfRule type="cellIs" dxfId="137" priority="6" operator="greaterThan">
      <formula>$H$14</formula>
    </cfRule>
    <cfRule type="cellIs" dxfId="136" priority="7" operator="lessThan">
      <formula>$H$14</formula>
    </cfRule>
  </conditionalFormatting>
  <conditionalFormatting sqref="L18">
    <cfRule type="cellIs" dxfId="135" priority="1" operator="lessThan">
      <formula>$L$16</formula>
    </cfRule>
    <cfRule type="cellIs" dxfId="134" priority="2" operator="equal">
      <formula>$H$14</formula>
    </cfRule>
    <cfRule type="cellIs" dxfId="133" priority="3" operator="greaterThan">
      <formula>$H$14</formula>
    </cfRule>
    <cfRule type="cellIs" dxfId="132" priority="4" operator="lessThan">
      <formula>$H$14</formula>
    </cfRule>
  </conditionalFormatting>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36"/>
  <sheetViews>
    <sheetView workbookViewId="0">
      <selection activeCell="L10" sqref="L10"/>
    </sheetView>
  </sheetViews>
  <sheetFormatPr baseColWidth="10" defaultRowHeight="18" x14ac:dyDescent="0.25"/>
  <cols>
    <col min="1" max="1" width="13" style="59" bestFit="1" customWidth="1"/>
    <col min="2" max="2" width="14.42578125" style="57" customWidth="1"/>
    <col min="3" max="3" width="18.28515625" customWidth="1"/>
    <col min="4" max="4" width="12.28515625" bestFit="1" customWidth="1"/>
    <col min="5" max="5" width="12.5703125" customWidth="1"/>
    <col min="257" max="257" width="13" bestFit="1" customWidth="1"/>
    <col min="258" max="258" width="11.5703125" bestFit="1" customWidth="1"/>
    <col min="259" max="259" width="14.85546875" bestFit="1" customWidth="1"/>
    <col min="260" max="260" width="12.28515625" bestFit="1" customWidth="1"/>
    <col min="261" max="261" width="12.5703125" customWidth="1"/>
    <col min="513" max="513" width="13" bestFit="1" customWidth="1"/>
    <col min="514" max="514" width="11.5703125" bestFit="1" customWidth="1"/>
    <col min="515" max="515" width="14.85546875" bestFit="1" customWidth="1"/>
    <col min="516" max="516" width="12.28515625" bestFit="1" customWidth="1"/>
    <col min="517" max="517" width="12.5703125" customWidth="1"/>
    <col min="769" max="769" width="13" bestFit="1" customWidth="1"/>
    <col min="770" max="770" width="11.5703125" bestFit="1" customWidth="1"/>
    <col min="771" max="771" width="14.85546875" bestFit="1" customWidth="1"/>
    <col min="772" max="772" width="12.28515625" bestFit="1" customWidth="1"/>
    <col min="773" max="773" width="12.5703125" customWidth="1"/>
    <col min="1025" max="1025" width="13" bestFit="1" customWidth="1"/>
    <col min="1026" max="1026" width="11.5703125" bestFit="1" customWidth="1"/>
    <col min="1027" max="1027" width="14.85546875" bestFit="1" customWidth="1"/>
    <col min="1028" max="1028" width="12.28515625" bestFit="1" customWidth="1"/>
    <col min="1029" max="1029" width="12.5703125" customWidth="1"/>
    <col min="1281" max="1281" width="13" bestFit="1" customWidth="1"/>
    <col min="1282" max="1282" width="11.5703125" bestFit="1" customWidth="1"/>
    <col min="1283" max="1283" width="14.85546875" bestFit="1" customWidth="1"/>
    <col min="1284" max="1284" width="12.28515625" bestFit="1" customWidth="1"/>
    <col min="1285" max="1285" width="12.5703125" customWidth="1"/>
    <col min="1537" max="1537" width="13" bestFit="1" customWidth="1"/>
    <col min="1538" max="1538" width="11.5703125" bestFit="1" customWidth="1"/>
    <col min="1539" max="1539" width="14.85546875" bestFit="1" customWidth="1"/>
    <col min="1540" max="1540" width="12.28515625" bestFit="1" customWidth="1"/>
    <col min="1541" max="1541" width="12.5703125" customWidth="1"/>
    <col min="1793" max="1793" width="13" bestFit="1" customWidth="1"/>
    <col min="1794" max="1794" width="11.5703125" bestFit="1" customWidth="1"/>
    <col min="1795" max="1795" width="14.85546875" bestFit="1" customWidth="1"/>
    <col min="1796" max="1796" width="12.28515625" bestFit="1" customWidth="1"/>
    <col min="1797" max="1797" width="12.5703125" customWidth="1"/>
    <col min="2049" max="2049" width="13" bestFit="1" customWidth="1"/>
    <col min="2050" max="2050" width="11.5703125" bestFit="1" customWidth="1"/>
    <col min="2051" max="2051" width="14.85546875" bestFit="1" customWidth="1"/>
    <col min="2052" max="2052" width="12.28515625" bestFit="1" customWidth="1"/>
    <col min="2053" max="2053" width="12.5703125" customWidth="1"/>
    <col min="2305" max="2305" width="13" bestFit="1" customWidth="1"/>
    <col min="2306" max="2306" width="11.5703125" bestFit="1" customWidth="1"/>
    <col min="2307" max="2307" width="14.85546875" bestFit="1" customWidth="1"/>
    <col min="2308" max="2308" width="12.28515625" bestFit="1" customWidth="1"/>
    <col min="2309" max="2309" width="12.5703125" customWidth="1"/>
    <col min="2561" max="2561" width="13" bestFit="1" customWidth="1"/>
    <col min="2562" max="2562" width="11.5703125" bestFit="1" customWidth="1"/>
    <col min="2563" max="2563" width="14.85546875" bestFit="1" customWidth="1"/>
    <col min="2564" max="2564" width="12.28515625" bestFit="1" customWidth="1"/>
    <col min="2565" max="2565" width="12.5703125" customWidth="1"/>
    <col min="2817" max="2817" width="13" bestFit="1" customWidth="1"/>
    <col min="2818" max="2818" width="11.5703125" bestFit="1" customWidth="1"/>
    <col min="2819" max="2819" width="14.85546875" bestFit="1" customWidth="1"/>
    <col min="2820" max="2820" width="12.28515625" bestFit="1" customWidth="1"/>
    <col min="2821" max="2821" width="12.5703125" customWidth="1"/>
    <col min="3073" max="3073" width="13" bestFit="1" customWidth="1"/>
    <col min="3074" max="3074" width="11.5703125" bestFit="1" customWidth="1"/>
    <col min="3075" max="3075" width="14.85546875" bestFit="1" customWidth="1"/>
    <col min="3076" max="3076" width="12.28515625" bestFit="1" customWidth="1"/>
    <col min="3077" max="3077" width="12.5703125" customWidth="1"/>
    <col min="3329" max="3329" width="13" bestFit="1" customWidth="1"/>
    <col min="3330" max="3330" width="11.5703125" bestFit="1" customWidth="1"/>
    <col min="3331" max="3331" width="14.85546875" bestFit="1" customWidth="1"/>
    <col min="3332" max="3332" width="12.28515625" bestFit="1" customWidth="1"/>
    <col min="3333" max="3333" width="12.5703125" customWidth="1"/>
    <col min="3585" max="3585" width="13" bestFit="1" customWidth="1"/>
    <col min="3586" max="3586" width="11.5703125" bestFit="1" customWidth="1"/>
    <col min="3587" max="3587" width="14.85546875" bestFit="1" customWidth="1"/>
    <col min="3588" max="3588" width="12.28515625" bestFit="1" customWidth="1"/>
    <col min="3589" max="3589" width="12.5703125" customWidth="1"/>
    <col min="3841" max="3841" width="13" bestFit="1" customWidth="1"/>
    <col min="3842" max="3842" width="11.5703125" bestFit="1" customWidth="1"/>
    <col min="3843" max="3843" width="14.85546875" bestFit="1" customWidth="1"/>
    <col min="3844" max="3844" width="12.28515625" bestFit="1" customWidth="1"/>
    <col min="3845" max="3845" width="12.5703125" customWidth="1"/>
    <col min="4097" max="4097" width="13" bestFit="1" customWidth="1"/>
    <col min="4098" max="4098" width="11.5703125" bestFit="1" customWidth="1"/>
    <col min="4099" max="4099" width="14.85546875" bestFit="1" customWidth="1"/>
    <col min="4100" max="4100" width="12.28515625" bestFit="1" customWidth="1"/>
    <col min="4101" max="4101" width="12.5703125" customWidth="1"/>
    <col min="4353" max="4353" width="13" bestFit="1" customWidth="1"/>
    <col min="4354" max="4354" width="11.5703125" bestFit="1" customWidth="1"/>
    <col min="4355" max="4355" width="14.85546875" bestFit="1" customWidth="1"/>
    <col min="4356" max="4356" width="12.28515625" bestFit="1" customWidth="1"/>
    <col min="4357" max="4357" width="12.5703125" customWidth="1"/>
    <col min="4609" max="4609" width="13" bestFit="1" customWidth="1"/>
    <col min="4610" max="4610" width="11.5703125" bestFit="1" customWidth="1"/>
    <col min="4611" max="4611" width="14.85546875" bestFit="1" customWidth="1"/>
    <col min="4612" max="4612" width="12.28515625" bestFit="1" customWidth="1"/>
    <col min="4613" max="4613" width="12.5703125" customWidth="1"/>
    <col min="4865" max="4865" width="13" bestFit="1" customWidth="1"/>
    <col min="4866" max="4866" width="11.5703125" bestFit="1" customWidth="1"/>
    <col min="4867" max="4867" width="14.85546875" bestFit="1" customWidth="1"/>
    <col min="4868" max="4868" width="12.28515625" bestFit="1" customWidth="1"/>
    <col min="4869" max="4869" width="12.5703125" customWidth="1"/>
    <col min="5121" max="5121" width="13" bestFit="1" customWidth="1"/>
    <col min="5122" max="5122" width="11.5703125" bestFit="1" customWidth="1"/>
    <col min="5123" max="5123" width="14.85546875" bestFit="1" customWidth="1"/>
    <col min="5124" max="5124" width="12.28515625" bestFit="1" customWidth="1"/>
    <col min="5125" max="5125" width="12.5703125" customWidth="1"/>
    <col min="5377" max="5377" width="13" bestFit="1" customWidth="1"/>
    <col min="5378" max="5378" width="11.5703125" bestFit="1" customWidth="1"/>
    <col min="5379" max="5379" width="14.85546875" bestFit="1" customWidth="1"/>
    <col min="5380" max="5380" width="12.28515625" bestFit="1" customWidth="1"/>
    <col min="5381" max="5381" width="12.5703125" customWidth="1"/>
    <col min="5633" max="5633" width="13" bestFit="1" customWidth="1"/>
    <col min="5634" max="5634" width="11.5703125" bestFit="1" customWidth="1"/>
    <col min="5635" max="5635" width="14.85546875" bestFit="1" customWidth="1"/>
    <col min="5636" max="5636" width="12.28515625" bestFit="1" customWidth="1"/>
    <col min="5637" max="5637" width="12.5703125" customWidth="1"/>
    <col min="5889" max="5889" width="13" bestFit="1" customWidth="1"/>
    <col min="5890" max="5890" width="11.5703125" bestFit="1" customWidth="1"/>
    <col min="5891" max="5891" width="14.85546875" bestFit="1" customWidth="1"/>
    <col min="5892" max="5892" width="12.28515625" bestFit="1" customWidth="1"/>
    <col min="5893" max="5893" width="12.5703125" customWidth="1"/>
    <col min="6145" max="6145" width="13" bestFit="1" customWidth="1"/>
    <col min="6146" max="6146" width="11.5703125" bestFit="1" customWidth="1"/>
    <col min="6147" max="6147" width="14.85546875" bestFit="1" customWidth="1"/>
    <col min="6148" max="6148" width="12.28515625" bestFit="1" customWidth="1"/>
    <col min="6149" max="6149" width="12.5703125" customWidth="1"/>
    <col min="6401" max="6401" width="13" bestFit="1" customWidth="1"/>
    <col min="6402" max="6402" width="11.5703125" bestFit="1" customWidth="1"/>
    <col min="6403" max="6403" width="14.85546875" bestFit="1" customWidth="1"/>
    <col min="6404" max="6404" width="12.28515625" bestFit="1" customWidth="1"/>
    <col min="6405" max="6405" width="12.5703125" customWidth="1"/>
    <col min="6657" max="6657" width="13" bestFit="1" customWidth="1"/>
    <col min="6658" max="6658" width="11.5703125" bestFit="1" customWidth="1"/>
    <col min="6659" max="6659" width="14.85546875" bestFit="1" customWidth="1"/>
    <col min="6660" max="6660" width="12.28515625" bestFit="1" customWidth="1"/>
    <col min="6661" max="6661" width="12.5703125" customWidth="1"/>
    <col min="6913" max="6913" width="13" bestFit="1" customWidth="1"/>
    <col min="6914" max="6914" width="11.5703125" bestFit="1" customWidth="1"/>
    <col min="6915" max="6915" width="14.85546875" bestFit="1" customWidth="1"/>
    <col min="6916" max="6916" width="12.28515625" bestFit="1" customWidth="1"/>
    <col min="6917" max="6917" width="12.5703125" customWidth="1"/>
    <col min="7169" max="7169" width="13" bestFit="1" customWidth="1"/>
    <col min="7170" max="7170" width="11.5703125" bestFit="1" customWidth="1"/>
    <col min="7171" max="7171" width="14.85546875" bestFit="1" customWidth="1"/>
    <col min="7172" max="7172" width="12.28515625" bestFit="1" customWidth="1"/>
    <col min="7173" max="7173" width="12.5703125" customWidth="1"/>
    <col min="7425" max="7425" width="13" bestFit="1" customWidth="1"/>
    <col min="7426" max="7426" width="11.5703125" bestFit="1" customWidth="1"/>
    <col min="7427" max="7427" width="14.85546875" bestFit="1" customWidth="1"/>
    <col min="7428" max="7428" width="12.28515625" bestFit="1" customWidth="1"/>
    <col min="7429" max="7429" width="12.5703125" customWidth="1"/>
    <col min="7681" max="7681" width="13" bestFit="1" customWidth="1"/>
    <col min="7682" max="7682" width="11.5703125" bestFit="1" customWidth="1"/>
    <col min="7683" max="7683" width="14.85546875" bestFit="1" customWidth="1"/>
    <col min="7684" max="7684" width="12.28515625" bestFit="1" customWidth="1"/>
    <col min="7685" max="7685" width="12.5703125" customWidth="1"/>
    <col min="7937" max="7937" width="13" bestFit="1" customWidth="1"/>
    <col min="7938" max="7938" width="11.5703125" bestFit="1" customWidth="1"/>
    <col min="7939" max="7939" width="14.85546875" bestFit="1" customWidth="1"/>
    <col min="7940" max="7940" width="12.28515625" bestFit="1" customWidth="1"/>
    <col min="7941" max="7941" width="12.5703125" customWidth="1"/>
    <col min="8193" max="8193" width="13" bestFit="1" customWidth="1"/>
    <col min="8194" max="8194" width="11.5703125" bestFit="1" customWidth="1"/>
    <col min="8195" max="8195" width="14.85546875" bestFit="1" customWidth="1"/>
    <col min="8196" max="8196" width="12.28515625" bestFit="1" customWidth="1"/>
    <col min="8197" max="8197" width="12.5703125" customWidth="1"/>
    <col min="8449" max="8449" width="13" bestFit="1" customWidth="1"/>
    <col min="8450" max="8450" width="11.5703125" bestFit="1" customWidth="1"/>
    <col min="8451" max="8451" width="14.85546875" bestFit="1" customWidth="1"/>
    <col min="8452" max="8452" width="12.28515625" bestFit="1" customWidth="1"/>
    <col min="8453" max="8453" width="12.5703125" customWidth="1"/>
    <col min="8705" max="8705" width="13" bestFit="1" customWidth="1"/>
    <col min="8706" max="8706" width="11.5703125" bestFit="1" customWidth="1"/>
    <col min="8707" max="8707" width="14.85546875" bestFit="1" customWidth="1"/>
    <col min="8708" max="8708" width="12.28515625" bestFit="1" customWidth="1"/>
    <col min="8709" max="8709" width="12.5703125" customWidth="1"/>
    <col min="8961" max="8961" width="13" bestFit="1" customWidth="1"/>
    <col min="8962" max="8962" width="11.5703125" bestFit="1" customWidth="1"/>
    <col min="8963" max="8963" width="14.85546875" bestFit="1" customWidth="1"/>
    <col min="8964" max="8964" width="12.28515625" bestFit="1" customWidth="1"/>
    <col min="8965" max="8965" width="12.5703125" customWidth="1"/>
    <col min="9217" max="9217" width="13" bestFit="1" customWidth="1"/>
    <col min="9218" max="9218" width="11.5703125" bestFit="1" customWidth="1"/>
    <col min="9219" max="9219" width="14.85546875" bestFit="1" customWidth="1"/>
    <col min="9220" max="9220" width="12.28515625" bestFit="1" customWidth="1"/>
    <col min="9221" max="9221" width="12.5703125" customWidth="1"/>
    <col min="9473" max="9473" width="13" bestFit="1" customWidth="1"/>
    <col min="9474" max="9474" width="11.5703125" bestFit="1" customWidth="1"/>
    <col min="9475" max="9475" width="14.85546875" bestFit="1" customWidth="1"/>
    <col min="9476" max="9476" width="12.28515625" bestFit="1" customWidth="1"/>
    <col min="9477" max="9477" width="12.5703125" customWidth="1"/>
    <col min="9729" max="9729" width="13" bestFit="1" customWidth="1"/>
    <col min="9730" max="9730" width="11.5703125" bestFit="1" customWidth="1"/>
    <col min="9731" max="9731" width="14.85546875" bestFit="1" customWidth="1"/>
    <col min="9732" max="9732" width="12.28515625" bestFit="1" customWidth="1"/>
    <col min="9733" max="9733" width="12.5703125" customWidth="1"/>
    <col min="9985" max="9985" width="13" bestFit="1" customWidth="1"/>
    <col min="9986" max="9986" width="11.5703125" bestFit="1" customWidth="1"/>
    <col min="9987" max="9987" width="14.85546875" bestFit="1" customWidth="1"/>
    <col min="9988" max="9988" width="12.28515625" bestFit="1" customWidth="1"/>
    <col min="9989" max="9989" width="12.5703125" customWidth="1"/>
    <col min="10241" max="10241" width="13" bestFit="1" customWidth="1"/>
    <col min="10242" max="10242" width="11.5703125" bestFit="1" customWidth="1"/>
    <col min="10243" max="10243" width="14.85546875" bestFit="1" customWidth="1"/>
    <col min="10244" max="10244" width="12.28515625" bestFit="1" customWidth="1"/>
    <col min="10245" max="10245" width="12.5703125" customWidth="1"/>
    <col min="10497" max="10497" width="13" bestFit="1" customWidth="1"/>
    <col min="10498" max="10498" width="11.5703125" bestFit="1" customWidth="1"/>
    <col min="10499" max="10499" width="14.85546875" bestFit="1" customWidth="1"/>
    <col min="10500" max="10500" width="12.28515625" bestFit="1" customWidth="1"/>
    <col min="10501" max="10501" width="12.5703125" customWidth="1"/>
    <col min="10753" max="10753" width="13" bestFit="1" customWidth="1"/>
    <col min="10754" max="10754" width="11.5703125" bestFit="1" customWidth="1"/>
    <col min="10755" max="10755" width="14.85546875" bestFit="1" customWidth="1"/>
    <col min="10756" max="10756" width="12.28515625" bestFit="1" customWidth="1"/>
    <col min="10757" max="10757" width="12.5703125" customWidth="1"/>
    <col min="11009" max="11009" width="13" bestFit="1" customWidth="1"/>
    <col min="11010" max="11010" width="11.5703125" bestFit="1" customWidth="1"/>
    <col min="11011" max="11011" width="14.85546875" bestFit="1" customWidth="1"/>
    <col min="11012" max="11012" width="12.28515625" bestFit="1" customWidth="1"/>
    <col min="11013" max="11013" width="12.5703125" customWidth="1"/>
    <col min="11265" max="11265" width="13" bestFit="1" customWidth="1"/>
    <col min="11266" max="11266" width="11.5703125" bestFit="1" customWidth="1"/>
    <col min="11267" max="11267" width="14.85546875" bestFit="1" customWidth="1"/>
    <col min="11268" max="11268" width="12.28515625" bestFit="1" customWidth="1"/>
    <col min="11269" max="11269" width="12.5703125" customWidth="1"/>
    <col min="11521" max="11521" width="13" bestFit="1" customWidth="1"/>
    <col min="11522" max="11522" width="11.5703125" bestFit="1" customWidth="1"/>
    <col min="11523" max="11523" width="14.85546875" bestFit="1" customWidth="1"/>
    <col min="11524" max="11524" width="12.28515625" bestFit="1" customWidth="1"/>
    <col min="11525" max="11525" width="12.5703125" customWidth="1"/>
    <col min="11777" max="11777" width="13" bestFit="1" customWidth="1"/>
    <col min="11778" max="11778" width="11.5703125" bestFit="1" customWidth="1"/>
    <col min="11779" max="11779" width="14.85546875" bestFit="1" customWidth="1"/>
    <col min="11780" max="11780" width="12.28515625" bestFit="1" customWidth="1"/>
    <col min="11781" max="11781" width="12.5703125" customWidth="1"/>
    <col min="12033" max="12033" width="13" bestFit="1" customWidth="1"/>
    <col min="12034" max="12034" width="11.5703125" bestFit="1" customWidth="1"/>
    <col min="12035" max="12035" width="14.85546875" bestFit="1" customWidth="1"/>
    <col min="12036" max="12036" width="12.28515625" bestFit="1" customWidth="1"/>
    <col min="12037" max="12037" width="12.5703125" customWidth="1"/>
    <col min="12289" max="12289" width="13" bestFit="1" customWidth="1"/>
    <col min="12290" max="12290" width="11.5703125" bestFit="1" customWidth="1"/>
    <col min="12291" max="12291" width="14.85546875" bestFit="1" customWidth="1"/>
    <col min="12292" max="12292" width="12.28515625" bestFit="1" customWidth="1"/>
    <col min="12293" max="12293" width="12.5703125" customWidth="1"/>
    <col min="12545" max="12545" width="13" bestFit="1" customWidth="1"/>
    <col min="12546" max="12546" width="11.5703125" bestFit="1" customWidth="1"/>
    <col min="12547" max="12547" width="14.85546875" bestFit="1" customWidth="1"/>
    <col min="12548" max="12548" width="12.28515625" bestFit="1" customWidth="1"/>
    <col min="12549" max="12549" width="12.5703125" customWidth="1"/>
    <col min="12801" max="12801" width="13" bestFit="1" customWidth="1"/>
    <col min="12802" max="12802" width="11.5703125" bestFit="1" customWidth="1"/>
    <col min="12803" max="12803" width="14.85546875" bestFit="1" customWidth="1"/>
    <col min="12804" max="12804" width="12.28515625" bestFit="1" customWidth="1"/>
    <col min="12805" max="12805" width="12.5703125" customWidth="1"/>
    <col min="13057" max="13057" width="13" bestFit="1" customWidth="1"/>
    <col min="13058" max="13058" width="11.5703125" bestFit="1" customWidth="1"/>
    <col min="13059" max="13059" width="14.85546875" bestFit="1" customWidth="1"/>
    <col min="13060" max="13060" width="12.28515625" bestFit="1" customWidth="1"/>
    <col min="13061" max="13061" width="12.5703125" customWidth="1"/>
    <col min="13313" max="13313" width="13" bestFit="1" customWidth="1"/>
    <col min="13314" max="13314" width="11.5703125" bestFit="1" customWidth="1"/>
    <col min="13315" max="13315" width="14.85546875" bestFit="1" customWidth="1"/>
    <col min="13316" max="13316" width="12.28515625" bestFit="1" customWidth="1"/>
    <col min="13317" max="13317" width="12.5703125" customWidth="1"/>
    <col min="13569" max="13569" width="13" bestFit="1" customWidth="1"/>
    <col min="13570" max="13570" width="11.5703125" bestFit="1" customWidth="1"/>
    <col min="13571" max="13571" width="14.85546875" bestFit="1" customWidth="1"/>
    <col min="13572" max="13572" width="12.28515625" bestFit="1" customWidth="1"/>
    <col min="13573" max="13573" width="12.5703125" customWidth="1"/>
    <col min="13825" max="13825" width="13" bestFit="1" customWidth="1"/>
    <col min="13826" max="13826" width="11.5703125" bestFit="1" customWidth="1"/>
    <col min="13827" max="13827" width="14.85546875" bestFit="1" customWidth="1"/>
    <col min="13828" max="13828" width="12.28515625" bestFit="1" customWidth="1"/>
    <col min="13829" max="13829" width="12.5703125" customWidth="1"/>
    <col min="14081" max="14081" width="13" bestFit="1" customWidth="1"/>
    <col min="14082" max="14082" width="11.5703125" bestFit="1" customWidth="1"/>
    <col min="14083" max="14083" width="14.85546875" bestFit="1" customWidth="1"/>
    <col min="14084" max="14084" width="12.28515625" bestFit="1" customWidth="1"/>
    <col min="14085" max="14085" width="12.5703125" customWidth="1"/>
    <col min="14337" max="14337" width="13" bestFit="1" customWidth="1"/>
    <col min="14338" max="14338" width="11.5703125" bestFit="1" customWidth="1"/>
    <col min="14339" max="14339" width="14.85546875" bestFit="1" customWidth="1"/>
    <col min="14340" max="14340" width="12.28515625" bestFit="1" customWidth="1"/>
    <col min="14341" max="14341" width="12.5703125" customWidth="1"/>
    <col min="14593" max="14593" width="13" bestFit="1" customWidth="1"/>
    <col min="14594" max="14594" width="11.5703125" bestFit="1" customWidth="1"/>
    <col min="14595" max="14595" width="14.85546875" bestFit="1" customWidth="1"/>
    <col min="14596" max="14596" width="12.28515625" bestFit="1" customWidth="1"/>
    <col min="14597" max="14597" width="12.5703125" customWidth="1"/>
    <col min="14849" max="14849" width="13" bestFit="1" customWidth="1"/>
    <col min="14850" max="14850" width="11.5703125" bestFit="1" customWidth="1"/>
    <col min="14851" max="14851" width="14.85546875" bestFit="1" customWidth="1"/>
    <col min="14852" max="14852" width="12.28515625" bestFit="1" customWidth="1"/>
    <col min="14853" max="14853" width="12.5703125" customWidth="1"/>
    <col min="15105" max="15105" width="13" bestFit="1" customWidth="1"/>
    <col min="15106" max="15106" width="11.5703125" bestFit="1" customWidth="1"/>
    <col min="15107" max="15107" width="14.85546875" bestFit="1" customWidth="1"/>
    <col min="15108" max="15108" width="12.28515625" bestFit="1" customWidth="1"/>
    <col min="15109" max="15109" width="12.5703125" customWidth="1"/>
    <col min="15361" max="15361" width="13" bestFit="1" customWidth="1"/>
    <col min="15362" max="15362" width="11.5703125" bestFit="1" customWidth="1"/>
    <col min="15363" max="15363" width="14.85546875" bestFit="1" customWidth="1"/>
    <col min="15364" max="15364" width="12.28515625" bestFit="1" customWidth="1"/>
    <col min="15365" max="15365" width="12.5703125" customWidth="1"/>
    <col min="15617" max="15617" width="13" bestFit="1" customWidth="1"/>
    <col min="15618" max="15618" width="11.5703125" bestFit="1" customWidth="1"/>
    <col min="15619" max="15619" width="14.85546875" bestFit="1" customWidth="1"/>
    <col min="15620" max="15620" width="12.28515625" bestFit="1" customWidth="1"/>
    <col min="15621" max="15621" width="12.5703125" customWidth="1"/>
    <col min="15873" max="15873" width="13" bestFit="1" customWidth="1"/>
    <col min="15874" max="15874" width="11.5703125" bestFit="1" customWidth="1"/>
    <col min="15875" max="15875" width="14.85546875" bestFit="1" customWidth="1"/>
    <col min="15876" max="15876" width="12.28515625" bestFit="1" customWidth="1"/>
    <col min="15877" max="15877" width="12.5703125" customWidth="1"/>
    <col min="16129" max="16129" width="13" bestFit="1" customWidth="1"/>
    <col min="16130" max="16130" width="11.5703125" bestFit="1" customWidth="1"/>
    <col min="16131" max="16131" width="14.85546875" bestFit="1" customWidth="1"/>
    <col min="16132" max="16132" width="12.28515625" bestFit="1" customWidth="1"/>
    <col min="16133" max="16133" width="12.5703125" customWidth="1"/>
  </cols>
  <sheetData>
    <row r="1" spans="1:17" ht="18" customHeight="1" x14ac:dyDescent="0.25">
      <c r="B1" s="164" t="s">
        <v>200</v>
      </c>
      <c r="C1" s="164"/>
      <c r="D1" s="164"/>
      <c r="E1" s="164"/>
      <c r="M1" s="164" t="s">
        <v>201</v>
      </c>
      <c r="N1" s="164"/>
      <c r="O1" s="164"/>
      <c r="P1" s="164"/>
    </row>
    <row r="2" spans="1:17" ht="18" customHeight="1" x14ac:dyDescent="0.25">
      <c r="B2" s="164"/>
      <c r="C2" s="164"/>
      <c r="D2" s="164"/>
      <c r="E2" s="164"/>
      <c r="M2" s="164"/>
      <c r="N2" s="164"/>
      <c r="O2" s="164"/>
      <c r="P2" s="164"/>
    </row>
    <row r="4" spans="1:17" x14ac:dyDescent="0.25">
      <c r="A4" s="56" t="s">
        <v>188</v>
      </c>
      <c r="M4" s="58" t="s">
        <v>189</v>
      </c>
      <c r="N4" s="57"/>
    </row>
    <row r="5" spans="1:17" ht="18.75" thickBot="1" x14ac:dyDescent="0.3">
      <c r="A5" s="58" t="s">
        <v>189</v>
      </c>
      <c r="M5" s="59" t="s">
        <v>190</v>
      </c>
      <c r="N5" s="60">
        <v>7.4</v>
      </c>
    </row>
    <row r="6" spans="1:17" ht="18.75" thickBot="1" x14ac:dyDescent="0.3">
      <c r="A6" s="59" t="s">
        <v>190</v>
      </c>
      <c r="B6" s="60">
        <v>9.0470000000000006</v>
      </c>
      <c r="M6" s="59" t="s">
        <v>191</v>
      </c>
      <c r="N6" s="60">
        <v>7</v>
      </c>
      <c r="O6" s="57"/>
      <c r="P6" s="61" t="s">
        <v>192</v>
      </c>
      <c r="Q6" s="62">
        <f>0.11*POWER(0.785*N5*N5*N6,0.6)*N7</f>
        <v>6.7527607437130879</v>
      </c>
    </row>
    <row r="7" spans="1:17" ht="18.75" thickBot="1" x14ac:dyDescent="0.3">
      <c r="A7" s="59" t="s">
        <v>191</v>
      </c>
      <c r="B7" s="60">
        <v>8.89</v>
      </c>
      <c r="C7" s="57"/>
      <c r="D7" s="61" t="s">
        <v>192</v>
      </c>
      <c r="E7" s="62">
        <f>0.08*POWER(0.785*B6*B6*B7,0.6)*B8</f>
        <v>14.428405432760613</v>
      </c>
      <c r="G7" t="s">
        <v>193</v>
      </c>
      <c r="M7" s="59" t="s">
        <v>194</v>
      </c>
      <c r="N7" s="60">
        <v>2</v>
      </c>
    </row>
    <row r="8" spans="1:17" x14ac:dyDescent="0.25">
      <c r="A8" s="59" t="s">
        <v>194</v>
      </c>
      <c r="B8" s="60">
        <v>4</v>
      </c>
      <c r="M8" s="59"/>
      <c r="N8" s="57"/>
      <c r="O8" s="63" t="s">
        <v>195</v>
      </c>
      <c r="P8" s="64">
        <f>PI( )*N5*N5*N6*N7/4</f>
        <v>602.11764798701972</v>
      </c>
    </row>
    <row r="9" spans="1:17" x14ac:dyDescent="0.25">
      <c r="C9" s="63" t="s">
        <v>195</v>
      </c>
      <c r="D9" s="64">
        <f>PI( )*B6*B6*B7*B8/4</f>
        <v>2285.9188784035114</v>
      </c>
      <c r="M9" s="59"/>
      <c r="N9" s="57"/>
    </row>
    <row r="10" spans="1:17" x14ac:dyDescent="0.25">
      <c r="M10" s="58" t="s">
        <v>196</v>
      </c>
      <c r="N10" s="57"/>
    </row>
    <row r="11" spans="1:17" x14ac:dyDescent="0.25">
      <c r="A11" s="58" t="s">
        <v>196</v>
      </c>
      <c r="M11" s="59" t="s">
        <v>194</v>
      </c>
      <c r="N11" s="60">
        <v>2</v>
      </c>
      <c r="O11" s="13"/>
    </row>
    <row r="12" spans="1:17" ht="18.75" thickBot="1" x14ac:dyDescent="0.3">
      <c r="A12" s="59" t="s">
        <v>194</v>
      </c>
      <c r="B12" s="60">
        <v>4</v>
      </c>
      <c r="C12" s="13"/>
      <c r="M12" s="59" t="s">
        <v>195</v>
      </c>
      <c r="N12" s="65">
        <v>602</v>
      </c>
    </row>
    <row r="13" spans="1:17" ht="18.75" thickBot="1" x14ac:dyDescent="0.3">
      <c r="A13" s="59" t="s">
        <v>195</v>
      </c>
      <c r="B13" s="65">
        <v>2286</v>
      </c>
      <c r="M13" s="66"/>
      <c r="N13" s="57"/>
      <c r="P13" s="61" t="s">
        <v>192</v>
      </c>
      <c r="Q13" s="62">
        <f>0.08*POWER(0.785*N12*4/PI()/N11,0.6)*N11</f>
        <v>4.9105229513760023</v>
      </c>
    </row>
    <row r="14" spans="1:17" ht="18.75" thickBot="1" x14ac:dyDescent="0.3">
      <c r="A14" s="66"/>
      <c r="D14" s="61" t="s">
        <v>192</v>
      </c>
      <c r="E14" s="62">
        <f>0.08*POWER(0.785*B13*4/PI()/B12,0.6)*B12</f>
        <v>14.428712647593306</v>
      </c>
      <c r="M14" s="59"/>
      <c r="N14" s="57"/>
    </row>
    <row r="15" spans="1:17" x14ac:dyDescent="0.25">
      <c r="M15" s="58" t="s">
        <v>197</v>
      </c>
      <c r="N15" s="57"/>
    </row>
    <row r="16" spans="1:17" x14ac:dyDescent="0.25">
      <c r="A16" s="58" t="s">
        <v>197</v>
      </c>
      <c r="M16" s="59" t="s">
        <v>198</v>
      </c>
      <c r="N16" s="65">
        <v>4.91</v>
      </c>
      <c r="O16" s="67"/>
    </row>
    <row r="17" spans="1:17" ht="18.75" thickBot="1" x14ac:dyDescent="0.3">
      <c r="A17" s="59" t="s">
        <v>198</v>
      </c>
      <c r="B17" s="65">
        <v>45.76</v>
      </c>
      <c r="C17" s="67"/>
      <c r="M17" s="59" t="s">
        <v>195</v>
      </c>
      <c r="N17" s="65">
        <v>602</v>
      </c>
    </row>
    <row r="18" spans="1:17" ht="18.75" thickBot="1" x14ac:dyDescent="0.3">
      <c r="A18" s="59" t="s">
        <v>195</v>
      </c>
      <c r="B18" s="65">
        <v>11940</v>
      </c>
      <c r="N18" s="57"/>
      <c r="P18" s="61" t="s">
        <v>194</v>
      </c>
      <c r="Q18" s="68" t="e">
        <f>POWER((POWER($B$14/0.08,1/0.6))*PI()/0.785/$B$15/4,0.6/0.4)</f>
        <v>#DIV/0!</v>
      </c>
    </row>
    <row r="19" spans="1:17" ht="18.75" thickBot="1" x14ac:dyDescent="0.3">
      <c r="A19"/>
      <c r="D19" s="61" t="s">
        <v>194</v>
      </c>
      <c r="E19" s="68">
        <f>POWER((POWER($B$17/0.08,1/0.6))*PI()/0.785/$B$18/4,0.6/0.4)</f>
        <v>6.0022477671053949</v>
      </c>
      <c r="M19" s="59"/>
      <c r="N19" s="57"/>
    </row>
    <row r="20" spans="1:17" x14ac:dyDescent="0.25">
      <c r="M20" s="58" t="s">
        <v>199</v>
      </c>
      <c r="N20" s="57"/>
    </row>
    <row r="21" spans="1:17" x14ac:dyDescent="0.25">
      <c r="A21" s="58" t="s">
        <v>199</v>
      </c>
      <c r="K21" s="59"/>
      <c r="L21" s="57"/>
    </row>
    <row r="25" spans="1:17" ht="15" x14ac:dyDescent="0.25">
      <c r="B25" s="164" t="s">
        <v>202</v>
      </c>
      <c r="C25" s="164"/>
      <c r="D25" s="164"/>
      <c r="E25" s="164"/>
    </row>
    <row r="26" spans="1:17" ht="15" x14ac:dyDescent="0.25">
      <c r="B26" s="164"/>
      <c r="C26" s="164"/>
      <c r="D26" s="164"/>
      <c r="E26" s="164"/>
    </row>
    <row r="32" spans="1:17" ht="26.25" x14ac:dyDescent="0.4">
      <c r="B32" s="69"/>
      <c r="C32" s="25"/>
      <c r="D32" s="25"/>
      <c r="E32" s="25"/>
      <c r="I32" s="25"/>
    </row>
    <row r="36" spans="2:5" ht="26.25" x14ac:dyDescent="0.4">
      <c r="B36" s="69"/>
      <c r="C36" s="25"/>
      <c r="D36" s="25"/>
      <c r="E36" s="25"/>
    </row>
  </sheetData>
  <mergeCells count="3">
    <mergeCell ref="B1:E2"/>
    <mergeCell ref="M1:P2"/>
    <mergeCell ref="B25:E26"/>
  </mergeCells>
  <pageMargins left="0.7" right="0.7" top="0.75" bottom="0.75" header="0.3" footer="0.3"/>
  <pageSetup paperSize="9"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57"/>
  <sheetViews>
    <sheetView workbookViewId="0">
      <selection activeCell="J12" sqref="J12:J13"/>
    </sheetView>
  </sheetViews>
  <sheetFormatPr baseColWidth="10" defaultRowHeight="15" x14ac:dyDescent="0.25"/>
  <cols>
    <col min="5" max="6" width="13.5703125" bestFit="1" customWidth="1"/>
    <col min="11" max="12" width="13.5703125" bestFit="1" customWidth="1"/>
  </cols>
  <sheetData>
    <row r="1" spans="1:21" x14ac:dyDescent="0.25">
      <c r="A1" s="190" t="s">
        <v>67</v>
      </c>
      <c r="B1" s="191"/>
      <c r="C1" s="191"/>
      <c r="D1" s="191"/>
      <c r="E1" s="192"/>
    </row>
    <row r="2" spans="1:21" x14ac:dyDescent="0.25">
      <c r="A2" s="193"/>
      <c r="B2" s="194"/>
      <c r="C2" s="194"/>
      <c r="D2" s="194"/>
      <c r="E2" s="195"/>
    </row>
    <row r="3" spans="1:21" ht="15.75" thickBot="1" x14ac:dyDescent="0.3">
      <c r="A3" s="196"/>
      <c r="B3" s="197"/>
      <c r="C3" s="197"/>
      <c r="D3" s="197"/>
      <c r="E3" s="198"/>
    </row>
    <row r="6" spans="1:21" ht="15.75" thickBot="1" x14ac:dyDescent="0.3"/>
    <row r="7" spans="1:21" x14ac:dyDescent="0.25">
      <c r="C7" s="175" t="s">
        <v>73</v>
      </c>
      <c r="D7" s="176"/>
      <c r="E7" s="176"/>
      <c r="F7" s="176"/>
      <c r="G7" s="177"/>
      <c r="I7" s="175" t="s">
        <v>74</v>
      </c>
      <c r="J7" s="176"/>
      <c r="K7" s="176"/>
      <c r="L7" s="176"/>
      <c r="M7" s="177"/>
    </row>
    <row r="8" spans="1:21" ht="15.75" thickBot="1" x14ac:dyDescent="0.3">
      <c r="C8" s="178"/>
      <c r="D8" s="179"/>
      <c r="E8" s="179"/>
      <c r="F8" s="179"/>
      <c r="G8" s="180"/>
      <c r="I8" s="178"/>
      <c r="J8" s="179"/>
      <c r="K8" s="179"/>
      <c r="L8" s="179"/>
      <c r="M8" s="180"/>
      <c r="O8" s="165" t="s">
        <v>158</v>
      </c>
      <c r="P8" s="166"/>
      <c r="Q8" s="167"/>
    </row>
    <row r="9" spans="1:21" x14ac:dyDescent="0.25">
      <c r="O9" s="168"/>
      <c r="P9" s="169"/>
      <c r="Q9" s="170"/>
    </row>
    <row r="10" spans="1:21" x14ac:dyDescent="0.25">
      <c r="O10" s="171">
        <f>(J18*100/D18)-100</f>
        <v>0.12759170653906438</v>
      </c>
      <c r="P10" s="171"/>
      <c r="Q10" s="171"/>
    </row>
    <row r="11" spans="1:21" x14ac:dyDescent="0.25">
      <c r="C11" s="3" t="s">
        <v>68</v>
      </c>
      <c r="D11" s="3" t="s">
        <v>69</v>
      </c>
      <c r="E11" s="3" t="s">
        <v>70</v>
      </c>
      <c r="F11" s="3" t="s">
        <v>71</v>
      </c>
      <c r="G11" s="3" t="s">
        <v>72</v>
      </c>
      <c r="I11" s="3" t="s">
        <v>68</v>
      </c>
      <c r="J11" s="3" t="s">
        <v>69</v>
      </c>
      <c r="K11" s="3" t="s">
        <v>70</v>
      </c>
      <c r="L11" s="3" t="s">
        <v>71</v>
      </c>
      <c r="M11" s="3" t="s">
        <v>72</v>
      </c>
      <c r="O11" s="171"/>
      <c r="P11" s="171"/>
      <c r="Q11" s="171"/>
    </row>
    <row r="12" spans="1:21" x14ac:dyDescent="0.25">
      <c r="A12" s="160" t="s">
        <v>75</v>
      </c>
      <c r="B12" s="160"/>
      <c r="C12" s="172">
        <v>205</v>
      </c>
      <c r="D12" s="172">
        <v>60</v>
      </c>
      <c r="E12" s="172">
        <v>15</v>
      </c>
      <c r="F12" s="172"/>
      <c r="G12" s="172"/>
      <c r="I12" s="199">
        <v>245</v>
      </c>
      <c r="J12" s="199">
        <v>40</v>
      </c>
      <c r="K12" s="199">
        <v>17</v>
      </c>
      <c r="L12" s="172"/>
      <c r="M12" s="172"/>
    </row>
    <row r="13" spans="1:21" x14ac:dyDescent="0.25">
      <c r="C13" s="172"/>
      <c r="D13" s="172"/>
      <c r="E13" s="172"/>
      <c r="F13" s="172"/>
      <c r="G13" s="172"/>
      <c r="I13" s="200"/>
      <c r="J13" s="200"/>
      <c r="K13" s="200"/>
      <c r="L13" s="172"/>
      <c r="M13" s="172"/>
    </row>
    <row r="16" spans="1:21" ht="15" customHeight="1" x14ac:dyDescent="0.25">
      <c r="D16" s="165" t="s">
        <v>76</v>
      </c>
      <c r="E16" s="166"/>
      <c r="F16" s="167"/>
      <c r="J16" s="165" t="s">
        <v>76</v>
      </c>
      <c r="K16" s="166"/>
      <c r="L16" s="167"/>
      <c r="O16" s="165" t="s">
        <v>92</v>
      </c>
      <c r="P16" s="166"/>
      <c r="Q16" s="167"/>
      <c r="S16" s="184" t="s">
        <v>93</v>
      </c>
      <c r="T16" s="185"/>
      <c r="U16" s="186"/>
    </row>
    <row r="17" spans="1:21" ht="15" customHeight="1" x14ac:dyDescent="0.25">
      <c r="D17" s="168"/>
      <c r="E17" s="169"/>
      <c r="F17" s="170"/>
      <c r="J17" s="168"/>
      <c r="K17" s="169"/>
      <c r="L17" s="170"/>
      <c r="O17" s="168"/>
      <c r="P17" s="169"/>
      <c r="Q17" s="170"/>
      <c r="S17" s="187"/>
      <c r="T17" s="188"/>
      <c r="U17" s="189"/>
    </row>
    <row r="18" spans="1:21" ht="26.25" customHeight="1" x14ac:dyDescent="0.25">
      <c r="D18" s="173">
        <f>E12*25.4+2*(C12*D12/100)</f>
        <v>627</v>
      </c>
      <c r="E18" s="173"/>
      <c r="F18" s="173"/>
      <c r="G18" s="174" t="s">
        <v>9</v>
      </c>
      <c r="J18" s="173">
        <f>K12*25.4+2*(I12*J12/100)</f>
        <v>627.79999999999995</v>
      </c>
      <c r="K18" s="173"/>
      <c r="L18" s="173"/>
      <c r="M18" s="174" t="s">
        <v>9</v>
      </c>
      <c r="O18" s="173">
        <f>D18*1.1</f>
        <v>689.7</v>
      </c>
      <c r="P18" s="173"/>
      <c r="Q18" s="173"/>
      <c r="S18" s="171">
        <f>((J18-D18)/2)/10</f>
        <v>3.9999999999997725E-2</v>
      </c>
      <c r="T18" s="171"/>
      <c r="U18" s="171"/>
    </row>
    <row r="19" spans="1:21" ht="26.25" customHeight="1" x14ac:dyDescent="0.25">
      <c r="D19" s="173"/>
      <c r="E19" s="173"/>
      <c r="F19" s="173"/>
      <c r="G19" s="174"/>
      <c r="J19" s="173"/>
      <c r="K19" s="173"/>
      <c r="L19" s="173"/>
      <c r="M19" s="174"/>
      <c r="O19" s="173"/>
      <c r="P19" s="173"/>
      <c r="Q19" s="173"/>
      <c r="S19" s="171"/>
      <c r="T19" s="171"/>
      <c r="U19" s="171"/>
    </row>
    <row r="22" spans="1:21" ht="15.75" thickBot="1" x14ac:dyDescent="0.3"/>
    <row r="23" spans="1:21" x14ac:dyDescent="0.25">
      <c r="C23" s="175" t="s">
        <v>73</v>
      </c>
      <c r="D23" s="176"/>
      <c r="E23" s="176"/>
      <c r="F23" s="176"/>
      <c r="G23" s="177"/>
      <c r="I23" s="175" t="s">
        <v>74</v>
      </c>
      <c r="J23" s="176"/>
      <c r="K23" s="176"/>
      <c r="L23" s="176"/>
      <c r="M23" s="177"/>
      <c r="O23" s="165" t="s">
        <v>76</v>
      </c>
      <c r="P23" s="166"/>
      <c r="Q23" s="167"/>
    </row>
    <row r="24" spans="1:21" ht="15.75" thickBot="1" x14ac:dyDescent="0.3">
      <c r="C24" s="178"/>
      <c r="D24" s="179"/>
      <c r="E24" s="179"/>
      <c r="F24" s="179"/>
      <c r="G24" s="180"/>
      <c r="I24" s="178"/>
      <c r="J24" s="179"/>
      <c r="K24" s="179"/>
      <c r="L24" s="179"/>
      <c r="M24" s="180"/>
      <c r="O24" s="168"/>
      <c r="P24" s="169"/>
      <c r="Q24" s="170"/>
    </row>
    <row r="25" spans="1:21" x14ac:dyDescent="0.25">
      <c r="O25" s="173">
        <f>D34*1.1</f>
        <v>0</v>
      </c>
      <c r="P25" s="173"/>
      <c r="Q25" s="173"/>
    </row>
    <row r="26" spans="1:21" x14ac:dyDescent="0.25">
      <c r="O26" s="173"/>
      <c r="P26" s="173"/>
      <c r="Q26" s="173"/>
    </row>
    <row r="27" spans="1:21" x14ac:dyDescent="0.25">
      <c r="C27" s="3" t="s">
        <v>68</v>
      </c>
      <c r="D27" s="3" t="s">
        <v>69</v>
      </c>
      <c r="E27" s="3" t="s">
        <v>70</v>
      </c>
      <c r="F27" s="3" t="s">
        <v>71</v>
      </c>
      <c r="G27" s="3" t="s">
        <v>72</v>
      </c>
      <c r="I27" s="3" t="s">
        <v>68</v>
      </c>
      <c r="J27" s="3" t="s">
        <v>69</v>
      </c>
      <c r="K27" s="3" t="s">
        <v>70</v>
      </c>
      <c r="L27" s="3" t="s">
        <v>71</v>
      </c>
      <c r="M27" s="3" t="s">
        <v>72</v>
      </c>
    </row>
    <row r="28" spans="1:21" x14ac:dyDescent="0.25">
      <c r="A28" s="160" t="s">
        <v>77</v>
      </c>
      <c r="B28" s="160"/>
      <c r="C28" s="172"/>
      <c r="D28" s="172"/>
      <c r="E28" s="172"/>
      <c r="F28" s="172"/>
      <c r="G28" s="172"/>
      <c r="I28" s="172">
        <v>33</v>
      </c>
      <c r="J28" s="172">
        <v>10.5</v>
      </c>
      <c r="K28" s="172">
        <v>15</v>
      </c>
      <c r="L28" s="172"/>
      <c r="M28" s="172"/>
    </row>
    <row r="29" spans="1:21" x14ac:dyDescent="0.25">
      <c r="C29" s="172"/>
      <c r="D29" s="172"/>
      <c r="E29" s="172"/>
      <c r="F29" s="172"/>
      <c r="G29" s="172"/>
      <c r="I29" s="172"/>
      <c r="J29" s="172"/>
      <c r="K29" s="172"/>
      <c r="L29" s="172"/>
      <c r="M29" s="172"/>
    </row>
    <row r="32" spans="1:21" x14ac:dyDescent="0.25">
      <c r="D32" s="165" t="s">
        <v>76</v>
      </c>
      <c r="E32" s="166"/>
      <c r="F32" s="167"/>
      <c r="J32" s="165" t="s">
        <v>76</v>
      </c>
      <c r="K32" s="166"/>
      <c r="L32" s="167"/>
      <c r="Q32">
        <v>799.3</v>
      </c>
      <c r="S32">
        <v>100</v>
      </c>
    </row>
    <row r="33" spans="1:21" x14ac:dyDescent="0.25">
      <c r="D33" s="168"/>
      <c r="E33" s="169"/>
      <c r="F33" s="170"/>
      <c r="J33" s="168"/>
      <c r="K33" s="169"/>
      <c r="L33" s="170"/>
      <c r="Q33">
        <v>872.8</v>
      </c>
      <c r="U33" s="45">
        <f>Q33*S32/Q32</f>
        <v>109.19554610284</v>
      </c>
    </row>
    <row r="34" spans="1:21" ht="26.25" x14ac:dyDescent="0.4">
      <c r="D34" s="201">
        <f>C28*25.4</f>
        <v>0</v>
      </c>
      <c r="E34" s="201"/>
      <c r="F34" s="201"/>
      <c r="G34" s="25"/>
      <c r="H34" s="25"/>
      <c r="I34" s="25"/>
      <c r="J34" s="201">
        <f>I28*25.4</f>
        <v>838.19999999999993</v>
      </c>
      <c r="K34" s="201"/>
      <c r="L34" s="201"/>
    </row>
    <row r="35" spans="1:21" ht="26.25" x14ac:dyDescent="0.4">
      <c r="D35" s="201"/>
      <c r="E35" s="201"/>
      <c r="F35" s="201"/>
      <c r="G35" s="25"/>
      <c r="H35" s="25"/>
      <c r="I35" s="25"/>
      <c r="J35" s="201"/>
      <c r="K35" s="201"/>
      <c r="L35" s="201"/>
    </row>
    <row r="39" spans="1:21" ht="19.5" customHeight="1" x14ac:dyDescent="0.25">
      <c r="A39" s="182" t="s">
        <v>78</v>
      </c>
      <c r="B39" s="182"/>
      <c r="C39" s="182"/>
      <c r="D39" s="182"/>
    </row>
    <row r="40" spans="1:21" x14ac:dyDescent="0.25">
      <c r="A40" s="23"/>
    </row>
    <row r="41" spans="1:21" x14ac:dyDescent="0.25">
      <c r="A41" s="183" t="s">
        <v>79</v>
      </c>
      <c r="B41" s="183"/>
      <c r="C41" s="183"/>
      <c r="D41" s="183"/>
      <c r="E41" s="24"/>
      <c r="F41" s="24"/>
    </row>
    <row r="42" spans="1:21" x14ac:dyDescent="0.25">
      <c r="A42" s="183" t="s">
        <v>80</v>
      </c>
      <c r="B42" s="183"/>
      <c r="C42" s="183"/>
      <c r="D42" s="183"/>
      <c r="E42" s="183"/>
      <c r="F42" s="183"/>
    </row>
    <row r="43" spans="1:21" x14ac:dyDescent="0.25">
      <c r="A43" s="183" t="s">
        <v>81</v>
      </c>
      <c r="B43" s="183"/>
      <c r="C43" s="183"/>
      <c r="D43" s="183"/>
      <c r="E43" s="183"/>
      <c r="F43" s="183"/>
    </row>
    <row r="44" spans="1:21" x14ac:dyDescent="0.25">
      <c r="A44" s="183" t="s">
        <v>82</v>
      </c>
      <c r="B44" s="183"/>
      <c r="C44" s="183"/>
      <c r="D44" s="183"/>
      <c r="E44" s="183"/>
      <c r="F44" s="183"/>
    </row>
    <row r="46" spans="1:21" x14ac:dyDescent="0.25">
      <c r="A46" t="s">
        <v>83</v>
      </c>
    </row>
    <row r="48" spans="1:21" x14ac:dyDescent="0.25">
      <c r="A48" t="s">
        <v>84</v>
      </c>
      <c r="D48" s="3" t="s">
        <v>88</v>
      </c>
      <c r="E48" s="3" t="s">
        <v>89</v>
      </c>
    </row>
    <row r="49" spans="1:5" x14ac:dyDescent="0.25">
      <c r="A49" t="s">
        <v>85</v>
      </c>
      <c r="D49" s="181" t="s">
        <v>90</v>
      </c>
      <c r="E49" s="181" t="s">
        <v>91</v>
      </c>
    </row>
    <row r="50" spans="1:5" x14ac:dyDescent="0.25">
      <c r="A50" t="s">
        <v>86</v>
      </c>
      <c r="D50" s="181"/>
      <c r="E50" s="181"/>
    </row>
    <row r="51" spans="1:5" x14ac:dyDescent="0.25">
      <c r="A51" t="s">
        <v>87</v>
      </c>
      <c r="D51" s="181"/>
      <c r="E51" s="181"/>
    </row>
    <row r="54" spans="1:5" x14ac:dyDescent="0.25">
      <c r="A54" t="s">
        <v>94</v>
      </c>
      <c r="D54" s="3" t="s">
        <v>88</v>
      </c>
      <c r="E54" s="3" t="s">
        <v>89</v>
      </c>
    </row>
    <row r="55" spans="1:5" x14ac:dyDescent="0.25">
      <c r="D55" s="181" t="s">
        <v>95</v>
      </c>
      <c r="E55" s="181" t="s">
        <v>91</v>
      </c>
    </row>
    <row r="56" spans="1:5" x14ac:dyDescent="0.25">
      <c r="D56" s="181"/>
      <c r="E56" s="181"/>
    </row>
    <row r="57" spans="1:5" x14ac:dyDescent="0.25">
      <c r="D57" s="181"/>
      <c r="E57" s="181"/>
    </row>
  </sheetData>
  <mergeCells count="54">
    <mergeCell ref="S16:U17"/>
    <mergeCell ref="S18:U19"/>
    <mergeCell ref="D55:D57"/>
    <mergeCell ref="E55:E57"/>
    <mergeCell ref="A1:E3"/>
    <mergeCell ref="I7:M8"/>
    <mergeCell ref="C7:G8"/>
    <mergeCell ref="A12:B12"/>
    <mergeCell ref="G12:G13"/>
    <mergeCell ref="I12:I13"/>
    <mergeCell ref="J12:J13"/>
    <mergeCell ref="K12:K13"/>
    <mergeCell ref="J32:L33"/>
    <mergeCell ref="D34:F35"/>
    <mergeCell ref="J34:L35"/>
    <mergeCell ref="L28:L29"/>
    <mergeCell ref="D49:D51"/>
    <mergeCell ref="E49:E51"/>
    <mergeCell ref="C12:C13"/>
    <mergeCell ref="D12:D13"/>
    <mergeCell ref="E12:E13"/>
    <mergeCell ref="A39:D39"/>
    <mergeCell ref="A41:D41"/>
    <mergeCell ref="A42:F42"/>
    <mergeCell ref="A43:F43"/>
    <mergeCell ref="A44:F44"/>
    <mergeCell ref="A28:B28"/>
    <mergeCell ref="D32:F33"/>
    <mergeCell ref="D16:F17"/>
    <mergeCell ref="D18:F19"/>
    <mergeCell ref="C23:G24"/>
    <mergeCell ref="C28:C29"/>
    <mergeCell ref="M18:M19"/>
    <mergeCell ref="J16:L17"/>
    <mergeCell ref="J18:L19"/>
    <mergeCell ref="I23:M24"/>
    <mergeCell ref="L12:L13"/>
    <mergeCell ref="M12:M13"/>
    <mergeCell ref="O8:Q9"/>
    <mergeCell ref="O10:Q11"/>
    <mergeCell ref="D28:D29"/>
    <mergeCell ref="E28:E29"/>
    <mergeCell ref="F28:F29"/>
    <mergeCell ref="G28:G29"/>
    <mergeCell ref="O16:Q17"/>
    <mergeCell ref="O18:Q19"/>
    <mergeCell ref="O23:Q24"/>
    <mergeCell ref="O25:Q26"/>
    <mergeCell ref="I28:I29"/>
    <mergeCell ref="J28:J29"/>
    <mergeCell ref="K28:K29"/>
    <mergeCell ref="F12:F13"/>
    <mergeCell ref="M28:M29"/>
    <mergeCell ref="G18:G19"/>
  </mergeCells>
  <conditionalFormatting sqref="O10:Q11">
    <cfRule type="cellIs" dxfId="131" priority="1" operator="lessThan">
      <formula>10</formula>
    </cfRule>
    <cfRule type="cellIs" dxfId="130" priority="2" operator="greaterThan">
      <formula>10</formula>
    </cfRule>
    <cfRule type="cellIs" dxfId="129" priority="3" operator="equal">
      <formula>$J$18</formula>
    </cfRule>
    <cfRule type="cellIs" dxfId="128" priority="4" operator="lessThan">
      <formula>$J$18</formula>
    </cfRule>
    <cfRule type="cellIs" dxfId="127" priority="5" operator="greaterThan">
      <formula>$J$18</formula>
    </cfRule>
  </conditionalFormatting>
  <conditionalFormatting sqref="O18:Q19">
    <cfRule type="cellIs" dxfId="126" priority="6" operator="equal">
      <formula>$J$18</formula>
    </cfRule>
    <cfRule type="cellIs" dxfId="125" priority="7" operator="lessThan">
      <formula>$J$18</formula>
    </cfRule>
    <cfRule type="cellIs" dxfId="124" priority="8" operator="greaterThan">
      <formula>$J$18</formula>
    </cfRule>
  </conditionalFormatting>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D1ECA-9BFD-41F9-A69D-3E3B73C2EFEE}">
  <dimension ref="A1:Q63"/>
  <sheetViews>
    <sheetView zoomScaleNormal="100" workbookViewId="0">
      <selection activeCell="A54" sqref="A54:E63"/>
    </sheetView>
  </sheetViews>
  <sheetFormatPr baseColWidth="10" defaultRowHeight="15" x14ac:dyDescent="0.25"/>
  <cols>
    <col min="1" max="1" width="19.85546875" style="96" customWidth="1"/>
    <col min="2" max="2" width="18.5703125" style="96" customWidth="1"/>
    <col min="3" max="3" width="22.140625" style="96" customWidth="1"/>
    <col min="4" max="9" width="11.42578125" style="96"/>
    <col min="10" max="10" width="4.140625" style="96" bestFit="1" customWidth="1"/>
    <col min="11" max="11" width="18.140625" style="96" customWidth="1"/>
    <col min="12" max="15" width="11.42578125" style="96"/>
    <col min="16" max="16" width="13.28515625" style="96" bestFit="1" customWidth="1"/>
    <col min="17" max="16384" width="11.42578125" style="96"/>
  </cols>
  <sheetData>
    <row r="1" spans="1:8" x14ac:dyDescent="0.25">
      <c r="B1" s="205" t="s">
        <v>318</v>
      </c>
      <c r="C1" s="205"/>
      <c r="D1" s="205"/>
    </row>
    <row r="2" spans="1:8" x14ac:dyDescent="0.25">
      <c r="B2" s="205"/>
      <c r="C2" s="205"/>
      <c r="D2" s="205"/>
    </row>
    <row r="3" spans="1:8" x14ac:dyDescent="0.25">
      <c r="B3" s="205"/>
      <c r="C3" s="205"/>
      <c r="D3" s="205"/>
    </row>
    <row r="6" spans="1:8" ht="30" x14ac:dyDescent="0.25">
      <c r="C6" s="99" t="s">
        <v>376</v>
      </c>
      <c r="D6" s="100">
        <v>2090</v>
      </c>
      <c r="F6" s="202" t="s">
        <v>331</v>
      </c>
      <c r="G6" s="202"/>
      <c r="H6" s="101">
        <f>C12-D6</f>
        <v>-115</v>
      </c>
    </row>
    <row r="7" spans="1:8" ht="15.75" thickBot="1" x14ac:dyDescent="0.3"/>
    <row r="8" spans="1:8" ht="15.75" thickBot="1" x14ac:dyDescent="0.3">
      <c r="B8" s="87"/>
      <c r="C8" s="102" t="s">
        <v>306</v>
      </c>
      <c r="D8" s="103" t="s">
        <v>298</v>
      </c>
      <c r="E8" s="103" t="s">
        <v>299</v>
      </c>
    </row>
    <row r="9" spans="1:8" ht="15.75" thickBot="1" x14ac:dyDescent="0.3">
      <c r="B9" s="104" t="s">
        <v>308</v>
      </c>
      <c r="C9" s="105">
        <f>E9+D9</f>
        <v>1900</v>
      </c>
      <c r="D9" s="105">
        <v>1000</v>
      </c>
      <c r="E9" s="105">
        <v>900</v>
      </c>
    </row>
    <row r="12" spans="1:8" x14ac:dyDescent="0.25">
      <c r="B12" s="106" t="s">
        <v>310</v>
      </c>
      <c r="C12" s="100">
        <f>C9+75</f>
        <v>1975</v>
      </c>
    </row>
    <row r="14" spans="1:8" x14ac:dyDescent="0.25">
      <c r="B14" s="107"/>
      <c r="C14" s="107"/>
    </row>
    <row r="15" spans="1:8" x14ac:dyDescent="0.25">
      <c r="A15" s="106" t="s">
        <v>316</v>
      </c>
      <c r="B15" s="100">
        <v>3</v>
      </c>
      <c r="C15" s="106" t="s">
        <v>319</v>
      </c>
      <c r="D15" s="100">
        <v>80</v>
      </c>
      <c r="F15" s="96" t="s">
        <v>377</v>
      </c>
      <c r="G15" s="96">
        <v>6220</v>
      </c>
    </row>
    <row r="16" spans="1:8" x14ac:dyDescent="0.25">
      <c r="A16" s="106" t="s">
        <v>317</v>
      </c>
      <c r="B16" s="100">
        <f>75*B15</f>
        <v>225</v>
      </c>
      <c r="C16" s="106" t="s">
        <v>332</v>
      </c>
      <c r="D16" s="100">
        <v>2</v>
      </c>
    </row>
    <row r="17" spans="1:6" x14ac:dyDescent="0.25">
      <c r="A17" s="106" t="s">
        <v>300</v>
      </c>
      <c r="B17" s="100">
        <v>2000</v>
      </c>
      <c r="C17" s="106" t="s">
        <v>333</v>
      </c>
      <c r="D17" s="100">
        <v>2</v>
      </c>
      <c r="F17" s="96">
        <f>G15*0.04</f>
        <v>248.8</v>
      </c>
    </row>
    <row r="18" spans="1:6" x14ac:dyDescent="0.25">
      <c r="A18" s="106" t="s">
        <v>240</v>
      </c>
      <c r="B18" s="100">
        <v>1500</v>
      </c>
      <c r="C18" s="106" t="s">
        <v>334</v>
      </c>
      <c r="D18" s="100">
        <v>1</v>
      </c>
    </row>
    <row r="19" spans="1:6" x14ac:dyDescent="0.25">
      <c r="A19" s="106" t="s">
        <v>242</v>
      </c>
      <c r="B19" s="100">
        <v>1000</v>
      </c>
      <c r="C19" s="106" t="s">
        <v>335</v>
      </c>
      <c r="D19" s="100">
        <v>75</v>
      </c>
    </row>
    <row r="20" spans="1:6" x14ac:dyDescent="0.25">
      <c r="A20" s="106" t="s">
        <v>314</v>
      </c>
      <c r="B20" s="100">
        <f>B17-C12-B16</f>
        <v>-200</v>
      </c>
      <c r="C20" s="107"/>
    </row>
    <row r="21" spans="1:6" x14ac:dyDescent="0.25">
      <c r="C21" s="107"/>
    </row>
    <row r="22" spans="1:6" x14ac:dyDescent="0.25">
      <c r="C22" s="107"/>
    </row>
    <row r="23" spans="1:6" x14ac:dyDescent="0.25">
      <c r="C23" s="107"/>
    </row>
    <row r="24" spans="1:6" x14ac:dyDescent="0.25">
      <c r="C24" s="107"/>
    </row>
    <row r="25" spans="1:6" x14ac:dyDescent="0.25">
      <c r="D25" s="208"/>
      <c r="E25" s="208"/>
    </row>
    <row r="29" spans="1:6" x14ac:dyDescent="0.25">
      <c r="C29" s="108" t="s">
        <v>328</v>
      </c>
      <c r="E29" s="109" t="s">
        <v>327</v>
      </c>
    </row>
    <row r="30" spans="1:6" x14ac:dyDescent="0.25">
      <c r="A30" s="206" t="s">
        <v>329</v>
      </c>
      <c r="B30" s="206"/>
      <c r="C30" s="107">
        <v>1713</v>
      </c>
      <c r="D30" s="107"/>
      <c r="E30" s="110">
        <v>3665</v>
      </c>
    </row>
    <row r="31" spans="1:6" x14ac:dyDescent="0.25">
      <c r="A31" s="206" t="s">
        <v>309</v>
      </c>
      <c r="B31" s="206"/>
      <c r="C31" s="107">
        <v>509</v>
      </c>
      <c r="D31" s="107"/>
      <c r="E31" s="110">
        <v>900</v>
      </c>
    </row>
    <row r="32" spans="1:6" x14ac:dyDescent="0.25">
      <c r="A32" s="207" t="s">
        <v>311</v>
      </c>
      <c r="B32" s="207"/>
      <c r="C32" s="107">
        <f>C31</f>
        <v>509</v>
      </c>
      <c r="D32" s="107"/>
      <c r="E32" s="110">
        <f>E31</f>
        <v>900</v>
      </c>
    </row>
    <row r="33" spans="1:17" x14ac:dyDescent="0.25">
      <c r="A33" s="207" t="s">
        <v>312</v>
      </c>
      <c r="B33" s="207"/>
      <c r="C33" s="107">
        <v>950</v>
      </c>
      <c r="D33" s="107"/>
      <c r="E33" s="110">
        <v>150</v>
      </c>
    </row>
    <row r="34" spans="1:17" x14ac:dyDescent="0.25">
      <c r="A34" s="207" t="s">
        <v>313</v>
      </c>
      <c r="B34" s="207"/>
      <c r="C34" s="107">
        <v>0</v>
      </c>
      <c r="D34" s="107"/>
      <c r="E34" s="110">
        <v>75</v>
      </c>
    </row>
    <row r="35" spans="1:17" x14ac:dyDescent="0.25">
      <c r="A35" s="207" t="s">
        <v>314</v>
      </c>
      <c r="B35" s="207"/>
      <c r="C35" s="107">
        <v>2000</v>
      </c>
      <c r="D35" s="107"/>
      <c r="E35" s="110">
        <v>3538</v>
      </c>
    </row>
    <row r="36" spans="1:17" x14ac:dyDescent="0.25">
      <c r="A36" s="207" t="s">
        <v>330</v>
      </c>
      <c r="B36" s="207"/>
      <c r="C36" s="107">
        <v>2258</v>
      </c>
      <c r="D36" s="107"/>
      <c r="E36" s="110">
        <v>80</v>
      </c>
    </row>
    <row r="40" spans="1:17" x14ac:dyDescent="0.25">
      <c r="B40" s="106" t="s">
        <v>303</v>
      </c>
      <c r="C40" s="203">
        <v>4035</v>
      </c>
      <c r="D40" s="204"/>
    </row>
    <row r="42" spans="1:17" x14ac:dyDescent="0.25">
      <c r="C42" s="100" t="s">
        <v>306</v>
      </c>
      <c r="D42" s="100" t="s">
        <v>298</v>
      </c>
      <c r="E42" s="100" t="s">
        <v>307</v>
      </c>
    </row>
    <row r="43" spans="1:17" ht="30" x14ac:dyDescent="0.25">
      <c r="A43" s="111" t="s">
        <v>304</v>
      </c>
      <c r="B43" s="111" t="s">
        <v>305</v>
      </c>
      <c r="C43" s="112">
        <f>C9</f>
        <v>1900</v>
      </c>
      <c r="D43" s="113">
        <f>D9</f>
        <v>1000</v>
      </c>
      <c r="E43" s="113">
        <f>E9</f>
        <v>900</v>
      </c>
      <c r="K43" s="96" t="s">
        <v>322</v>
      </c>
      <c r="L43" s="96" t="s">
        <v>323</v>
      </c>
      <c r="M43" s="96" t="s">
        <v>324</v>
      </c>
      <c r="N43" s="96" t="s">
        <v>124</v>
      </c>
      <c r="O43" s="96" t="s">
        <v>325</v>
      </c>
      <c r="P43" s="96" t="s">
        <v>326</v>
      </c>
    </row>
    <row r="44" spans="1:17" x14ac:dyDescent="0.25">
      <c r="A44" s="114">
        <f>E31</f>
        <v>900</v>
      </c>
      <c r="B44" s="115" t="s">
        <v>309</v>
      </c>
      <c r="C44" s="100">
        <v>75</v>
      </c>
      <c r="D44" s="114">
        <f>C44-E44</f>
        <v>58.271375464684013</v>
      </c>
      <c r="E44" s="114">
        <f>C44*A44/$C$40</f>
        <v>16.728624535315983</v>
      </c>
      <c r="L44" s="96">
        <v>20</v>
      </c>
      <c r="M44" s="96">
        <v>4</v>
      </c>
      <c r="N44" s="96">
        <v>7.4999999999999997E-2</v>
      </c>
      <c r="P44" s="96">
        <f>N44*L44</f>
        <v>1.5</v>
      </c>
      <c r="Q44" s="96">
        <v>10</v>
      </c>
    </row>
    <row r="45" spans="1:17" x14ac:dyDescent="0.25">
      <c r="A45" s="106"/>
      <c r="B45" s="116" t="s">
        <v>310</v>
      </c>
      <c r="C45" s="106">
        <f>C43+C44</f>
        <v>1975</v>
      </c>
      <c r="D45" s="117">
        <f t="shared" ref="D45" si="0">D43+D44</f>
        <v>1058.2713754646841</v>
      </c>
      <c r="E45" s="117">
        <f>E43+E44</f>
        <v>916.72862453531593</v>
      </c>
    </row>
    <row r="46" spans="1:17" x14ac:dyDescent="0.25">
      <c r="A46" s="114">
        <f>A44</f>
        <v>900</v>
      </c>
      <c r="B46" s="115" t="s">
        <v>311</v>
      </c>
      <c r="C46" s="100">
        <f>D16*$D$19</f>
        <v>150</v>
      </c>
      <c r="D46" s="114">
        <f>C46-E46</f>
        <v>116.54275092936803</v>
      </c>
      <c r="E46" s="114">
        <f>C46*A46/$C$40</f>
        <v>33.457249070631967</v>
      </c>
    </row>
    <row r="47" spans="1:17" x14ac:dyDescent="0.25">
      <c r="A47" s="114">
        <f>E33</f>
        <v>150</v>
      </c>
      <c r="B47" s="115" t="s">
        <v>312</v>
      </c>
      <c r="C47" s="100">
        <f>D17*$D$19</f>
        <v>150</v>
      </c>
      <c r="D47" s="114">
        <f t="shared" ref="D47:D49" si="1">C47-E47</f>
        <v>144.42379182156134</v>
      </c>
      <c r="E47" s="114">
        <f>C47*A47/$C$40</f>
        <v>5.5762081784386615</v>
      </c>
    </row>
    <row r="48" spans="1:17" x14ac:dyDescent="0.25">
      <c r="A48" s="114">
        <f>E34</f>
        <v>75</v>
      </c>
      <c r="B48" s="115" t="s">
        <v>313</v>
      </c>
      <c r="C48" s="100">
        <v>0</v>
      </c>
      <c r="D48" s="114">
        <f t="shared" si="1"/>
        <v>0</v>
      </c>
      <c r="E48" s="114">
        <f>C48*A48/$C$40</f>
        <v>0</v>
      </c>
    </row>
    <row r="49" spans="1:5" x14ac:dyDescent="0.25">
      <c r="A49" s="114">
        <v>3620</v>
      </c>
      <c r="B49" s="115" t="s">
        <v>314</v>
      </c>
      <c r="C49" s="100">
        <f>B20</f>
        <v>-200</v>
      </c>
      <c r="D49" s="114">
        <f t="shared" si="1"/>
        <v>-20.570012391573727</v>
      </c>
      <c r="E49" s="114">
        <f>C49*A49/$C$40</f>
        <v>-179.42998760842627</v>
      </c>
    </row>
    <row r="50" spans="1:5" x14ac:dyDescent="0.25">
      <c r="B50" s="115" t="s">
        <v>315</v>
      </c>
      <c r="C50" s="100">
        <f>SUM(C45:C49)</f>
        <v>2075</v>
      </c>
      <c r="D50" s="114">
        <f t="shared" ref="D50:E50" si="2">SUM(D45:D49)</f>
        <v>1298.6679058240395</v>
      </c>
      <c r="E50" s="114">
        <f t="shared" si="2"/>
        <v>776.33209417596026</v>
      </c>
    </row>
    <row r="51" spans="1:5" x14ac:dyDescent="0.25">
      <c r="B51" s="118" t="s">
        <v>300</v>
      </c>
      <c r="C51" s="118">
        <f>B17</f>
        <v>2000</v>
      </c>
      <c r="D51" s="118">
        <f>B18</f>
        <v>1500</v>
      </c>
      <c r="E51" s="118">
        <f>B19</f>
        <v>1000</v>
      </c>
    </row>
    <row r="54" spans="1:5" ht="30" x14ac:dyDescent="0.25">
      <c r="A54" s="111" t="s">
        <v>304</v>
      </c>
      <c r="B54" s="111" t="s">
        <v>305</v>
      </c>
      <c r="C54" s="112">
        <f>C43</f>
        <v>1900</v>
      </c>
      <c r="D54" s="112">
        <f t="shared" ref="D54:E54" si="3">D43</f>
        <v>1000</v>
      </c>
      <c r="E54" s="112">
        <f t="shared" si="3"/>
        <v>900</v>
      </c>
    </row>
    <row r="55" spans="1:5" x14ac:dyDescent="0.25">
      <c r="A55" s="114">
        <f>E31</f>
        <v>900</v>
      </c>
      <c r="B55" s="115" t="s">
        <v>309</v>
      </c>
      <c r="C55" s="100">
        <f>C44</f>
        <v>75</v>
      </c>
      <c r="D55" s="114">
        <f>C55-E55</f>
        <v>58.271375464684013</v>
      </c>
      <c r="E55" s="114">
        <f>C55*A55/$C$40</f>
        <v>16.728624535315983</v>
      </c>
    </row>
    <row r="56" spans="1:5" x14ac:dyDescent="0.25">
      <c r="A56" s="117"/>
      <c r="B56" s="116" t="s">
        <v>310</v>
      </c>
      <c r="C56" s="106">
        <f t="shared" ref="C56:E56" si="4">C45</f>
        <v>1975</v>
      </c>
      <c r="D56" s="117">
        <f t="shared" si="4"/>
        <v>1058.2713754646841</v>
      </c>
      <c r="E56" s="117">
        <f t="shared" si="4"/>
        <v>916.72862453531593</v>
      </c>
    </row>
    <row r="57" spans="1:5" x14ac:dyDescent="0.25">
      <c r="A57" s="114">
        <f>E32</f>
        <v>900</v>
      </c>
      <c r="B57" s="115" t="s">
        <v>311</v>
      </c>
      <c r="C57" s="100">
        <f t="shared" ref="C57" si="5">C46</f>
        <v>150</v>
      </c>
      <c r="D57" s="114">
        <f>C57-E57</f>
        <v>116.54275092936803</v>
      </c>
      <c r="E57" s="114">
        <f>C57*A57/$C$40</f>
        <v>33.457249070631967</v>
      </c>
    </row>
    <row r="58" spans="1:5" x14ac:dyDescent="0.25">
      <c r="A58" s="114">
        <f t="shared" ref="A58:A60" si="6">E33</f>
        <v>150</v>
      </c>
      <c r="B58" s="115" t="s">
        <v>312</v>
      </c>
      <c r="C58" s="100">
        <f t="shared" ref="C58" si="7">C47</f>
        <v>150</v>
      </c>
      <c r="D58" s="114">
        <f t="shared" ref="D58:D61" si="8">C58-E58</f>
        <v>144.42379182156134</v>
      </c>
      <c r="E58" s="114">
        <f t="shared" ref="E58:E61" si="9">C58*A58/$C$40</f>
        <v>5.5762081784386615</v>
      </c>
    </row>
    <row r="59" spans="1:5" x14ac:dyDescent="0.25">
      <c r="A59" s="114">
        <f t="shared" si="6"/>
        <v>75</v>
      </c>
      <c r="B59" s="115" t="s">
        <v>313</v>
      </c>
      <c r="C59" s="100">
        <f t="shared" ref="C59" si="10">C48</f>
        <v>0</v>
      </c>
      <c r="D59" s="114">
        <f t="shared" si="8"/>
        <v>0</v>
      </c>
      <c r="E59" s="114">
        <f t="shared" si="9"/>
        <v>0</v>
      </c>
    </row>
    <row r="60" spans="1:5" x14ac:dyDescent="0.25">
      <c r="A60" s="114">
        <f t="shared" si="6"/>
        <v>3538</v>
      </c>
      <c r="B60" s="115" t="s">
        <v>314</v>
      </c>
      <c r="C60" s="100">
        <f>C49-C61</f>
        <v>-280</v>
      </c>
      <c r="D60" s="114">
        <f t="shared" si="8"/>
        <v>-34.488228004956625</v>
      </c>
      <c r="E60" s="114">
        <f t="shared" si="9"/>
        <v>-245.51177199504338</v>
      </c>
    </row>
    <row r="61" spans="1:5" x14ac:dyDescent="0.25">
      <c r="A61" s="114">
        <f>E36</f>
        <v>80</v>
      </c>
      <c r="B61" s="115" t="s">
        <v>320</v>
      </c>
      <c r="C61" s="100">
        <f>D15</f>
        <v>80</v>
      </c>
      <c r="D61" s="114">
        <f t="shared" si="8"/>
        <v>78.413878562577452</v>
      </c>
      <c r="E61" s="114">
        <f t="shared" si="9"/>
        <v>1.5861214374225527</v>
      </c>
    </row>
    <row r="62" spans="1:5" x14ac:dyDescent="0.25">
      <c r="B62" s="115" t="s">
        <v>315</v>
      </c>
      <c r="C62" s="100">
        <f>SUM(C56:C61)</f>
        <v>2075</v>
      </c>
      <c r="D62" s="114">
        <f t="shared" ref="D62:E62" si="11">SUM(D56:D61)</f>
        <v>1363.1635687732341</v>
      </c>
      <c r="E62" s="114">
        <f t="shared" si="11"/>
        <v>711.83643122676574</v>
      </c>
    </row>
    <row r="63" spans="1:5" x14ac:dyDescent="0.25">
      <c r="B63" s="119" t="s">
        <v>300</v>
      </c>
      <c r="C63" s="118">
        <f>C51</f>
        <v>2000</v>
      </c>
      <c r="D63" s="118">
        <f t="shared" ref="D63:E63" si="12">D51</f>
        <v>1500</v>
      </c>
      <c r="E63" s="118">
        <f t="shared" si="12"/>
        <v>1000</v>
      </c>
    </row>
  </sheetData>
  <mergeCells count="11">
    <mergeCell ref="F6:G6"/>
    <mergeCell ref="C40:D40"/>
    <mergeCell ref="B1:D3"/>
    <mergeCell ref="A30:B30"/>
    <mergeCell ref="A31:B31"/>
    <mergeCell ref="A32:B32"/>
    <mergeCell ref="A33:B33"/>
    <mergeCell ref="A34:B34"/>
    <mergeCell ref="A35:B35"/>
    <mergeCell ref="A36:B36"/>
    <mergeCell ref="D25:E25"/>
  </mergeCells>
  <pageMargins left="0.7" right="0.7" top="0.75" bottom="0.75" header="0.3" footer="0.3"/>
  <pageSetup paperSize="9" orientation="portrait" r:id="rId1"/>
  <ignoredErrors>
    <ignoredError sqref="D55:E55"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67B0B-9D64-4DC5-B0E7-E7A90198A797}">
  <dimension ref="A1:H366"/>
  <sheetViews>
    <sheetView topLeftCell="A81" zoomScale="145" zoomScaleNormal="145" workbookViewId="0">
      <selection activeCell="A80" sqref="A80:D82"/>
    </sheetView>
  </sheetViews>
  <sheetFormatPr baseColWidth="10" defaultRowHeight="15" x14ac:dyDescent="0.25"/>
  <cols>
    <col min="3" max="3" width="17.42578125" customWidth="1"/>
    <col min="5" max="5" width="12.42578125" customWidth="1"/>
    <col min="7" max="7" width="11.140625" customWidth="1"/>
  </cols>
  <sheetData>
    <row r="1" spans="1:8" ht="15" customHeight="1" x14ac:dyDescent="0.25">
      <c r="A1" s="234" t="s">
        <v>8</v>
      </c>
      <c r="B1" s="234"/>
      <c r="C1" s="234"/>
      <c r="D1" s="234"/>
      <c r="E1" s="234"/>
      <c r="F1" s="234"/>
      <c r="G1" s="234"/>
      <c r="H1" s="1"/>
    </row>
    <row r="2" spans="1:8" ht="15" customHeight="1" x14ac:dyDescent="0.25">
      <c r="A2" s="234"/>
      <c r="B2" s="234"/>
      <c r="C2" s="234"/>
      <c r="D2" s="234"/>
      <c r="E2" s="234"/>
      <c r="F2" s="234"/>
      <c r="G2" s="234"/>
      <c r="H2" s="1"/>
    </row>
    <row r="3" spans="1:8" ht="15" customHeight="1" x14ac:dyDescent="0.25">
      <c r="A3" s="2"/>
      <c r="B3" s="2"/>
      <c r="C3" s="2"/>
      <c r="D3" s="2"/>
      <c r="E3" s="2"/>
      <c r="F3" s="2"/>
      <c r="G3" s="2"/>
      <c r="H3" s="2"/>
    </row>
    <row r="4" spans="1:8" ht="15" customHeight="1" x14ac:dyDescent="0.25">
      <c r="A4" s="235" t="s">
        <v>19</v>
      </c>
      <c r="B4" s="235"/>
      <c r="C4" s="235"/>
      <c r="D4" s="235"/>
      <c r="E4" s="235"/>
      <c r="F4" s="235"/>
      <c r="G4" s="235"/>
      <c r="H4" s="2"/>
    </row>
    <row r="5" spans="1:8" ht="15" customHeight="1" x14ac:dyDescent="0.25">
      <c r="A5" s="2"/>
      <c r="B5" s="2"/>
      <c r="C5" s="2"/>
      <c r="D5" s="2"/>
      <c r="E5" s="2"/>
      <c r="F5" s="2"/>
      <c r="G5" s="2"/>
      <c r="H5" s="2"/>
    </row>
    <row r="6" spans="1:8" ht="15" customHeight="1" x14ac:dyDescent="0.25">
      <c r="A6" s="2"/>
      <c r="B6" s="236" t="s">
        <v>387</v>
      </c>
      <c r="C6" s="237"/>
      <c r="D6" s="237"/>
      <c r="E6" s="237"/>
      <c r="F6" s="237"/>
      <c r="G6" s="2"/>
      <c r="H6" s="2"/>
    </row>
    <row r="7" spans="1:8" ht="15" customHeight="1" x14ac:dyDescent="0.25">
      <c r="A7" s="2"/>
      <c r="B7" s="159" t="s">
        <v>20</v>
      </c>
      <c r="C7" s="159"/>
      <c r="D7" s="159"/>
      <c r="E7" s="231">
        <f>TOTALES!B17</f>
        <v>2000</v>
      </c>
      <c r="F7" s="231"/>
      <c r="G7" s="2"/>
      <c r="H7" s="2"/>
    </row>
    <row r="8" spans="1:8" ht="15" customHeight="1" x14ac:dyDescent="0.25">
      <c r="A8" s="2"/>
      <c r="B8" s="159" t="s">
        <v>359</v>
      </c>
      <c r="C8" s="159"/>
      <c r="D8" s="159"/>
      <c r="E8" s="231">
        <f>TOTALES!B18</f>
        <v>1500</v>
      </c>
      <c r="F8" s="231"/>
      <c r="G8" s="2"/>
      <c r="H8" s="2"/>
    </row>
    <row r="9" spans="1:8" ht="15" customHeight="1" x14ac:dyDescent="0.25">
      <c r="A9" s="2"/>
      <c r="B9" s="159" t="s">
        <v>360</v>
      </c>
      <c r="C9" s="159"/>
      <c r="D9" s="159"/>
      <c r="E9" s="222">
        <f>TOTALES!B19</f>
        <v>1000</v>
      </c>
      <c r="F9" s="222"/>
      <c r="G9" s="2"/>
      <c r="H9" s="2"/>
    </row>
    <row r="10" spans="1:8" ht="15" customHeight="1" x14ac:dyDescent="0.25">
      <c r="A10" s="2"/>
      <c r="B10" s="2"/>
      <c r="C10" s="2"/>
      <c r="D10" s="2"/>
      <c r="E10" s="2"/>
      <c r="F10" s="2"/>
      <c r="G10" s="2"/>
      <c r="H10" s="2"/>
    </row>
    <row r="11" spans="1:8" x14ac:dyDescent="0.25">
      <c r="A11" t="s">
        <v>7</v>
      </c>
    </row>
    <row r="13" spans="1:8" ht="17.25" x14ac:dyDescent="0.25">
      <c r="A13" s="231" t="s">
        <v>388</v>
      </c>
      <c r="B13" s="231"/>
      <c r="C13" s="231"/>
      <c r="D13" s="46" t="s">
        <v>0</v>
      </c>
      <c r="E13" s="46" t="s">
        <v>2</v>
      </c>
    </row>
    <row r="14" spans="1:8" ht="18" x14ac:dyDescent="0.35">
      <c r="A14" s="159" t="s">
        <v>1</v>
      </c>
      <c r="B14" s="159"/>
      <c r="C14" s="159"/>
      <c r="D14" s="3">
        <v>204</v>
      </c>
      <c r="E14" s="3">
        <v>2001.24</v>
      </c>
    </row>
    <row r="15" spans="1:8" ht="18" x14ac:dyDescent="0.35">
      <c r="A15" s="159" t="s">
        <v>3</v>
      </c>
      <c r="B15" s="159"/>
      <c r="C15" s="159"/>
      <c r="D15" s="3">
        <v>176</v>
      </c>
      <c r="E15" s="3">
        <v>1726.56</v>
      </c>
    </row>
    <row r="16" spans="1:8" x14ac:dyDescent="0.25">
      <c r="A16" s="232" t="s">
        <v>5</v>
      </c>
      <c r="B16" s="232"/>
      <c r="C16" s="232"/>
      <c r="D16" s="172">
        <v>114</v>
      </c>
      <c r="E16" s="172">
        <v>1118.3399999999999</v>
      </c>
    </row>
    <row r="17" spans="1:5" ht="18" customHeight="1" x14ac:dyDescent="0.25">
      <c r="A17" s="232"/>
      <c r="B17" s="232"/>
      <c r="C17" s="232"/>
      <c r="D17" s="172"/>
      <c r="E17" s="172"/>
    </row>
    <row r="18" spans="1:5" ht="18" customHeight="1" x14ac:dyDescent="0.25">
      <c r="A18" s="232" t="s">
        <v>6</v>
      </c>
      <c r="B18" s="232"/>
      <c r="C18" s="232"/>
      <c r="D18" s="6">
        <v>8104</v>
      </c>
      <c r="E18" s="6">
        <v>79500.240000000005</v>
      </c>
    </row>
    <row r="19" spans="1:5" x14ac:dyDescent="0.25">
      <c r="A19" s="233" t="s">
        <v>4</v>
      </c>
      <c r="B19" s="233"/>
      <c r="C19" s="233"/>
      <c r="D19" s="4">
        <v>0.05</v>
      </c>
    </row>
    <row r="22" spans="1:5" x14ac:dyDescent="0.25">
      <c r="A22" t="s">
        <v>17</v>
      </c>
    </row>
    <row r="24" spans="1:5" x14ac:dyDescent="0.25">
      <c r="A24" s="217" t="s">
        <v>361</v>
      </c>
      <c r="B24" s="218"/>
      <c r="C24" s="219"/>
      <c r="D24" s="3" t="s">
        <v>9</v>
      </c>
    </row>
    <row r="25" spans="1:5" ht="18" x14ac:dyDescent="0.35">
      <c r="A25" s="159" t="s">
        <v>10</v>
      </c>
      <c r="B25" s="159"/>
      <c r="C25" s="159"/>
      <c r="D25" s="8">
        <v>105</v>
      </c>
    </row>
    <row r="26" spans="1:5" ht="18" x14ac:dyDescent="0.35">
      <c r="A26" s="159" t="s">
        <v>11</v>
      </c>
      <c r="B26" s="159"/>
      <c r="C26" s="159"/>
      <c r="D26" s="8">
        <f>D25-(2*D28)</f>
        <v>75</v>
      </c>
    </row>
    <row r="27" spans="1:5" ht="18" x14ac:dyDescent="0.35">
      <c r="A27" s="159" t="s">
        <v>12</v>
      </c>
      <c r="B27" s="159"/>
      <c r="C27" s="159"/>
      <c r="D27" s="8">
        <f>(D25+D26)/2</f>
        <v>90</v>
      </c>
    </row>
    <row r="28" spans="1:5" ht="18" x14ac:dyDescent="0.35">
      <c r="A28" s="159" t="s">
        <v>13</v>
      </c>
      <c r="B28" s="159"/>
      <c r="C28" s="159"/>
      <c r="D28" s="8">
        <v>15</v>
      </c>
    </row>
    <row r="29" spans="1:5" ht="18" x14ac:dyDescent="0.35">
      <c r="A29" s="159" t="s">
        <v>14</v>
      </c>
      <c r="B29" s="159"/>
      <c r="C29" s="159"/>
      <c r="D29" s="8">
        <v>470</v>
      </c>
    </row>
    <row r="30" spans="1:5" x14ac:dyDescent="0.25">
      <c r="A30" s="159" t="s">
        <v>40</v>
      </c>
      <c r="B30" s="159"/>
      <c r="C30" s="159"/>
      <c r="D30" s="8">
        <v>7</v>
      </c>
    </row>
    <row r="31" spans="1:5" x14ac:dyDescent="0.25">
      <c r="A31" s="159" t="s">
        <v>15</v>
      </c>
      <c r="B31" s="159"/>
      <c r="C31" s="159"/>
      <c r="D31" s="8">
        <f>D27/D28</f>
        <v>6</v>
      </c>
    </row>
    <row r="32" spans="1:5" x14ac:dyDescent="0.25">
      <c r="A32" s="159" t="s">
        <v>362</v>
      </c>
      <c r="B32" s="159"/>
      <c r="C32" s="159"/>
      <c r="D32" s="8">
        <f>((((D28/1000)^4)*E18*1000000)/(8*((D27/1000)^3)*D30))/1000</f>
        <v>98.586607142857162</v>
      </c>
    </row>
    <row r="33" spans="1:6" x14ac:dyDescent="0.25">
      <c r="A33" s="9"/>
      <c r="B33" s="9"/>
      <c r="C33" s="9"/>
    </row>
    <row r="34" spans="1:6" x14ac:dyDescent="0.25">
      <c r="A34" s="9"/>
      <c r="B34" s="210" t="s">
        <v>25</v>
      </c>
      <c r="C34" s="211"/>
      <c r="D34" s="211"/>
      <c r="E34" s="212"/>
    </row>
    <row r="35" spans="1:6" x14ac:dyDescent="0.25">
      <c r="A35" s="9"/>
      <c r="B35" s="213"/>
      <c r="C35" s="214"/>
      <c r="D35" s="214"/>
      <c r="E35" s="215"/>
    </row>
    <row r="36" spans="1:6" x14ac:dyDescent="0.25">
      <c r="A36" s="9"/>
      <c r="B36" s="9"/>
      <c r="C36" s="9"/>
    </row>
    <row r="37" spans="1:6" ht="48.75" customHeight="1" x14ac:dyDescent="0.25">
      <c r="B37" s="89" t="s">
        <v>368</v>
      </c>
      <c r="C37" s="89" t="s">
        <v>369</v>
      </c>
      <c r="D37" s="89" t="s">
        <v>363</v>
      </c>
    </row>
    <row r="38" spans="1:6" ht="24.75" customHeight="1" x14ac:dyDescent="0.25">
      <c r="B38" s="95">
        <f>PI()*((D28/1000)^3*E16*1000000)/(8*(D27/1000))</f>
        <v>16468.915913510667</v>
      </c>
      <c r="C38" s="95">
        <f>B38*2</f>
        <v>32937.831827021335</v>
      </c>
      <c r="D38" s="95">
        <f>C38/(E8*9.81)</f>
        <v>2.2383847656827274</v>
      </c>
    </row>
    <row r="39" spans="1:6" x14ac:dyDescent="0.25">
      <c r="A39" s="9"/>
      <c r="B39" s="9"/>
      <c r="C39" s="9"/>
    </row>
    <row r="40" spans="1:6" ht="15" customHeight="1" x14ac:dyDescent="0.25">
      <c r="A40" s="9"/>
      <c r="B40" s="216" t="s">
        <v>39</v>
      </c>
      <c r="C40" s="216"/>
      <c r="D40" s="216"/>
      <c r="E40" s="216"/>
      <c r="F40" s="216"/>
    </row>
    <row r="41" spans="1:6" x14ac:dyDescent="0.25">
      <c r="A41" s="9"/>
      <c r="B41" s="216"/>
      <c r="C41" s="216"/>
      <c r="D41" s="216"/>
      <c r="E41" s="216"/>
      <c r="F41" s="216"/>
    </row>
    <row r="42" spans="1:6" x14ac:dyDescent="0.25">
      <c r="A42" s="9"/>
      <c r="B42" s="9"/>
      <c r="C42" s="9"/>
    </row>
    <row r="43" spans="1:6" ht="76.5" customHeight="1" x14ac:dyDescent="0.25">
      <c r="A43" s="9"/>
      <c r="B43" s="89" t="s">
        <v>370</v>
      </c>
      <c r="C43" s="89" t="s">
        <v>371</v>
      </c>
      <c r="D43" s="88" t="s">
        <v>372</v>
      </c>
      <c r="E43" s="88" t="s">
        <v>373</v>
      </c>
      <c r="F43" s="89" t="s">
        <v>365</v>
      </c>
    </row>
    <row r="44" spans="1:6" x14ac:dyDescent="0.25">
      <c r="A44" s="9"/>
      <c r="B44" s="209">
        <f>D30*D28</f>
        <v>105</v>
      </c>
      <c r="C44" s="209">
        <f>D29-B44</f>
        <v>365</v>
      </c>
      <c r="D44" s="209">
        <f>((C44/1000)*E18*1000000*((D28/1000)^4))/(64*D30*((D27/1000)/2)^3)</f>
        <v>35984.111607142862</v>
      </c>
      <c r="E44" s="209">
        <f>2*D44</f>
        <v>71968.223214285725</v>
      </c>
      <c r="F44" s="209">
        <f>E44/(E8*9.81)</f>
        <v>4.8908068783068792</v>
      </c>
    </row>
    <row r="45" spans="1:6" x14ac:dyDescent="0.25">
      <c r="A45" s="9"/>
      <c r="B45" s="209"/>
      <c r="C45" s="209"/>
      <c r="D45" s="209"/>
      <c r="E45" s="209"/>
      <c r="F45" s="209"/>
    </row>
    <row r="46" spans="1:6" x14ac:dyDescent="0.25">
      <c r="A46" s="9"/>
      <c r="B46" s="9"/>
      <c r="C46" s="9"/>
    </row>
    <row r="47" spans="1:6" x14ac:dyDescent="0.25">
      <c r="A47" s="9"/>
      <c r="B47" s="9"/>
      <c r="C47" s="9"/>
    </row>
    <row r="48" spans="1:6" ht="63" x14ac:dyDescent="0.25">
      <c r="A48" s="89" t="s">
        <v>367</v>
      </c>
      <c r="B48" s="89" t="s">
        <v>366</v>
      </c>
      <c r="C48" s="89" t="s">
        <v>374</v>
      </c>
      <c r="D48" s="89" t="s">
        <v>364</v>
      </c>
    </row>
    <row r="49" spans="1:4" x14ac:dyDescent="0.25">
      <c r="A49" s="209">
        <f>(E8*9.81)/2</f>
        <v>7357.5</v>
      </c>
      <c r="B49" s="209">
        <f>((4*D31)+2)/((4*D31)-3)</f>
        <v>1.2380952380952381</v>
      </c>
      <c r="C49" s="209">
        <f>(B49*8*A49*D27)/(PI()*(D28)^3)</f>
        <v>618.57614910504867</v>
      </c>
      <c r="D49" s="209">
        <f>E16/C49</f>
        <v>1.807926156897588</v>
      </c>
    </row>
    <row r="50" spans="1:4" x14ac:dyDescent="0.25">
      <c r="A50" s="209"/>
      <c r="B50" s="209"/>
      <c r="C50" s="209"/>
      <c r="D50" s="209"/>
    </row>
    <row r="51" spans="1:4" x14ac:dyDescent="0.25">
      <c r="A51" s="9"/>
      <c r="B51" s="9"/>
      <c r="C51" s="9"/>
    </row>
    <row r="52" spans="1:4" x14ac:dyDescent="0.25">
      <c r="A52" s="9"/>
      <c r="B52" s="9"/>
      <c r="C52" s="9"/>
    </row>
    <row r="53" spans="1:4" x14ac:dyDescent="0.25">
      <c r="A53" s="9"/>
      <c r="B53" s="9"/>
      <c r="C53" s="9"/>
    </row>
    <row r="54" spans="1:4" x14ac:dyDescent="0.25">
      <c r="A54" t="s">
        <v>375</v>
      </c>
    </row>
    <row r="56" spans="1:4" x14ac:dyDescent="0.25">
      <c r="A56" s="217" t="s">
        <v>389</v>
      </c>
      <c r="B56" s="218"/>
      <c r="C56" s="219"/>
      <c r="D56" s="3" t="s">
        <v>9</v>
      </c>
    </row>
    <row r="57" spans="1:4" ht="18" x14ac:dyDescent="0.35">
      <c r="A57" s="159" t="s">
        <v>10</v>
      </c>
      <c r="B57" s="159"/>
      <c r="C57" s="159"/>
      <c r="D57" s="8">
        <v>106</v>
      </c>
    </row>
    <row r="58" spans="1:4" ht="18" x14ac:dyDescent="0.35">
      <c r="A58" s="159" t="s">
        <v>11</v>
      </c>
      <c r="B58" s="159"/>
      <c r="C58" s="159"/>
      <c r="D58" s="8">
        <f>D57-(2*D60)</f>
        <v>68</v>
      </c>
    </row>
    <row r="59" spans="1:4" ht="18" x14ac:dyDescent="0.35">
      <c r="A59" s="159" t="s">
        <v>12</v>
      </c>
      <c r="B59" s="159"/>
      <c r="C59" s="159"/>
      <c r="D59" s="8">
        <f>(D57+D58)/2</f>
        <v>87</v>
      </c>
    </row>
    <row r="60" spans="1:4" ht="18" x14ac:dyDescent="0.35">
      <c r="A60" s="159" t="s">
        <v>13</v>
      </c>
      <c r="B60" s="159"/>
      <c r="C60" s="159"/>
      <c r="D60" s="8">
        <v>19</v>
      </c>
    </row>
    <row r="61" spans="1:4" ht="18" x14ac:dyDescent="0.35">
      <c r="A61" s="159" t="s">
        <v>14</v>
      </c>
      <c r="B61" s="159"/>
      <c r="C61" s="159"/>
      <c r="D61" s="8">
        <v>465</v>
      </c>
    </row>
    <row r="62" spans="1:4" x14ac:dyDescent="0.25">
      <c r="A62" s="159" t="s">
        <v>40</v>
      </c>
      <c r="B62" s="159"/>
      <c r="C62" s="159"/>
      <c r="D62" s="8">
        <v>8</v>
      </c>
    </row>
    <row r="63" spans="1:4" x14ac:dyDescent="0.25">
      <c r="A63" s="159" t="s">
        <v>15</v>
      </c>
      <c r="B63" s="159"/>
      <c r="C63" s="159"/>
      <c r="D63" s="8">
        <f>D59/D60</f>
        <v>4.5789473684210522</v>
      </c>
    </row>
    <row r="64" spans="1:4" x14ac:dyDescent="0.25">
      <c r="A64" s="159" t="s">
        <v>362</v>
      </c>
      <c r="B64" s="159"/>
      <c r="C64" s="159"/>
      <c r="D64" s="8">
        <f>((((D60/1000)^4)*E18*1000000)/(8*((D59/1000)^3)*D62))/1000</f>
        <v>245.83579101575853</v>
      </c>
    </row>
    <row r="65" spans="1:6" x14ac:dyDescent="0.25">
      <c r="A65" s="9"/>
      <c r="B65" s="9"/>
      <c r="C65" s="9"/>
    </row>
    <row r="66" spans="1:6" x14ac:dyDescent="0.25">
      <c r="A66" s="9"/>
      <c r="B66" s="210" t="s">
        <v>25</v>
      </c>
      <c r="C66" s="211"/>
      <c r="D66" s="211"/>
      <c r="E66" s="212"/>
    </row>
    <row r="67" spans="1:6" x14ac:dyDescent="0.25">
      <c r="A67" s="9"/>
      <c r="B67" s="213"/>
      <c r="C67" s="214"/>
      <c r="D67" s="214"/>
      <c r="E67" s="215"/>
    </row>
    <row r="68" spans="1:6" x14ac:dyDescent="0.25">
      <c r="A68" s="9"/>
      <c r="B68" s="9"/>
      <c r="C68" s="9"/>
    </row>
    <row r="69" spans="1:6" ht="48.75" customHeight="1" x14ac:dyDescent="0.25">
      <c r="B69" s="89" t="s">
        <v>368</v>
      </c>
      <c r="C69" s="89" t="s">
        <v>369</v>
      </c>
      <c r="D69" s="89" t="s">
        <v>363</v>
      </c>
    </row>
    <row r="70" spans="1:6" ht="24.75" customHeight="1" x14ac:dyDescent="0.25">
      <c r="B70" s="95">
        <f>PI()*((D60/1000)^3*E16*1000000)/(8*(D59/1000))</f>
        <v>34623.84498107883</v>
      </c>
      <c r="C70" s="95">
        <f>B70*2</f>
        <v>69247.689962157659</v>
      </c>
      <c r="D70" s="95">
        <f>C70/(E9*9.81)</f>
        <v>7.0588878656633698</v>
      </c>
    </row>
    <row r="71" spans="1:6" x14ac:dyDescent="0.25">
      <c r="A71" s="9"/>
      <c r="B71" s="9"/>
      <c r="C71" s="9"/>
    </row>
    <row r="72" spans="1:6" ht="15" customHeight="1" x14ac:dyDescent="0.25">
      <c r="A72" s="9"/>
      <c r="B72" s="216" t="s">
        <v>39</v>
      </c>
      <c r="C72" s="216"/>
      <c r="D72" s="216"/>
      <c r="E72" s="216"/>
      <c r="F72" s="216"/>
    </row>
    <row r="73" spans="1:6" x14ac:dyDescent="0.25">
      <c r="A73" s="9"/>
      <c r="B73" s="216"/>
      <c r="C73" s="216"/>
      <c r="D73" s="216"/>
      <c r="E73" s="216"/>
      <c r="F73" s="216"/>
    </row>
    <row r="74" spans="1:6" x14ac:dyDescent="0.25">
      <c r="A74" s="9"/>
      <c r="B74" s="9"/>
      <c r="C74" s="9"/>
    </row>
    <row r="75" spans="1:6" ht="76.5" customHeight="1" x14ac:dyDescent="0.25">
      <c r="A75" s="9"/>
      <c r="B75" s="89" t="s">
        <v>370</v>
      </c>
      <c r="C75" s="89" t="s">
        <v>371</v>
      </c>
      <c r="D75" s="88" t="s">
        <v>372</v>
      </c>
      <c r="E75" s="88" t="s">
        <v>373</v>
      </c>
      <c r="F75" s="89" t="s">
        <v>365</v>
      </c>
    </row>
    <row r="76" spans="1:6" x14ac:dyDescent="0.25">
      <c r="A76" s="9"/>
      <c r="B76" s="209">
        <f>D62*D60</f>
        <v>152</v>
      </c>
      <c r="C76" s="209">
        <f>D61-B76</f>
        <v>313</v>
      </c>
      <c r="D76" s="209">
        <f>((C76/1000)*E18*1000000*((D60/1000)^4))/(64*D62*((D59/1000)/2)^3)</f>
        <v>76946.602587932415</v>
      </c>
      <c r="E76" s="209">
        <f>2*D76</f>
        <v>153893.20517586483</v>
      </c>
      <c r="F76" s="209">
        <f>E76/(E9*9.81)</f>
        <v>15.687380751872052</v>
      </c>
    </row>
    <row r="77" spans="1:6" x14ac:dyDescent="0.25">
      <c r="A77" s="9"/>
      <c r="B77" s="209"/>
      <c r="C77" s="209"/>
      <c r="D77" s="209"/>
      <c r="E77" s="209"/>
      <c r="F77" s="209"/>
    </row>
    <row r="78" spans="1:6" x14ac:dyDescent="0.25">
      <c r="A78" s="9"/>
      <c r="B78" s="9"/>
      <c r="C78" s="9"/>
    </row>
    <row r="79" spans="1:6" x14ac:dyDescent="0.25">
      <c r="A79" s="9"/>
      <c r="B79" s="9"/>
      <c r="C79" s="9"/>
    </row>
    <row r="80" spans="1:6" ht="63" x14ac:dyDescent="0.25">
      <c r="A80" s="89" t="s">
        <v>367</v>
      </c>
      <c r="B80" s="89" t="s">
        <v>366</v>
      </c>
      <c r="C80" s="89" t="s">
        <v>374</v>
      </c>
      <c r="D80" s="89" t="s">
        <v>364</v>
      </c>
    </row>
    <row r="81" spans="1:5" x14ac:dyDescent="0.25">
      <c r="A81" s="209">
        <f>(E9*9.81)/2</f>
        <v>4905</v>
      </c>
      <c r="B81" s="209">
        <f>((4*D63)+2)/((4*D63)-3)</f>
        <v>1.3264604810996563</v>
      </c>
      <c r="C81" s="209">
        <f>(B81*8*A81*D59)/(PI()*(D60)^3)</f>
        <v>210.15120832969652</v>
      </c>
      <c r="D81" s="209">
        <f>E16/C81</f>
        <v>5.3215968106425917</v>
      </c>
    </row>
    <row r="82" spans="1:5" x14ac:dyDescent="0.25">
      <c r="A82" s="209"/>
      <c r="B82" s="209"/>
      <c r="C82" s="209"/>
      <c r="D82" s="209"/>
    </row>
    <row r="83" spans="1:5" x14ac:dyDescent="0.25">
      <c r="A83" s="9"/>
      <c r="B83" s="9"/>
      <c r="C83" s="9"/>
    </row>
    <row r="84" spans="1:5" x14ac:dyDescent="0.25">
      <c r="A84" s="9"/>
      <c r="B84" s="9"/>
      <c r="C84" s="9"/>
    </row>
    <row r="87" spans="1:5" x14ac:dyDescent="0.25">
      <c r="B87" s="172" t="s">
        <v>21</v>
      </c>
      <c r="C87" s="172"/>
      <c r="D87" s="172"/>
      <c r="E87" s="172"/>
    </row>
    <row r="88" spans="1:5" x14ac:dyDescent="0.25">
      <c r="B88" s="172"/>
      <c r="C88" s="172"/>
      <c r="D88" s="172"/>
      <c r="E88" s="172"/>
    </row>
    <row r="128" spans="2:5" ht="21" x14ac:dyDescent="0.3">
      <c r="B128" s="226" t="s">
        <v>22</v>
      </c>
      <c r="C128" s="227" t="s">
        <v>23</v>
      </c>
      <c r="D128" s="227"/>
      <c r="E128" s="11"/>
    </row>
    <row r="129" spans="2:6" ht="21" x14ac:dyDescent="0.3">
      <c r="B129" s="226"/>
      <c r="C129" s="228" t="s">
        <v>24</v>
      </c>
      <c r="D129" s="228"/>
      <c r="E129" s="11"/>
    </row>
    <row r="132" spans="2:6" ht="18.75" x14ac:dyDescent="0.3">
      <c r="B132" s="12" t="s">
        <v>22</v>
      </c>
      <c r="C132" s="229">
        <f>((((D28/1000)^4)*E18*1000000)/(8*((D27/1000)^3)*D30))/1000</f>
        <v>98.586607142857162</v>
      </c>
      <c r="D132" s="229"/>
      <c r="E132" s="229"/>
      <c r="F132" s="7" t="s">
        <v>16</v>
      </c>
    </row>
    <row r="134" spans="2:6" ht="18.75" x14ac:dyDescent="0.3">
      <c r="C134" s="230"/>
      <c r="D134" s="230"/>
      <c r="E134" s="230"/>
    </row>
    <row r="135" spans="2:6" x14ac:dyDescent="0.25">
      <c r="B135" s="210" t="s">
        <v>25</v>
      </c>
      <c r="C135" s="211"/>
      <c r="D135" s="211"/>
      <c r="E135" s="212"/>
    </row>
    <row r="136" spans="2:6" x14ac:dyDescent="0.25">
      <c r="B136" s="213"/>
      <c r="C136" s="214"/>
      <c r="D136" s="214"/>
      <c r="E136" s="215"/>
    </row>
    <row r="153" spans="2:4" ht="17.25" x14ac:dyDescent="0.25">
      <c r="B153" s="220" t="s">
        <v>30</v>
      </c>
      <c r="C153" s="223" t="s">
        <v>27</v>
      </c>
      <c r="D153" s="223"/>
    </row>
    <row r="154" spans="2:4" x14ac:dyDescent="0.25">
      <c r="B154" s="220"/>
      <c r="C154" s="224" t="s">
        <v>28</v>
      </c>
      <c r="D154" s="224"/>
    </row>
    <row r="157" spans="2:4" x14ac:dyDescent="0.25">
      <c r="B157" s="12" t="s">
        <v>30</v>
      </c>
      <c r="C157" s="16">
        <f>PI()*((D28/1000)^3*E16*1000000)/(8*(D27/1000))</f>
        <v>16468.915913510667</v>
      </c>
      <c r="D157" s="7" t="s">
        <v>29</v>
      </c>
    </row>
    <row r="164" spans="2:4" x14ac:dyDescent="0.25">
      <c r="B164" s="17" t="s">
        <v>26</v>
      </c>
      <c r="C164" s="18" t="s">
        <v>31</v>
      </c>
    </row>
    <row r="166" spans="2:4" x14ac:dyDescent="0.25">
      <c r="B166" s="12" t="s">
        <v>26</v>
      </c>
      <c r="C166" s="21">
        <f>C157*2</f>
        <v>32937.831827021335</v>
      </c>
      <c r="D166" s="7" t="s">
        <v>29</v>
      </c>
    </row>
    <row r="184" spans="1:5" x14ac:dyDescent="0.25">
      <c r="C184" s="220" t="s">
        <v>32</v>
      </c>
      <c r="D184" s="19">
        <f>C166</f>
        <v>32937.831827021335</v>
      </c>
    </row>
    <row r="185" spans="1:5" x14ac:dyDescent="0.25">
      <c r="C185" s="220"/>
      <c r="D185" s="13" t="s">
        <v>33</v>
      </c>
    </row>
    <row r="187" spans="1:5" x14ac:dyDescent="0.25">
      <c r="C187" s="15" t="s">
        <v>32</v>
      </c>
      <c r="D187" s="10">
        <f>C166/(E8*9.81)</f>
        <v>2.2383847656827274</v>
      </c>
      <c r="E187" s="14" t="s">
        <v>34</v>
      </c>
    </row>
    <row r="189" spans="1:5" x14ac:dyDescent="0.25">
      <c r="A189" s="13" t="s">
        <v>35</v>
      </c>
      <c r="B189" t="s">
        <v>38</v>
      </c>
    </row>
    <row r="190" spans="1:5" x14ac:dyDescent="0.25">
      <c r="A190" s="13" t="s">
        <v>36</v>
      </c>
      <c r="B190" t="s">
        <v>37</v>
      </c>
    </row>
    <row r="198" spans="1:5" x14ac:dyDescent="0.25">
      <c r="B198" s="210" t="s">
        <v>39</v>
      </c>
      <c r="C198" s="211"/>
      <c r="D198" s="211"/>
      <c r="E198" s="212"/>
    </row>
    <row r="199" spans="1:5" x14ac:dyDescent="0.25">
      <c r="B199" s="213"/>
      <c r="C199" s="214"/>
      <c r="D199" s="214"/>
      <c r="E199" s="215"/>
    </row>
    <row r="208" spans="1:5" x14ac:dyDescent="0.25">
      <c r="A208" t="s">
        <v>41</v>
      </c>
    </row>
    <row r="209" spans="1:5" x14ac:dyDescent="0.25">
      <c r="A209" t="s">
        <v>42</v>
      </c>
      <c r="D209" t="s">
        <v>44</v>
      </c>
    </row>
    <row r="210" spans="1:5" x14ac:dyDescent="0.25">
      <c r="A210" t="s">
        <v>43</v>
      </c>
    </row>
    <row r="212" spans="1:5" x14ac:dyDescent="0.25">
      <c r="C212" s="12" t="s">
        <v>45</v>
      </c>
      <c r="D212" s="20">
        <f>D30*D28</f>
        <v>105</v>
      </c>
      <c r="E212" s="7" t="s">
        <v>9</v>
      </c>
    </row>
    <row r="218" spans="1:5" x14ac:dyDescent="0.25">
      <c r="C218" t="s">
        <v>46</v>
      </c>
    </row>
    <row r="220" spans="1:5" x14ac:dyDescent="0.25">
      <c r="C220" s="12" t="s">
        <v>47</v>
      </c>
      <c r="D220" s="21">
        <f>D29-D212</f>
        <v>365</v>
      </c>
      <c r="E220" s="7" t="s">
        <v>9</v>
      </c>
    </row>
    <row r="235" spans="2:5" ht="17.25" x14ac:dyDescent="0.25">
      <c r="B235" s="220" t="s">
        <v>48</v>
      </c>
      <c r="C235" s="225" t="s">
        <v>49</v>
      </c>
      <c r="D235" s="225"/>
      <c r="E235" s="225"/>
    </row>
    <row r="236" spans="2:5" ht="17.25" x14ac:dyDescent="0.25">
      <c r="B236" s="220"/>
      <c r="C236" s="160" t="s">
        <v>50</v>
      </c>
      <c r="D236" s="160"/>
      <c r="E236" s="160"/>
    </row>
    <row r="238" spans="2:5" x14ac:dyDescent="0.25">
      <c r="C238" s="12" t="s">
        <v>48</v>
      </c>
      <c r="D238" s="21">
        <f>((D220/1000)*E18*1000000*((D28/1000)^4))/(64*D30*((D27/1000)/2)^3)</f>
        <v>35984.111607142862</v>
      </c>
      <c r="E238" s="7" t="s">
        <v>29</v>
      </c>
    </row>
    <row r="244" spans="3:5" x14ac:dyDescent="0.25">
      <c r="C244" t="s">
        <v>53</v>
      </c>
    </row>
    <row r="246" spans="3:5" x14ac:dyDescent="0.25">
      <c r="C246" s="12" t="s">
        <v>51</v>
      </c>
      <c r="D246" s="21">
        <f>2*D238</f>
        <v>71968.223214285725</v>
      </c>
      <c r="E246" s="7" t="s">
        <v>29</v>
      </c>
    </row>
    <row r="262" spans="1:5" x14ac:dyDescent="0.25">
      <c r="C262" s="220" t="s">
        <v>52</v>
      </c>
      <c r="D262" s="221">
        <f>D246</f>
        <v>71968.223214285725</v>
      </c>
      <c r="E262" s="221"/>
    </row>
    <row r="263" spans="1:5" x14ac:dyDescent="0.25">
      <c r="C263" s="220"/>
      <c r="D263" s="160" t="str">
        <f>D185</f>
        <v>1135*9,81</v>
      </c>
      <c r="E263" s="160"/>
    </row>
    <row r="265" spans="1:5" x14ac:dyDescent="0.25">
      <c r="C265" s="15" t="s">
        <v>52</v>
      </c>
      <c r="D265" s="10">
        <f>D246/(E8*9.81)</f>
        <v>4.8908068783068792</v>
      </c>
    </row>
    <row r="267" spans="1:5" x14ac:dyDescent="0.25">
      <c r="C267" s="15" t="s">
        <v>32</v>
      </c>
      <c r="D267" s="10">
        <f>D265</f>
        <v>4.8908068783068792</v>
      </c>
      <c r="E267" t="str">
        <f>E187</f>
        <v>≥ 1</v>
      </c>
    </row>
    <row r="269" spans="1:5" x14ac:dyDescent="0.25">
      <c r="A269" s="13" t="s">
        <v>35</v>
      </c>
      <c r="B269" t="s">
        <v>38</v>
      </c>
    </row>
    <row r="270" spans="1:5" x14ac:dyDescent="0.25">
      <c r="A270" s="13" t="s">
        <v>36</v>
      </c>
      <c r="B270" t="s">
        <v>37</v>
      </c>
    </row>
    <row r="285" spans="3:4" ht="15" customHeight="1" x14ac:dyDescent="0.25">
      <c r="C285" s="34"/>
      <c r="D285" s="13"/>
    </row>
    <row r="286" spans="3:4" x14ac:dyDescent="0.25">
      <c r="C286" s="34"/>
      <c r="D286" s="13"/>
    </row>
    <row r="288" spans="3:4" ht="15.75" thickBot="1" x14ac:dyDescent="0.3">
      <c r="C288" s="15"/>
      <c r="D288" s="10"/>
    </row>
    <row r="289" spans="3:6" ht="15.75" thickBot="1" x14ac:dyDescent="0.3">
      <c r="C289" s="39" t="s">
        <v>156</v>
      </c>
      <c r="D289" s="40">
        <f>(E8*9.81)/2</f>
        <v>7357.5</v>
      </c>
      <c r="E289" s="41" t="s">
        <v>29</v>
      </c>
    </row>
    <row r="291" spans="3:6" x14ac:dyDescent="0.25">
      <c r="C291" s="34"/>
      <c r="D291" s="34"/>
    </row>
    <row r="292" spans="3:6" x14ac:dyDescent="0.25">
      <c r="C292" s="34"/>
      <c r="D292" s="34"/>
      <c r="E292" s="35"/>
      <c r="F292" s="35"/>
    </row>
    <row r="294" spans="3:6" x14ac:dyDescent="0.25">
      <c r="C294" s="36"/>
      <c r="D294" s="37"/>
      <c r="E294" s="38"/>
    </row>
    <row r="303" spans="3:6" ht="15.75" thickBot="1" x14ac:dyDescent="0.3"/>
    <row r="304" spans="3:6" ht="15.75" thickBot="1" x14ac:dyDescent="0.3">
      <c r="C304" s="39" t="s">
        <v>157</v>
      </c>
      <c r="D304" s="42">
        <f>((4*D31)+2)/((4*D31)-3)</f>
        <v>1.2380952380952381</v>
      </c>
    </row>
    <row r="307" spans="3:5" ht="15.75" thickBot="1" x14ac:dyDescent="0.3"/>
    <row r="308" spans="3:5" ht="15.75" thickBot="1" x14ac:dyDescent="0.3">
      <c r="C308" s="39" t="s">
        <v>54</v>
      </c>
      <c r="D308" s="43">
        <f>(D304*8*D289*D27)/(PI()*(D28)^3)</f>
        <v>618.57614910504867</v>
      </c>
      <c r="E308" s="41" t="s">
        <v>2</v>
      </c>
    </row>
    <row r="312" spans="3:5" x14ac:dyDescent="0.25">
      <c r="C312" s="34"/>
      <c r="D312" s="13"/>
    </row>
    <row r="313" spans="3:5" x14ac:dyDescent="0.25">
      <c r="C313" s="34"/>
      <c r="D313" s="10"/>
    </row>
    <row r="314" spans="3:5" x14ac:dyDescent="0.25">
      <c r="C314" s="34"/>
      <c r="D314" s="10"/>
    </row>
    <row r="315" spans="3:5" x14ac:dyDescent="0.25">
      <c r="C315" s="34"/>
      <c r="D315" s="10"/>
    </row>
    <row r="316" spans="3:5" x14ac:dyDescent="0.25">
      <c r="C316" s="34"/>
      <c r="D316" s="10"/>
    </row>
    <row r="317" spans="3:5" ht="15.75" thickBot="1" x14ac:dyDescent="0.3">
      <c r="C317" s="34"/>
      <c r="D317" s="10"/>
    </row>
    <row r="318" spans="3:5" ht="15.75" thickBot="1" x14ac:dyDescent="0.3">
      <c r="C318" s="44" t="s">
        <v>55</v>
      </c>
      <c r="D318" s="42">
        <f>E16/D308</f>
        <v>1.807926156897588</v>
      </c>
    </row>
    <row r="319" spans="3:5" x14ac:dyDescent="0.25">
      <c r="C319" s="34"/>
      <c r="D319" s="10"/>
    </row>
    <row r="321" spans="1:5" x14ac:dyDescent="0.25">
      <c r="C321" s="15" t="s">
        <v>55</v>
      </c>
      <c r="D321" s="10">
        <f>D318</f>
        <v>1.807926156897588</v>
      </c>
      <c r="E321" s="14" t="s">
        <v>34</v>
      </c>
    </row>
    <row r="323" spans="1:5" x14ac:dyDescent="0.25">
      <c r="A323" s="13" t="s">
        <v>35</v>
      </c>
      <c r="B323" t="s">
        <v>38</v>
      </c>
    </row>
    <row r="324" spans="1:5" x14ac:dyDescent="0.25">
      <c r="A324" s="13" t="s">
        <v>36</v>
      </c>
      <c r="B324" t="s">
        <v>37</v>
      </c>
    </row>
    <row r="343" spans="2:6" x14ac:dyDescent="0.25">
      <c r="E343" s="15" t="s">
        <v>56</v>
      </c>
      <c r="F343" t="s">
        <v>57</v>
      </c>
    </row>
    <row r="345" spans="2:6" x14ac:dyDescent="0.25">
      <c r="B345" s="15" t="s">
        <v>56</v>
      </c>
      <c r="C345" s="20">
        <f>E8-(2*35)</f>
        <v>1430</v>
      </c>
      <c r="D345" s="7" t="s">
        <v>58</v>
      </c>
    </row>
    <row r="347" spans="2:6" x14ac:dyDescent="0.25">
      <c r="D347" t="s">
        <v>59</v>
      </c>
    </row>
    <row r="350" spans="2:6" x14ac:dyDescent="0.25">
      <c r="C350" s="21">
        <f>2*(SQRT((D32*1000)*C345))</f>
        <v>23746.902805569043</v>
      </c>
      <c r="D350" s="7" t="s">
        <v>60</v>
      </c>
    </row>
    <row r="359" spans="1:2" x14ac:dyDescent="0.25">
      <c r="A359" t="s">
        <v>61</v>
      </c>
    </row>
    <row r="361" spans="1:2" x14ac:dyDescent="0.25">
      <c r="B361" s="3" t="s">
        <v>62</v>
      </c>
    </row>
    <row r="362" spans="1:2" ht="18" x14ac:dyDescent="0.35">
      <c r="A362" s="22" t="s">
        <v>63</v>
      </c>
      <c r="B362" s="22"/>
    </row>
    <row r="363" spans="1:2" ht="18" x14ac:dyDescent="0.35">
      <c r="A363" s="22" t="s">
        <v>64</v>
      </c>
      <c r="B363" s="22"/>
    </row>
    <row r="365" spans="1:2" ht="18" x14ac:dyDescent="0.35">
      <c r="A365" t="s">
        <v>65</v>
      </c>
    </row>
    <row r="366" spans="1:2" ht="18" x14ac:dyDescent="0.35">
      <c r="A366" t="s">
        <v>66</v>
      </c>
    </row>
  </sheetData>
  <mergeCells count="75">
    <mergeCell ref="D16:D17"/>
    <mergeCell ref="E16:E17"/>
    <mergeCell ref="A1:G2"/>
    <mergeCell ref="A4:G4"/>
    <mergeCell ref="B6:F6"/>
    <mergeCell ref="B7:D7"/>
    <mergeCell ref="E7:F7"/>
    <mergeCell ref="B8:D8"/>
    <mergeCell ref="E8:F8"/>
    <mergeCell ref="A27:C27"/>
    <mergeCell ref="A13:C13"/>
    <mergeCell ref="A14:C14"/>
    <mergeCell ref="A15:C15"/>
    <mergeCell ref="A16:C17"/>
    <mergeCell ref="A18:C18"/>
    <mergeCell ref="A19:C19"/>
    <mergeCell ref="A24:C24"/>
    <mergeCell ref="A25:C25"/>
    <mergeCell ref="A26:C26"/>
    <mergeCell ref="B87:E88"/>
    <mergeCell ref="B40:F41"/>
    <mergeCell ref="B44:B45"/>
    <mergeCell ref="C44:C45"/>
    <mergeCell ref="B49:B50"/>
    <mergeCell ref="F44:F45"/>
    <mergeCell ref="C49:C50"/>
    <mergeCell ref="D49:D50"/>
    <mergeCell ref="D44:D45"/>
    <mergeCell ref="E44:E45"/>
    <mergeCell ref="A28:C28"/>
    <mergeCell ref="A29:C29"/>
    <mergeCell ref="A30:C30"/>
    <mergeCell ref="A31:C31"/>
    <mergeCell ref="A32:C32"/>
    <mergeCell ref="C128:D128"/>
    <mergeCell ref="C129:D129"/>
    <mergeCell ref="C132:E132"/>
    <mergeCell ref="C134:E134"/>
    <mergeCell ref="B135:E136"/>
    <mergeCell ref="C262:C263"/>
    <mergeCell ref="D262:E262"/>
    <mergeCell ref="D263:E263"/>
    <mergeCell ref="B9:D9"/>
    <mergeCell ref="E9:F9"/>
    <mergeCell ref="B34:E35"/>
    <mergeCell ref="B153:B154"/>
    <mergeCell ref="C153:D153"/>
    <mergeCell ref="C154:D154"/>
    <mergeCell ref="C184:C185"/>
    <mergeCell ref="B198:E199"/>
    <mergeCell ref="B235:B236"/>
    <mergeCell ref="C235:E235"/>
    <mergeCell ref="C236:E236"/>
    <mergeCell ref="B128:B129"/>
    <mergeCell ref="A60:C60"/>
    <mergeCell ref="A49:A50"/>
    <mergeCell ref="A56:C56"/>
    <mergeCell ref="A57:C57"/>
    <mergeCell ref="A58:C58"/>
    <mergeCell ref="A59:C59"/>
    <mergeCell ref="A81:A82"/>
    <mergeCell ref="B81:B82"/>
    <mergeCell ref="C81:C82"/>
    <mergeCell ref="D81:D82"/>
    <mergeCell ref="A61:C61"/>
    <mergeCell ref="A62:C62"/>
    <mergeCell ref="A63:C63"/>
    <mergeCell ref="A64:C64"/>
    <mergeCell ref="B66:E67"/>
    <mergeCell ref="B72:F73"/>
    <mergeCell ref="B76:B77"/>
    <mergeCell ref="C76:C77"/>
    <mergeCell ref="D76:D77"/>
    <mergeCell ref="E76:E77"/>
    <mergeCell ref="F76:F77"/>
  </mergeCells>
  <conditionalFormatting sqref="D38">
    <cfRule type="cellIs" dxfId="123" priority="11" operator="lessThan">
      <formula>1</formula>
    </cfRule>
    <cfRule type="cellIs" dxfId="122" priority="12" operator="greaterThan">
      <formula>1</formula>
    </cfRule>
  </conditionalFormatting>
  <conditionalFormatting sqref="D49:D50">
    <cfRule type="cellIs" dxfId="121" priority="7" operator="lessThan">
      <formula>1</formula>
    </cfRule>
    <cfRule type="cellIs" dxfId="120" priority="8" operator="greaterThan">
      <formula>1</formula>
    </cfRule>
  </conditionalFormatting>
  <conditionalFormatting sqref="D70">
    <cfRule type="cellIs" dxfId="119" priority="5" operator="lessThan">
      <formula>1</formula>
    </cfRule>
    <cfRule type="cellIs" dxfId="118" priority="6" operator="greaterThan">
      <formula>1</formula>
    </cfRule>
  </conditionalFormatting>
  <conditionalFormatting sqref="D81:D82">
    <cfRule type="cellIs" dxfId="117" priority="1" operator="lessThan">
      <formula>1</formula>
    </cfRule>
    <cfRule type="cellIs" dxfId="116" priority="2" operator="greaterThan">
      <formula>1</formula>
    </cfRule>
  </conditionalFormatting>
  <conditionalFormatting sqref="D187">
    <cfRule type="cellIs" dxfId="115" priority="19" operator="equal">
      <formula>1</formula>
    </cfRule>
    <cfRule type="cellIs" dxfId="114" priority="21" operator="lessThan">
      <formula>1</formula>
    </cfRule>
    <cfRule type="cellIs" dxfId="113" priority="22" operator="greaterThan">
      <formula>1</formula>
    </cfRule>
  </conditionalFormatting>
  <conditionalFormatting sqref="D267">
    <cfRule type="cellIs" dxfId="112" priority="16" operator="lessThan">
      <formula>1</formula>
    </cfRule>
    <cfRule type="cellIs" dxfId="111" priority="17" operator="equal">
      <formula>1</formula>
    </cfRule>
    <cfRule type="cellIs" dxfId="110" priority="18" operator="greaterThan">
      <formula>1</formula>
    </cfRule>
  </conditionalFormatting>
  <conditionalFormatting sqref="D321">
    <cfRule type="cellIs" dxfId="109" priority="13" operator="equal">
      <formula>1</formula>
    </cfRule>
    <cfRule type="cellIs" dxfId="108" priority="14" operator="lessThan">
      <formula>1</formula>
    </cfRule>
    <cfRule type="cellIs" dxfId="107" priority="15" operator="greaterThan">
      <formula>1</formula>
    </cfRule>
  </conditionalFormatting>
  <conditionalFormatting sqref="F44:F45">
    <cfRule type="cellIs" dxfId="106" priority="9" operator="lessThan">
      <formula>1</formula>
    </cfRule>
    <cfRule type="cellIs" dxfId="105" priority="10" operator="greaterThan">
      <formula>1</formula>
    </cfRule>
  </conditionalFormatting>
  <conditionalFormatting sqref="F76:F77">
    <cfRule type="cellIs" dxfId="104" priority="3" operator="lessThan">
      <formula>1</formula>
    </cfRule>
    <cfRule type="cellIs" dxfId="103" priority="4" operator="greaterThan">
      <formula>1</formula>
    </cfRule>
  </conditionalFormatting>
  <conditionalFormatting sqref="F190">
    <cfRule type="cellIs" dxfId="102" priority="20" operator="equal">
      <formula>1</formula>
    </cfRule>
  </conditionalFormatting>
  <pageMargins left="0.7" right="0.7" top="0.75" bottom="0.75" header="0.3" footer="0.3"/>
  <pageSetup paperSize="9"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5"/>
  <sheetViews>
    <sheetView zoomScale="115" zoomScaleNormal="115" workbookViewId="0">
      <selection activeCell="B6" sqref="B6:F9"/>
    </sheetView>
  </sheetViews>
  <sheetFormatPr baseColWidth="10" defaultRowHeight="15" x14ac:dyDescent="0.25"/>
  <cols>
    <col min="2" max="2" width="12.7109375" customWidth="1"/>
    <col min="3" max="3" width="13.7109375" customWidth="1"/>
    <col min="5" max="5" width="10.140625" bestFit="1" customWidth="1"/>
    <col min="7" max="7" width="11.140625" customWidth="1"/>
  </cols>
  <sheetData>
    <row r="1" spans="1:8" ht="15" customHeight="1" x14ac:dyDescent="0.25">
      <c r="A1" s="234" t="s">
        <v>432</v>
      </c>
      <c r="B1" s="234"/>
      <c r="C1" s="234"/>
      <c r="D1" s="234"/>
      <c r="E1" s="234"/>
      <c r="F1" s="234"/>
      <c r="G1" s="234"/>
      <c r="H1" s="1"/>
    </row>
    <row r="2" spans="1:8" ht="15" customHeight="1" x14ac:dyDescent="0.25">
      <c r="A2" s="234"/>
      <c r="B2" s="234"/>
      <c r="C2" s="234"/>
      <c r="D2" s="234"/>
      <c r="E2" s="234"/>
      <c r="F2" s="234"/>
      <c r="G2" s="234"/>
      <c r="H2" s="1"/>
    </row>
    <row r="3" spans="1:8" ht="15" customHeight="1" x14ac:dyDescent="0.25">
      <c r="A3" s="2"/>
      <c r="B3" s="2"/>
      <c r="C3" s="2"/>
      <c r="D3" s="2"/>
      <c r="E3" s="2"/>
      <c r="F3" s="2"/>
      <c r="G3" s="2"/>
      <c r="H3" s="2"/>
    </row>
    <row r="4" spans="1:8" ht="15" customHeight="1" x14ac:dyDescent="0.25">
      <c r="A4" s="235" t="s">
        <v>19</v>
      </c>
      <c r="B4" s="235"/>
      <c r="C4" s="235"/>
      <c r="D4" s="235"/>
      <c r="E4" s="235"/>
      <c r="F4" s="235"/>
      <c r="G4" s="235"/>
      <c r="H4" s="2"/>
    </row>
    <row r="5" spans="1:8" ht="15" customHeight="1" x14ac:dyDescent="0.25">
      <c r="A5" s="2"/>
      <c r="B5" s="2"/>
      <c r="C5" s="2"/>
      <c r="D5" s="2"/>
      <c r="E5" s="2"/>
      <c r="F5" s="2"/>
      <c r="G5" s="2"/>
      <c r="H5" s="2"/>
    </row>
    <row r="6" spans="1:8" ht="15" customHeight="1" x14ac:dyDescent="0.25">
      <c r="A6" s="2"/>
      <c r="B6" s="236" t="s">
        <v>18</v>
      </c>
      <c r="C6" s="237"/>
      <c r="D6" s="237"/>
      <c r="E6" s="237"/>
      <c r="F6" s="237"/>
      <c r="G6" s="2"/>
      <c r="H6" s="2"/>
    </row>
    <row r="7" spans="1:8" ht="15" customHeight="1" x14ac:dyDescent="0.25">
      <c r="A7" s="2"/>
      <c r="B7" s="159" t="s">
        <v>20</v>
      </c>
      <c r="C7" s="159"/>
      <c r="D7" s="159"/>
      <c r="E7" s="231">
        <f>TOTALES!B17</f>
        <v>2000</v>
      </c>
      <c r="F7" s="231"/>
      <c r="G7" s="2"/>
      <c r="H7" s="2"/>
    </row>
    <row r="8" spans="1:8" ht="15" customHeight="1" x14ac:dyDescent="0.25">
      <c r="A8" s="2"/>
      <c r="B8" s="159" t="s">
        <v>359</v>
      </c>
      <c r="C8" s="159"/>
      <c r="D8" s="159"/>
      <c r="E8" s="231">
        <f>TOTALES!B18</f>
        <v>1500</v>
      </c>
      <c r="F8" s="231"/>
      <c r="G8" s="2"/>
      <c r="H8" s="2"/>
    </row>
    <row r="9" spans="1:8" ht="15" customHeight="1" x14ac:dyDescent="0.25">
      <c r="A9" s="2"/>
      <c r="B9" s="159" t="s">
        <v>360</v>
      </c>
      <c r="C9" s="159"/>
      <c r="D9" s="159"/>
      <c r="E9" s="231">
        <f>TOTALES!B19</f>
        <v>1000</v>
      </c>
      <c r="F9" s="231"/>
      <c r="G9" s="2"/>
      <c r="H9" s="2"/>
    </row>
    <row r="10" spans="1:8" ht="15" customHeight="1" x14ac:dyDescent="0.25">
      <c r="A10" s="2"/>
      <c r="B10" s="2"/>
      <c r="C10" s="2"/>
      <c r="D10" s="2"/>
      <c r="E10" s="2"/>
      <c r="F10" s="2"/>
      <c r="G10" s="2"/>
      <c r="H10" s="2"/>
    </row>
    <row r="39" spans="1:4" x14ac:dyDescent="0.25">
      <c r="A39" t="s">
        <v>430</v>
      </c>
    </row>
    <row r="41" spans="1:4" x14ac:dyDescent="0.25">
      <c r="A41" t="s">
        <v>219</v>
      </c>
      <c r="C41">
        <v>7</v>
      </c>
    </row>
    <row r="42" spans="1:4" x14ac:dyDescent="0.25">
      <c r="A42" t="s">
        <v>220</v>
      </c>
      <c r="C42">
        <v>50</v>
      </c>
      <c r="D42" t="s">
        <v>9</v>
      </c>
    </row>
    <row r="43" spans="1:4" x14ac:dyDescent="0.25">
      <c r="A43" t="s">
        <v>221</v>
      </c>
      <c r="C43">
        <v>8</v>
      </c>
      <c r="D43" t="s">
        <v>9</v>
      </c>
    </row>
    <row r="44" spans="1:4" x14ac:dyDescent="0.25">
      <c r="A44" t="s">
        <v>222</v>
      </c>
      <c r="C44">
        <v>800</v>
      </c>
      <c r="D44" t="s">
        <v>9</v>
      </c>
    </row>
    <row r="45" spans="1:4" ht="18" x14ac:dyDescent="0.3">
      <c r="A45" t="s">
        <v>223</v>
      </c>
      <c r="C45">
        <v>60</v>
      </c>
      <c r="D45" t="s">
        <v>0</v>
      </c>
    </row>
    <row r="48" spans="1:4" ht="15.75" thickBot="1" x14ac:dyDescent="0.3"/>
    <row r="49" spans="1:4" ht="15.75" thickBot="1" x14ac:dyDescent="0.3">
      <c r="B49" s="27" t="s">
        <v>156</v>
      </c>
      <c r="C49" s="26">
        <f>C41*C42*(C43^2)*C45/(6*C44/2)</f>
        <v>560</v>
      </c>
      <c r="D49" s="28" t="s">
        <v>58</v>
      </c>
    </row>
    <row r="54" spans="1:4" ht="15.75" thickBot="1" x14ac:dyDescent="0.3"/>
    <row r="55" spans="1:4" ht="15.75" thickBot="1" x14ac:dyDescent="0.3">
      <c r="B55" s="27" t="s">
        <v>224</v>
      </c>
      <c r="C55" s="26">
        <f>C49*2</f>
        <v>1120</v>
      </c>
      <c r="D55" s="74" t="s">
        <v>58</v>
      </c>
    </row>
    <row r="59" spans="1:4" x14ac:dyDescent="0.25">
      <c r="A59" t="s">
        <v>431</v>
      </c>
    </row>
    <row r="61" spans="1:4" x14ac:dyDescent="0.25">
      <c r="A61" t="s">
        <v>219</v>
      </c>
      <c r="C61">
        <v>9</v>
      </c>
    </row>
    <row r="62" spans="1:4" x14ac:dyDescent="0.25">
      <c r="A62" t="s">
        <v>220</v>
      </c>
      <c r="C62">
        <v>60</v>
      </c>
      <c r="D62" t="s">
        <v>9</v>
      </c>
    </row>
    <row r="63" spans="1:4" x14ac:dyDescent="0.25">
      <c r="A63" t="s">
        <v>221</v>
      </c>
      <c r="C63">
        <v>12</v>
      </c>
      <c r="D63" t="s">
        <v>9</v>
      </c>
    </row>
    <row r="64" spans="1:4" x14ac:dyDescent="0.25">
      <c r="A64" t="s">
        <v>222</v>
      </c>
      <c r="C64">
        <v>750</v>
      </c>
      <c r="D64" t="s">
        <v>9</v>
      </c>
    </row>
    <row r="65" spans="1:4" ht="18" x14ac:dyDescent="0.3">
      <c r="A65" t="s">
        <v>223</v>
      </c>
      <c r="C65">
        <v>60</v>
      </c>
      <c r="D65" t="s">
        <v>0</v>
      </c>
    </row>
    <row r="68" spans="1:4" ht="15.75" thickBot="1" x14ac:dyDescent="0.3"/>
    <row r="69" spans="1:4" ht="15.75" thickBot="1" x14ac:dyDescent="0.3">
      <c r="B69" s="27" t="s">
        <v>156</v>
      </c>
      <c r="C69" s="26">
        <f>C61*C62*(C63^2)*C65/(6*C64/2)</f>
        <v>2073.6</v>
      </c>
      <c r="D69" s="28" t="s">
        <v>58</v>
      </c>
    </row>
    <row r="74" spans="1:4" ht="15.75" thickBot="1" x14ac:dyDescent="0.3"/>
    <row r="75" spans="1:4" ht="15.75" thickBot="1" x14ac:dyDescent="0.3">
      <c r="B75" s="27" t="s">
        <v>224</v>
      </c>
      <c r="C75" s="26">
        <f>C69*2</f>
        <v>4147.2</v>
      </c>
      <c r="D75" s="74" t="s">
        <v>58</v>
      </c>
    </row>
  </sheetData>
  <mergeCells count="9">
    <mergeCell ref="B9:D9"/>
    <mergeCell ref="E9:F9"/>
    <mergeCell ref="B8:D8"/>
    <mergeCell ref="E8:F8"/>
    <mergeCell ref="A1:G2"/>
    <mergeCell ref="A4:G4"/>
    <mergeCell ref="B6:F6"/>
    <mergeCell ref="B7:D7"/>
    <mergeCell ref="E7:F7"/>
  </mergeCells>
  <conditionalFormatting sqref="C55">
    <cfRule type="cellIs" dxfId="101" priority="3" operator="lessThan">
      <formula>$E$8</formula>
    </cfRule>
    <cfRule type="cellIs" dxfId="100" priority="4" operator="greaterThan">
      <formula>$E$8</formula>
    </cfRule>
  </conditionalFormatting>
  <conditionalFormatting sqref="C75">
    <cfRule type="cellIs" dxfId="99" priority="1" operator="lessThan">
      <formula>$E$8</formula>
    </cfRule>
    <cfRule type="cellIs" dxfId="98" priority="2" operator="greaterThan">
      <formula>$E$8</formula>
    </cfRule>
  </conditionalFormatting>
  <pageMargins left="0.7" right="0.7" top="0.75" bottom="0.75" header="0.3" footer="0.3"/>
  <pageSetup paperSize="9"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B9B20-DBFB-47B7-B4A7-92DFF2FBF6CB}">
  <dimension ref="A1:H39"/>
  <sheetViews>
    <sheetView topLeftCell="A18" zoomScale="115" zoomScaleNormal="115" workbookViewId="0">
      <selection activeCell="B34" sqref="B34:E39"/>
    </sheetView>
  </sheetViews>
  <sheetFormatPr baseColWidth="10" defaultRowHeight="15" x14ac:dyDescent="0.25"/>
  <cols>
    <col min="3" max="3" width="17.85546875" customWidth="1"/>
    <col min="6" max="6" width="3.5703125" customWidth="1"/>
    <col min="7" max="8" width="11.42578125" customWidth="1"/>
  </cols>
  <sheetData>
    <row r="1" spans="1:8" ht="15" customHeight="1" x14ac:dyDescent="0.25">
      <c r="A1" s="240" t="s">
        <v>433</v>
      </c>
      <c r="B1" s="241"/>
      <c r="C1" s="241"/>
      <c r="D1" s="241"/>
      <c r="E1" s="242"/>
    </row>
    <row r="2" spans="1:8" ht="15" customHeight="1" x14ac:dyDescent="0.25">
      <c r="A2" s="243"/>
      <c r="B2" s="234"/>
      <c r="C2" s="234"/>
      <c r="D2" s="234"/>
      <c r="E2" s="244"/>
    </row>
    <row r="3" spans="1:8" ht="15" customHeight="1" thickBot="1" x14ac:dyDescent="0.3">
      <c r="A3" s="245"/>
      <c r="B3" s="246"/>
      <c r="C3" s="246"/>
      <c r="D3" s="246"/>
      <c r="E3" s="247"/>
    </row>
    <row r="4" spans="1:8" ht="15" customHeight="1" x14ac:dyDescent="0.25">
      <c r="A4" s="2"/>
    </row>
    <row r="5" spans="1:8" ht="15" customHeight="1" x14ac:dyDescent="0.25">
      <c r="A5" s="2"/>
    </row>
    <row r="6" spans="1:8" ht="15" customHeight="1" x14ac:dyDescent="0.25">
      <c r="A6" s="2"/>
    </row>
    <row r="7" spans="1:8" ht="23.25" x14ac:dyDescent="0.25">
      <c r="A7" s="2"/>
      <c r="B7" s="236" t="s">
        <v>445</v>
      </c>
      <c r="C7" s="237"/>
      <c r="D7" s="237"/>
      <c r="E7" s="237"/>
      <c r="F7" s="237"/>
    </row>
    <row r="8" spans="1:8" ht="15" customHeight="1" x14ac:dyDescent="0.25">
      <c r="A8" s="2"/>
      <c r="B8" s="159" t="s">
        <v>20</v>
      </c>
      <c r="C8" s="159"/>
      <c r="D8" s="159"/>
      <c r="E8" s="231">
        <f>TOTALES!B17</f>
        <v>2000</v>
      </c>
      <c r="F8" s="231"/>
    </row>
    <row r="9" spans="1:8" ht="15" customHeight="1" x14ac:dyDescent="0.25">
      <c r="A9" s="2"/>
      <c r="B9" s="159" t="s">
        <v>359</v>
      </c>
      <c r="C9" s="159"/>
      <c r="D9" s="159"/>
      <c r="E9" s="231">
        <f>TOTALES!B18</f>
        <v>1500</v>
      </c>
      <c r="F9" s="231"/>
    </row>
    <row r="10" spans="1:8" ht="15" customHeight="1" x14ac:dyDescent="0.25">
      <c r="A10" s="2"/>
      <c r="B10" s="159" t="s">
        <v>360</v>
      </c>
      <c r="C10" s="159"/>
      <c r="D10" s="159"/>
      <c r="E10" s="231">
        <f>TOTALES!B19</f>
        <v>1000</v>
      </c>
      <c r="F10" s="231"/>
    </row>
    <row r="11" spans="1:8" x14ac:dyDescent="0.25">
      <c r="B11" s="159" t="s">
        <v>436</v>
      </c>
      <c r="C11" s="159"/>
      <c r="D11" s="159"/>
      <c r="E11" s="231">
        <v>2</v>
      </c>
      <c r="F11" s="231"/>
    </row>
    <row r="12" spans="1:8" x14ac:dyDescent="0.25">
      <c r="B12" s="159" t="s">
        <v>438</v>
      </c>
      <c r="C12" s="159"/>
      <c r="D12" s="159"/>
      <c r="E12" s="231">
        <v>917</v>
      </c>
      <c r="F12" s="231"/>
    </row>
    <row r="14" spans="1:8" x14ac:dyDescent="0.25">
      <c r="B14" t="s">
        <v>97</v>
      </c>
    </row>
    <row r="16" spans="1:8" x14ac:dyDescent="0.25">
      <c r="B16" s="235" t="s">
        <v>437</v>
      </c>
      <c r="C16" s="235"/>
      <c r="D16" s="160" t="s">
        <v>434</v>
      </c>
      <c r="E16" s="160"/>
      <c r="F16" s="239" t="s">
        <v>56</v>
      </c>
      <c r="G16" s="235">
        <f>E9/E11</f>
        <v>750</v>
      </c>
      <c r="H16" s="235"/>
    </row>
    <row r="17" spans="2:8" x14ac:dyDescent="0.25">
      <c r="B17" s="235"/>
      <c r="C17" s="235"/>
      <c r="D17" s="224" t="s">
        <v>435</v>
      </c>
      <c r="E17" s="224"/>
      <c r="F17" s="239"/>
      <c r="G17" s="235"/>
      <c r="H17" s="235"/>
    </row>
    <row r="20" spans="2:8" x14ac:dyDescent="0.25">
      <c r="B20" s="233" t="s">
        <v>439</v>
      </c>
      <c r="C20" s="233"/>
      <c r="D20" s="233"/>
      <c r="E20" s="233"/>
    </row>
    <row r="21" spans="2:8" x14ac:dyDescent="0.25">
      <c r="B21" s="159" t="s">
        <v>440</v>
      </c>
      <c r="C21" s="159"/>
      <c r="D21" s="238">
        <v>9</v>
      </c>
      <c r="E21" s="238"/>
    </row>
    <row r="22" spans="2:8" x14ac:dyDescent="0.25">
      <c r="B22" s="159" t="s">
        <v>444</v>
      </c>
      <c r="C22" s="159"/>
      <c r="D22" s="238">
        <f>D21/2</f>
        <v>4.5</v>
      </c>
      <c r="E22" s="238"/>
    </row>
    <row r="23" spans="2:8" x14ac:dyDescent="0.25">
      <c r="B23" s="159" t="s">
        <v>441</v>
      </c>
      <c r="C23" s="159"/>
      <c r="D23" s="238">
        <v>4.5</v>
      </c>
      <c r="E23" s="238"/>
    </row>
    <row r="24" spans="2:8" ht="17.25" x14ac:dyDescent="0.25">
      <c r="B24" s="159" t="s">
        <v>443</v>
      </c>
      <c r="C24" s="159"/>
      <c r="D24" s="238">
        <f>3.14*D22*D22</f>
        <v>63.585000000000001</v>
      </c>
      <c r="E24" s="238"/>
    </row>
    <row r="25" spans="2:8" x14ac:dyDescent="0.25">
      <c r="B25" s="159" t="s">
        <v>442</v>
      </c>
      <c r="C25" s="159"/>
      <c r="D25" s="231">
        <f>D24*E12</f>
        <v>58307.445</v>
      </c>
      <c r="E25" s="231"/>
    </row>
    <row r="28" spans="2:8" x14ac:dyDescent="0.25">
      <c r="B28" t="s">
        <v>98</v>
      </c>
    </row>
    <row r="30" spans="2:8" x14ac:dyDescent="0.25">
      <c r="B30" s="235" t="s">
        <v>437</v>
      </c>
      <c r="C30" s="235"/>
      <c r="D30" s="160" t="s">
        <v>434</v>
      </c>
      <c r="E30" s="160"/>
      <c r="F30" s="239" t="s">
        <v>56</v>
      </c>
      <c r="G30" s="235">
        <f>E10/E11</f>
        <v>500</v>
      </c>
      <c r="H30" s="235"/>
    </row>
    <row r="31" spans="2:8" x14ac:dyDescent="0.25">
      <c r="B31" s="235"/>
      <c r="C31" s="235"/>
      <c r="D31" s="224" t="s">
        <v>435</v>
      </c>
      <c r="E31" s="224"/>
      <c r="F31" s="239"/>
      <c r="G31" s="235"/>
      <c r="H31" s="235"/>
    </row>
    <row r="34" spans="2:5" x14ac:dyDescent="0.25">
      <c r="B34" s="233" t="s">
        <v>439</v>
      </c>
      <c r="C34" s="233"/>
      <c r="D34" s="233"/>
      <c r="E34" s="233"/>
    </row>
    <row r="35" spans="2:5" x14ac:dyDescent="0.25">
      <c r="B35" s="159" t="s">
        <v>440</v>
      </c>
      <c r="C35" s="159"/>
      <c r="D35" s="238">
        <v>9</v>
      </c>
      <c r="E35" s="238"/>
    </row>
    <row r="36" spans="2:5" x14ac:dyDescent="0.25">
      <c r="B36" s="159" t="s">
        <v>444</v>
      </c>
      <c r="C36" s="159"/>
      <c r="D36" s="238">
        <f>D35/2</f>
        <v>4.5</v>
      </c>
      <c r="E36" s="238"/>
    </row>
    <row r="37" spans="2:5" x14ac:dyDescent="0.25">
      <c r="B37" s="159" t="s">
        <v>441</v>
      </c>
      <c r="C37" s="159"/>
      <c r="D37" s="238">
        <v>4.5</v>
      </c>
      <c r="E37" s="238"/>
    </row>
    <row r="38" spans="2:5" ht="17.25" x14ac:dyDescent="0.25">
      <c r="B38" s="159" t="s">
        <v>443</v>
      </c>
      <c r="C38" s="159"/>
      <c r="D38" s="238">
        <f>3.14*D36*D36</f>
        <v>63.585000000000001</v>
      </c>
      <c r="E38" s="238"/>
    </row>
    <row r="39" spans="2:5" x14ac:dyDescent="0.25">
      <c r="B39" s="159" t="s">
        <v>442</v>
      </c>
      <c r="C39" s="159"/>
      <c r="D39" s="231">
        <f>D38*E12</f>
        <v>58307.445</v>
      </c>
      <c r="E39" s="231"/>
    </row>
  </sheetData>
  <mergeCells count="44">
    <mergeCell ref="A1:E3"/>
    <mergeCell ref="B7:F7"/>
    <mergeCell ref="B10:D10"/>
    <mergeCell ref="E10:F10"/>
    <mergeCell ref="B8:D8"/>
    <mergeCell ref="E8:F8"/>
    <mergeCell ref="B11:D11"/>
    <mergeCell ref="E11:F11"/>
    <mergeCell ref="F16:F17"/>
    <mergeCell ref="B9:D9"/>
    <mergeCell ref="E9:F9"/>
    <mergeCell ref="G16:H17"/>
    <mergeCell ref="B12:D12"/>
    <mergeCell ref="E12:F12"/>
    <mergeCell ref="B21:C21"/>
    <mergeCell ref="B23:C23"/>
    <mergeCell ref="B20:E20"/>
    <mergeCell ref="B16:C17"/>
    <mergeCell ref="D16:E16"/>
    <mergeCell ref="D17:E17"/>
    <mergeCell ref="B34:E34"/>
    <mergeCell ref="B25:C25"/>
    <mergeCell ref="D21:E21"/>
    <mergeCell ref="D23:E23"/>
    <mergeCell ref="D24:E24"/>
    <mergeCell ref="D25:E25"/>
    <mergeCell ref="B22:C22"/>
    <mergeCell ref="D22:E22"/>
    <mergeCell ref="B24:C24"/>
    <mergeCell ref="B30:C31"/>
    <mergeCell ref="D30:E30"/>
    <mergeCell ref="F30:F31"/>
    <mergeCell ref="G30:H31"/>
    <mergeCell ref="D31:E31"/>
    <mergeCell ref="B38:C38"/>
    <mergeCell ref="D38:E38"/>
    <mergeCell ref="B39:C39"/>
    <mergeCell ref="D39:E39"/>
    <mergeCell ref="B35:C35"/>
    <mergeCell ref="D35:E35"/>
    <mergeCell ref="B36:C36"/>
    <mergeCell ref="D36:E36"/>
    <mergeCell ref="B37:C37"/>
    <mergeCell ref="D37:E37"/>
  </mergeCells>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A6B0-F02B-4865-B7C1-B663C8A7643D}">
  <dimension ref="A2:H210"/>
  <sheetViews>
    <sheetView workbookViewId="0">
      <selection activeCell="D11" sqref="D11"/>
    </sheetView>
  </sheetViews>
  <sheetFormatPr baseColWidth="10" defaultRowHeight="15" x14ac:dyDescent="0.25"/>
  <cols>
    <col min="1" max="1" width="11.85546875" style="96" customWidth="1"/>
    <col min="2" max="2" width="14.7109375" style="96" customWidth="1"/>
    <col min="3" max="3" width="17.85546875" style="96" customWidth="1"/>
    <col min="4" max="4" width="18.5703125" style="96" customWidth="1"/>
    <col min="5" max="5" width="14.140625" style="96" customWidth="1"/>
    <col min="6" max="16384" width="11.42578125" style="96"/>
  </cols>
  <sheetData>
    <row r="2" spans="1:6" x14ac:dyDescent="0.25">
      <c r="C2" s="255" t="s">
        <v>423</v>
      </c>
      <c r="D2" s="255"/>
    </row>
    <row r="3" spans="1:6" x14ac:dyDescent="0.25">
      <c r="C3" s="255"/>
      <c r="D3" s="255"/>
    </row>
    <row r="5" spans="1:6" x14ac:dyDescent="0.25">
      <c r="A5" s="253" t="s">
        <v>119</v>
      </c>
      <c r="B5" s="253"/>
      <c r="C5" s="253"/>
      <c r="D5" s="253" t="s">
        <v>122</v>
      </c>
      <c r="E5" s="253"/>
      <c r="F5" s="253"/>
    </row>
    <row r="6" spans="1:6" x14ac:dyDescent="0.25">
      <c r="A6" s="207" t="s">
        <v>120</v>
      </c>
      <c r="B6" s="207"/>
      <c r="C6" s="100">
        <v>0.5</v>
      </c>
      <c r="D6" s="207" t="s">
        <v>123</v>
      </c>
      <c r="E6" s="207"/>
      <c r="F6" s="100">
        <v>18</v>
      </c>
    </row>
    <row r="7" spans="1:6" x14ac:dyDescent="0.25">
      <c r="A7" s="207" t="s">
        <v>153</v>
      </c>
      <c r="B7" s="207"/>
      <c r="C7" s="100">
        <v>0.4</v>
      </c>
      <c r="D7" s="207" t="s">
        <v>124</v>
      </c>
      <c r="E7" s="207"/>
      <c r="F7" s="100">
        <v>4</v>
      </c>
    </row>
    <row r="8" spans="1:6" x14ac:dyDescent="0.25">
      <c r="A8" s="207" t="s">
        <v>154</v>
      </c>
      <c r="B8" s="207"/>
      <c r="C8" s="100">
        <v>0.4</v>
      </c>
      <c r="D8" s="207" t="s">
        <v>125</v>
      </c>
      <c r="E8" s="207"/>
      <c r="F8" s="100">
        <v>8.8000000000000007</v>
      </c>
    </row>
    <row r="9" spans="1:6" ht="18" x14ac:dyDescent="0.25">
      <c r="A9" s="207" t="s">
        <v>378</v>
      </c>
      <c r="B9" s="207"/>
      <c r="C9" s="120">
        <f>C7*C8</f>
        <v>0.16000000000000003</v>
      </c>
      <c r="D9" s="207" t="s">
        <v>148</v>
      </c>
      <c r="E9" s="207"/>
      <c r="F9" s="100">
        <v>11.33</v>
      </c>
    </row>
    <row r="10" spans="1:6" ht="31.5" customHeight="1" x14ac:dyDescent="0.25">
      <c r="A10" s="251" t="s">
        <v>121</v>
      </c>
      <c r="B10" s="251"/>
      <c r="C10" s="112">
        <v>0.82</v>
      </c>
      <c r="D10" s="252" t="s">
        <v>429</v>
      </c>
      <c r="E10" s="252"/>
      <c r="F10" s="112">
        <v>80</v>
      </c>
    </row>
    <row r="11" spans="1:6" x14ac:dyDescent="0.25">
      <c r="A11" s="208"/>
      <c r="B11" s="208"/>
      <c r="C11" s="107"/>
    </row>
    <row r="12" spans="1:6" x14ac:dyDescent="0.25">
      <c r="A12" s="107"/>
      <c r="B12" s="107"/>
      <c r="C12" s="107"/>
    </row>
    <row r="13" spans="1:6" x14ac:dyDescent="0.25">
      <c r="A13" s="253" t="s">
        <v>128</v>
      </c>
      <c r="B13" s="253"/>
      <c r="C13" s="253"/>
      <c r="D13" s="253"/>
      <c r="E13" s="121"/>
      <c r="F13" s="121"/>
    </row>
    <row r="14" spans="1:6" x14ac:dyDescent="0.25">
      <c r="A14" s="207" t="s">
        <v>336</v>
      </c>
      <c r="B14" s="207"/>
      <c r="C14" s="207"/>
      <c r="D14" s="100">
        <v>0.82</v>
      </c>
    </row>
    <row r="15" spans="1:6" ht="18" x14ac:dyDescent="0.25">
      <c r="A15" s="207" t="s">
        <v>379</v>
      </c>
      <c r="B15" s="207"/>
      <c r="C15" s="207"/>
      <c r="D15" s="120">
        <f>C9</f>
        <v>0.16000000000000003</v>
      </c>
    </row>
    <row r="16" spans="1:6" ht="18" x14ac:dyDescent="0.25">
      <c r="A16" s="207" t="s">
        <v>380</v>
      </c>
      <c r="B16" s="207"/>
      <c r="C16" s="207"/>
      <c r="D16" s="100">
        <v>1.29</v>
      </c>
    </row>
    <row r="17" spans="1:5" ht="18" x14ac:dyDescent="0.25">
      <c r="A17" s="207" t="s">
        <v>381</v>
      </c>
      <c r="B17" s="207"/>
      <c r="C17" s="207"/>
      <c r="D17" s="100">
        <v>38.89</v>
      </c>
    </row>
    <row r="18" spans="1:5" x14ac:dyDescent="0.25">
      <c r="A18" s="207" t="s">
        <v>340</v>
      </c>
      <c r="B18" s="207"/>
      <c r="C18" s="207"/>
      <c r="D18" s="100">
        <v>800</v>
      </c>
    </row>
    <row r="19" spans="1:5" x14ac:dyDescent="0.25">
      <c r="A19" s="207" t="s">
        <v>144</v>
      </c>
      <c r="B19" s="207"/>
      <c r="C19" s="207"/>
      <c r="D19" s="100">
        <v>3</v>
      </c>
    </row>
    <row r="20" spans="1:5" x14ac:dyDescent="0.25">
      <c r="A20" s="208"/>
      <c r="B20" s="208"/>
      <c r="C20" s="107"/>
    </row>
    <row r="21" spans="1:5" x14ac:dyDescent="0.25">
      <c r="A21" s="253" t="s">
        <v>347</v>
      </c>
      <c r="B21" s="253"/>
      <c r="C21" s="253"/>
      <c r="D21" s="253"/>
      <c r="E21" s="253"/>
    </row>
    <row r="22" spans="1:5" ht="30" x14ac:dyDescent="0.25">
      <c r="A22" s="122" t="s">
        <v>341</v>
      </c>
      <c r="B22" s="123" t="s">
        <v>342</v>
      </c>
      <c r="C22" s="123" t="s">
        <v>343</v>
      </c>
      <c r="D22" s="122" t="s">
        <v>344</v>
      </c>
      <c r="E22" s="123" t="s">
        <v>345</v>
      </c>
    </row>
    <row r="23" spans="1:5" x14ac:dyDescent="0.25">
      <c r="A23" s="120">
        <f>C6*9.81</f>
        <v>4.9050000000000002</v>
      </c>
      <c r="B23" s="120">
        <f>C6*10</f>
        <v>5</v>
      </c>
      <c r="C23" s="120">
        <f>0.5*D14*D15*D16*D17*D17</f>
        <v>127.98805403040001</v>
      </c>
      <c r="D23" s="120">
        <f>C6*((D17*D17)/D18)</f>
        <v>0.94527006250000001</v>
      </c>
      <c r="E23" s="120">
        <f>SUM(A23:D23)</f>
        <v>138.8383240929</v>
      </c>
    </row>
    <row r="25" spans="1:5" ht="63" customHeight="1" x14ac:dyDescent="0.25">
      <c r="A25" s="256" t="s">
        <v>346</v>
      </c>
      <c r="B25" s="256"/>
      <c r="C25" s="123" t="s">
        <v>348</v>
      </c>
      <c r="D25" s="123" t="s">
        <v>349</v>
      </c>
      <c r="E25" s="123" t="s">
        <v>350</v>
      </c>
    </row>
    <row r="26" spans="1:5" x14ac:dyDescent="0.25">
      <c r="A26" s="254">
        <f>E23*D19</f>
        <v>416.51497227869999</v>
      </c>
      <c r="B26" s="254"/>
      <c r="C26" s="100">
        <f>((0.9*F10*F9)/1.25)*F6</f>
        <v>11746.944</v>
      </c>
      <c r="D26" s="120">
        <f>((0.5*F10*F9)/1.25)*F6</f>
        <v>6526.08</v>
      </c>
      <c r="E26" s="124">
        <f>(A26/D26)+(A26/(1.4*C26))</f>
        <v>8.9149794583718606E-2</v>
      </c>
    </row>
    <row r="45" spans="1:3" x14ac:dyDescent="0.25">
      <c r="A45" s="248" t="s">
        <v>120</v>
      </c>
      <c r="B45" s="248"/>
      <c r="C45" s="107">
        <v>0.5</v>
      </c>
    </row>
    <row r="46" spans="1:3" x14ac:dyDescent="0.25">
      <c r="A46" s="248" t="s">
        <v>153</v>
      </c>
      <c r="B46" s="248"/>
      <c r="C46" s="107">
        <v>0.4</v>
      </c>
    </row>
    <row r="47" spans="1:3" x14ac:dyDescent="0.25">
      <c r="A47" s="248" t="s">
        <v>154</v>
      </c>
      <c r="B47" s="248"/>
      <c r="C47" s="107">
        <v>0.15</v>
      </c>
    </row>
    <row r="48" spans="1:3" ht="18" x14ac:dyDescent="0.25">
      <c r="A48" s="248" t="s">
        <v>378</v>
      </c>
      <c r="B48" s="248"/>
      <c r="C48" s="125">
        <f>C46*C47</f>
        <v>0.06</v>
      </c>
    </row>
    <row r="49" spans="1:7" x14ac:dyDescent="0.25">
      <c r="A49" s="248" t="s">
        <v>121</v>
      </c>
      <c r="B49" s="248"/>
      <c r="C49" s="107">
        <v>0.82</v>
      </c>
    </row>
    <row r="50" spans="1:7" x14ac:dyDescent="0.25">
      <c r="A50" s="208"/>
      <c r="B50" s="208"/>
      <c r="C50" s="107"/>
      <c r="F50" s="96">
        <v>24525</v>
      </c>
      <c r="G50" s="96" t="s">
        <v>160</v>
      </c>
    </row>
    <row r="51" spans="1:7" x14ac:dyDescent="0.25">
      <c r="A51" s="208" t="s">
        <v>122</v>
      </c>
      <c r="B51" s="208"/>
      <c r="C51" s="107"/>
    </row>
    <row r="52" spans="1:7" x14ac:dyDescent="0.25">
      <c r="A52" s="208"/>
      <c r="B52" s="208"/>
      <c r="C52" s="107"/>
    </row>
    <row r="53" spans="1:7" x14ac:dyDescent="0.25">
      <c r="A53" s="248" t="s">
        <v>123</v>
      </c>
      <c r="B53" s="248"/>
      <c r="C53" s="107">
        <v>12</v>
      </c>
      <c r="G53" s="96">
        <f>F50/9.81</f>
        <v>2500</v>
      </c>
    </row>
    <row r="54" spans="1:7" x14ac:dyDescent="0.25">
      <c r="A54" s="248" t="s">
        <v>124</v>
      </c>
      <c r="B54" s="248"/>
      <c r="C54" s="107">
        <v>4</v>
      </c>
    </row>
    <row r="55" spans="1:7" x14ac:dyDescent="0.25">
      <c r="A55" s="248" t="s">
        <v>125</v>
      </c>
      <c r="B55" s="248"/>
      <c r="C55" s="107" t="s">
        <v>162</v>
      </c>
    </row>
    <row r="56" spans="1:7" x14ac:dyDescent="0.25">
      <c r="A56" s="248" t="s">
        <v>148</v>
      </c>
      <c r="B56" s="248"/>
      <c r="C56" s="107">
        <v>11.33</v>
      </c>
    </row>
    <row r="57" spans="1:7" ht="18" x14ac:dyDescent="0.25">
      <c r="A57" s="248" t="s">
        <v>161</v>
      </c>
      <c r="B57" s="248"/>
      <c r="C57" s="107">
        <v>25</v>
      </c>
      <c r="D57" s="96" t="s">
        <v>382</v>
      </c>
    </row>
    <row r="58" spans="1:7" x14ac:dyDescent="0.25">
      <c r="A58" s="107"/>
      <c r="B58" s="107"/>
      <c r="C58" s="107"/>
    </row>
    <row r="59" spans="1:7" x14ac:dyDescent="0.25">
      <c r="A59" s="248" t="s">
        <v>128</v>
      </c>
      <c r="B59" s="248"/>
      <c r="C59" s="248"/>
      <c r="D59" s="248"/>
      <c r="E59" s="248"/>
      <c r="F59" s="248"/>
      <c r="G59" s="248"/>
    </row>
    <row r="60" spans="1:7" x14ac:dyDescent="0.25">
      <c r="A60" s="107"/>
      <c r="B60" s="107"/>
      <c r="C60" s="107"/>
    </row>
    <row r="61" spans="1:7" x14ac:dyDescent="0.25">
      <c r="A61" s="249" t="s">
        <v>129</v>
      </c>
      <c r="B61" s="249"/>
      <c r="C61" s="107">
        <v>0.82</v>
      </c>
    </row>
    <row r="62" spans="1:7" ht="18" x14ac:dyDescent="0.25">
      <c r="A62" s="249" t="s">
        <v>130</v>
      </c>
      <c r="B62" s="249"/>
      <c r="C62" s="125">
        <f>C48</f>
        <v>0.06</v>
      </c>
      <c r="D62" s="96" t="s">
        <v>383</v>
      </c>
    </row>
    <row r="63" spans="1:7" ht="18" x14ac:dyDescent="0.25">
      <c r="A63" s="248" t="s">
        <v>131</v>
      </c>
      <c r="B63" s="248"/>
      <c r="C63" s="107">
        <v>1.29</v>
      </c>
      <c r="D63" s="96" t="s">
        <v>384</v>
      </c>
    </row>
    <row r="64" spans="1:7" ht="18" x14ac:dyDescent="0.25">
      <c r="A64" s="248" t="s">
        <v>385</v>
      </c>
      <c r="B64" s="248"/>
      <c r="C64" s="107">
        <v>38.89</v>
      </c>
      <c r="D64" s="96" t="s">
        <v>132</v>
      </c>
    </row>
    <row r="65" spans="1:4" x14ac:dyDescent="0.25">
      <c r="A65" s="248" t="s">
        <v>138</v>
      </c>
      <c r="B65" s="248"/>
      <c r="C65" s="107">
        <v>800</v>
      </c>
      <c r="D65" s="96" t="s">
        <v>139</v>
      </c>
    </row>
    <row r="66" spans="1:4" x14ac:dyDescent="0.25">
      <c r="A66" s="248" t="s">
        <v>144</v>
      </c>
      <c r="B66" s="248"/>
      <c r="C66" s="107">
        <v>3</v>
      </c>
    </row>
    <row r="67" spans="1:4" x14ac:dyDescent="0.25">
      <c r="A67" s="208"/>
      <c r="B67" s="208"/>
      <c r="C67" s="107"/>
    </row>
    <row r="68" spans="1:4" x14ac:dyDescent="0.25">
      <c r="A68" s="107"/>
      <c r="B68" s="107"/>
      <c r="C68" s="107"/>
    </row>
    <row r="69" spans="1:4" x14ac:dyDescent="0.25">
      <c r="A69" s="107"/>
      <c r="B69" s="107"/>
      <c r="C69" s="107"/>
    </row>
    <row r="70" spans="1:4" x14ac:dyDescent="0.25">
      <c r="A70" s="208"/>
      <c r="B70" s="208"/>
    </row>
    <row r="71" spans="1:4" x14ac:dyDescent="0.25">
      <c r="A71" s="208"/>
      <c r="B71" s="208"/>
    </row>
    <row r="83" spans="2:4" ht="15.75" thickBot="1" x14ac:dyDescent="0.3"/>
    <row r="84" spans="2:4" ht="15.75" thickBot="1" x14ac:dyDescent="0.3">
      <c r="B84" s="126" t="s">
        <v>126</v>
      </c>
      <c r="C84" s="127">
        <f>C45*9.81</f>
        <v>4.9050000000000002</v>
      </c>
      <c r="D84" s="128" t="s">
        <v>29</v>
      </c>
    </row>
    <row r="94" spans="2:4" ht="15.75" thickBot="1" x14ac:dyDescent="0.3"/>
    <row r="95" spans="2:4" ht="15.75" thickBot="1" x14ac:dyDescent="0.3">
      <c r="B95" s="126" t="s">
        <v>127</v>
      </c>
      <c r="C95" s="127">
        <f>C45*10</f>
        <v>5</v>
      </c>
      <c r="D95" s="128" t="s">
        <v>29</v>
      </c>
    </row>
    <row r="108" spans="2:4" ht="15.75" thickBot="1" x14ac:dyDescent="0.3"/>
    <row r="109" spans="2:4" ht="15.75" thickBot="1" x14ac:dyDescent="0.3">
      <c r="B109" s="126" t="s">
        <v>136</v>
      </c>
      <c r="C109" s="129">
        <f>0.5*C61*C62*C63*C64*C64</f>
        <v>47.995520261399996</v>
      </c>
      <c r="D109" s="128" t="s">
        <v>29</v>
      </c>
    </row>
    <row r="125" spans="2:4" ht="15.75" thickBot="1" x14ac:dyDescent="0.3"/>
    <row r="126" spans="2:4" ht="15.75" thickBot="1" x14ac:dyDescent="0.3">
      <c r="B126" s="126" t="s">
        <v>137</v>
      </c>
      <c r="C126" s="129">
        <f>C45*((C64*C64)/C65)</f>
        <v>0.94527006250000001</v>
      </c>
      <c r="D126" s="128" t="s">
        <v>29</v>
      </c>
    </row>
    <row r="136" spans="1:4" ht="15.75" thickBot="1" x14ac:dyDescent="0.3"/>
    <row r="137" spans="1:4" ht="15.75" thickBot="1" x14ac:dyDescent="0.3">
      <c r="B137" s="126" t="s">
        <v>140</v>
      </c>
      <c r="C137" s="129">
        <f>C84+C95+C109+C126</f>
        <v>58.845790323899998</v>
      </c>
      <c r="D137" s="128" t="s">
        <v>29</v>
      </c>
    </row>
    <row r="139" spans="1:4" x14ac:dyDescent="0.25">
      <c r="A139" s="96" t="s">
        <v>141</v>
      </c>
    </row>
    <row r="140" spans="1:4" x14ac:dyDescent="0.25">
      <c r="A140" s="96" t="s">
        <v>142</v>
      </c>
    </row>
    <row r="141" spans="1:4" ht="15.75" thickBot="1" x14ac:dyDescent="0.3"/>
    <row r="142" spans="1:4" ht="15.75" thickBot="1" x14ac:dyDescent="0.3">
      <c r="B142" s="126" t="s">
        <v>143</v>
      </c>
      <c r="C142" s="129">
        <f>C137*C66</f>
        <v>176.5373709717</v>
      </c>
      <c r="D142" s="128" t="s">
        <v>29</v>
      </c>
    </row>
    <row r="154" spans="1:8" x14ac:dyDescent="0.25">
      <c r="H154" s="96" t="s">
        <v>163</v>
      </c>
    </row>
    <row r="155" spans="1:8" x14ac:dyDescent="0.25">
      <c r="H155" s="96" t="s">
        <v>164</v>
      </c>
    </row>
    <row r="157" spans="1:8" x14ac:dyDescent="0.25">
      <c r="A157" s="96" t="s">
        <v>145</v>
      </c>
    </row>
    <row r="170" spans="1:4" x14ac:dyDescent="0.25">
      <c r="A170" s="96" t="s">
        <v>146</v>
      </c>
    </row>
    <row r="171" spans="1:4" ht="15.75" thickBot="1" x14ac:dyDescent="0.3"/>
    <row r="172" spans="1:4" ht="15.75" thickBot="1" x14ac:dyDescent="0.3">
      <c r="B172" s="126" t="s">
        <v>150</v>
      </c>
      <c r="C172" s="129">
        <f>((0.9*C57*C56)/1.25)*C53</f>
        <v>2447.2799999999997</v>
      </c>
      <c r="D172" s="128" t="s">
        <v>29</v>
      </c>
    </row>
    <row r="181" spans="1:4" x14ac:dyDescent="0.25">
      <c r="A181" s="96" t="s">
        <v>149</v>
      </c>
    </row>
    <row r="182" spans="1:4" ht="15.75" thickBot="1" x14ac:dyDescent="0.3"/>
    <row r="183" spans="1:4" ht="15.75" thickBot="1" x14ac:dyDescent="0.3">
      <c r="B183" s="126" t="s">
        <v>147</v>
      </c>
      <c r="C183" s="129">
        <f>((0.5*C57*C56)/1.25)*C53</f>
        <v>1359.6</v>
      </c>
      <c r="D183" s="128" t="s">
        <v>29</v>
      </c>
    </row>
    <row r="188" spans="1:4" x14ac:dyDescent="0.25">
      <c r="B188" s="130" t="s">
        <v>151</v>
      </c>
      <c r="C188" s="130"/>
    </row>
    <row r="206" spans="4:5" x14ac:dyDescent="0.25">
      <c r="D206" s="250" t="s">
        <v>56</v>
      </c>
      <c r="E206" s="250">
        <f>(C142/C183)+(C142/(1.4*C172))</f>
        <v>0.18137090560610264</v>
      </c>
    </row>
    <row r="207" spans="4:5" x14ac:dyDescent="0.25">
      <c r="D207" s="250"/>
      <c r="E207" s="250"/>
    </row>
    <row r="209" spans="2:4" ht="15.75" thickBot="1" x14ac:dyDescent="0.3"/>
    <row r="210" spans="2:4" ht="15.75" thickBot="1" x14ac:dyDescent="0.3">
      <c r="B210" s="131" t="s">
        <v>152</v>
      </c>
      <c r="C210" s="132">
        <f>E206</f>
        <v>0.18137090560610264</v>
      </c>
      <c r="D210" s="133"/>
    </row>
  </sheetData>
  <mergeCells count="50">
    <mergeCell ref="A26:B26"/>
    <mergeCell ref="C2:D3"/>
    <mergeCell ref="A8:B8"/>
    <mergeCell ref="D8:E8"/>
    <mergeCell ref="A9:B9"/>
    <mergeCell ref="A21:E21"/>
    <mergeCell ref="A25:B25"/>
    <mergeCell ref="A5:C5"/>
    <mergeCell ref="D5:F5"/>
    <mergeCell ref="A6:B6"/>
    <mergeCell ref="D6:E6"/>
    <mergeCell ref="A7:B7"/>
    <mergeCell ref="D7:E7"/>
    <mergeCell ref="A15:C15"/>
    <mergeCell ref="A16:C16"/>
    <mergeCell ref="A17:C17"/>
    <mergeCell ref="A18:C18"/>
    <mergeCell ref="A19:C19"/>
    <mergeCell ref="A20:B20"/>
    <mergeCell ref="D9:E9"/>
    <mergeCell ref="A10:B10"/>
    <mergeCell ref="D10:E10"/>
    <mergeCell ref="A11:B11"/>
    <mergeCell ref="A13:D13"/>
    <mergeCell ref="A14:C14"/>
    <mergeCell ref="E206:E207"/>
    <mergeCell ref="A65:B65"/>
    <mergeCell ref="A66:B66"/>
    <mergeCell ref="A67:B67"/>
    <mergeCell ref="A70:B70"/>
    <mergeCell ref="A71:B71"/>
    <mergeCell ref="D206:D207"/>
    <mergeCell ref="A64:B64"/>
    <mergeCell ref="A51:B51"/>
    <mergeCell ref="A52:B52"/>
    <mergeCell ref="A53:B53"/>
    <mergeCell ref="A54:B54"/>
    <mergeCell ref="A55:B55"/>
    <mergeCell ref="A56:B56"/>
    <mergeCell ref="A57:B57"/>
    <mergeCell ref="A59:G59"/>
    <mergeCell ref="A61:B61"/>
    <mergeCell ref="A62:B62"/>
    <mergeCell ref="A63:B63"/>
    <mergeCell ref="A50:B50"/>
    <mergeCell ref="A45:B45"/>
    <mergeCell ref="A46:B46"/>
    <mergeCell ref="A47:B47"/>
    <mergeCell ref="A48:B48"/>
    <mergeCell ref="A49:B49"/>
  </mergeCells>
  <conditionalFormatting sqref="C172">
    <cfRule type="cellIs" dxfId="97" priority="14" operator="lessThan">
      <formula>$C$142</formula>
    </cfRule>
    <cfRule type="cellIs" dxfId="96" priority="15" operator="equal">
      <formula>$C$142</formula>
    </cfRule>
    <cfRule type="cellIs" dxfId="95" priority="16" operator="greaterThan">
      <formula>$C$142</formula>
    </cfRule>
  </conditionalFormatting>
  <conditionalFormatting sqref="C183">
    <cfRule type="cellIs" dxfId="94" priority="8" operator="lessThan">
      <formula>$C$142</formula>
    </cfRule>
    <cfRule type="cellIs" dxfId="93" priority="9" operator="equal">
      <formula>$C$142</formula>
    </cfRule>
    <cfRule type="cellIs" dxfId="92" priority="10" operator="greaterThan">
      <formula>$C$142</formula>
    </cfRule>
  </conditionalFormatting>
  <conditionalFormatting sqref="C210">
    <cfRule type="cellIs" dxfId="91" priority="11" operator="greaterThan">
      <formula>1</formula>
    </cfRule>
    <cfRule type="cellIs" dxfId="90" priority="12" operator="equal">
      <formula>1</formula>
    </cfRule>
    <cfRule type="cellIs" dxfId="89" priority="13" operator="lessThan">
      <formula>1</formula>
    </cfRule>
  </conditionalFormatting>
  <conditionalFormatting sqref="C26:D26">
    <cfRule type="cellIs" dxfId="88" priority="4" operator="lessThan">
      <formula>$A$26</formula>
    </cfRule>
    <cfRule type="cellIs" dxfId="87" priority="5" operator="greaterThan">
      <formula>$A$26</formula>
    </cfRule>
  </conditionalFormatting>
  <conditionalFormatting sqref="E26">
    <cfRule type="cellIs" dxfId="86" priority="1" operator="equal">
      <formula>1</formula>
    </cfRule>
    <cfRule type="cellIs" dxfId="85" priority="2" operator="lessThan">
      <formula>1</formula>
    </cfRule>
    <cfRule type="cellIs" dxfId="84" priority="3" operator="greaterThan">
      <formula>1</formula>
    </cfRule>
  </conditionalFormatting>
  <pageMargins left="0.7" right="0.7" top="0.75" bottom="0.75" header="0.3" footer="0.3"/>
  <pageSetup paperSize="9" orientation="portrait" horizontalDpi="0" verticalDpi="0"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3832B-BCB9-4470-84DA-C9EE10A0E44B}">
  <dimension ref="A2:H210"/>
  <sheetViews>
    <sheetView zoomScaleNormal="100" workbookViewId="0">
      <selection activeCell="D11" sqref="D11"/>
    </sheetView>
  </sheetViews>
  <sheetFormatPr baseColWidth="10" defaultRowHeight="15" x14ac:dyDescent="0.25"/>
  <cols>
    <col min="1" max="1" width="11.85546875" customWidth="1"/>
    <col min="2" max="2" width="14.7109375" customWidth="1"/>
    <col min="3" max="3" width="17.85546875" customWidth="1"/>
    <col min="4" max="4" width="18.5703125" customWidth="1"/>
    <col min="5" max="5" width="10.140625" customWidth="1"/>
  </cols>
  <sheetData>
    <row r="2" spans="1:6" x14ac:dyDescent="0.25">
      <c r="C2" s="260" t="s">
        <v>424</v>
      </c>
      <c r="D2" s="260"/>
    </row>
    <row r="3" spans="1:6" x14ac:dyDescent="0.25">
      <c r="C3" s="260"/>
      <c r="D3" s="260"/>
    </row>
    <row r="5" spans="1:6" x14ac:dyDescent="0.25">
      <c r="A5" s="257" t="s">
        <v>119</v>
      </c>
      <c r="B5" s="257"/>
      <c r="C5" s="257"/>
      <c r="D5" s="257" t="s">
        <v>122</v>
      </c>
      <c r="E5" s="257"/>
      <c r="F5" s="257"/>
    </row>
    <row r="6" spans="1:6" x14ac:dyDescent="0.25">
      <c r="A6" s="232" t="s">
        <v>120</v>
      </c>
      <c r="B6" s="232"/>
      <c r="C6" s="88">
        <v>12</v>
      </c>
      <c r="D6" s="232" t="s">
        <v>123</v>
      </c>
      <c r="E6" s="232"/>
      <c r="F6" s="88">
        <v>6</v>
      </c>
    </row>
    <row r="7" spans="1:6" x14ac:dyDescent="0.25">
      <c r="A7" s="232" t="s">
        <v>153</v>
      </c>
      <c r="B7" s="232"/>
      <c r="C7" s="88">
        <v>1.1299999999999999</v>
      </c>
      <c r="D7" s="232" t="s">
        <v>124</v>
      </c>
      <c r="E7" s="232"/>
      <c r="F7" s="88" t="s">
        <v>184</v>
      </c>
    </row>
    <row r="8" spans="1:6" x14ac:dyDescent="0.25">
      <c r="A8" s="232" t="s">
        <v>154</v>
      </c>
      <c r="B8" s="232"/>
      <c r="C8" s="88">
        <v>1.17</v>
      </c>
      <c r="D8" s="232" t="s">
        <v>125</v>
      </c>
      <c r="E8" s="232"/>
      <c r="F8" s="88">
        <v>8.8000000000000007</v>
      </c>
    </row>
    <row r="9" spans="1:6" x14ac:dyDescent="0.25">
      <c r="A9" s="232" t="s">
        <v>155</v>
      </c>
      <c r="B9" s="232"/>
      <c r="C9" s="135">
        <f>C7*C8</f>
        <v>1.3220999999999998</v>
      </c>
      <c r="D9" s="232" t="s">
        <v>148</v>
      </c>
      <c r="E9" s="232"/>
      <c r="F9" s="88">
        <v>36.64</v>
      </c>
    </row>
    <row r="10" spans="1:6" ht="27" customHeight="1" x14ac:dyDescent="0.25">
      <c r="A10" s="232" t="s">
        <v>121</v>
      </c>
      <c r="B10" s="232"/>
      <c r="C10" s="88">
        <v>0.82</v>
      </c>
      <c r="D10" s="232" t="s">
        <v>429</v>
      </c>
      <c r="E10" s="232"/>
      <c r="F10" s="88">
        <v>80</v>
      </c>
    </row>
    <row r="11" spans="1:6" x14ac:dyDescent="0.25">
      <c r="A11" s="160"/>
      <c r="B11" s="160"/>
      <c r="C11" s="13"/>
    </row>
    <row r="12" spans="1:6" x14ac:dyDescent="0.25">
      <c r="A12" s="13"/>
      <c r="B12" s="13"/>
      <c r="C12" s="13"/>
    </row>
    <row r="13" spans="1:6" x14ac:dyDescent="0.25">
      <c r="A13" s="231" t="s">
        <v>128</v>
      </c>
      <c r="B13" s="231"/>
      <c r="C13" s="231"/>
      <c r="D13" s="231"/>
      <c r="E13" s="38"/>
      <c r="F13" s="38"/>
    </row>
    <row r="14" spans="1:6" x14ac:dyDescent="0.25">
      <c r="A14" s="159" t="s">
        <v>336</v>
      </c>
      <c r="B14" s="159"/>
      <c r="C14" s="159"/>
      <c r="D14" s="3">
        <v>0.82</v>
      </c>
    </row>
    <row r="15" spans="1:6" ht="17.25" x14ac:dyDescent="0.25">
      <c r="A15" s="159" t="s">
        <v>337</v>
      </c>
      <c r="B15" s="159"/>
      <c r="C15" s="159"/>
      <c r="D15" s="77">
        <f>C9</f>
        <v>1.3220999999999998</v>
      </c>
    </row>
    <row r="16" spans="1:6" ht="17.25" x14ac:dyDescent="0.25">
      <c r="A16" s="159" t="s">
        <v>338</v>
      </c>
      <c r="B16" s="159"/>
      <c r="C16" s="159"/>
      <c r="D16" s="3">
        <v>1.29</v>
      </c>
    </row>
    <row r="17" spans="1:5" ht="17.25" x14ac:dyDescent="0.25">
      <c r="A17" s="159" t="s">
        <v>339</v>
      </c>
      <c r="B17" s="159"/>
      <c r="C17" s="159"/>
      <c r="D17" s="3">
        <v>38.89</v>
      </c>
    </row>
    <row r="18" spans="1:5" x14ac:dyDescent="0.25">
      <c r="A18" s="159" t="s">
        <v>340</v>
      </c>
      <c r="B18" s="159"/>
      <c r="C18" s="159"/>
      <c r="D18" s="3">
        <v>800</v>
      </c>
    </row>
    <row r="19" spans="1:5" x14ac:dyDescent="0.25">
      <c r="A19" s="159" t="s">
        <v>144</v>
      </c>
      <c r="B19" s="159"/>
      <c r="C19" s="159"/>
      <c r="D19" s="3">
        <v>3</v>
      </c>
    </row>
    <row r="20" spans="1:5" x14ac:dyDescent="0.25">
      <c r="A20" s="160"/>
      <c r="B20" s="160"/>
      <c r="C20" s="13"/>
    </row>
    <row r="21" spans="1:5" x14ac:dyDescent="0.25">
      <c r="A21" s="231" t="s">
        <v>347</v>
      </c>
      <c r="B21" s="231"/>
      <c r="C21" s="231"/>
      <c r="D21" s="231"/>
      <c r="E21" s="231"/>
    </row>
    <row r="22" spans="1:5" ht="30" x14ac:dyDescent="0.25">
      <c r="A22" s="90" t="s">
        <v>341</v>
      </c>
      <c r="B22" s="91" t="s">
        <v>342</v>
      </c>
      <c r="C22" s="91" t="s">
        <v>343</v>
      </c>
      <c r="D22" s="90" t="s">
        <v>344</v>
      </c>
      <c r="E22" s="91" t="s">
        <v>345</v>
      </c>
    </row>
    <row r="23" spans="1:5" x14ac:dyDescent="0.25">
      <c r="A23" s="77">
        <f>C6*9.81</f>
        <v>117.72</v>
      </c>
      <c r="B23" s="77">
        <f>C6*10</f>
        <v>120</v>
      </c>
      <c r="C23" s="77">
        <f>0.5*D14*D15*D16*D17*D17</f>
        <v>1057.5812889599488</v>
      </c>
      <c r="D23" s="77">
        <f>C6*((D17*D17)/D18)</f>
        <v>22.686481499999999</v>
      </c>
      <c r="E23" s="77">
        <f>SUM(A23:D23)</f>
        <v>1317.9877704599487</v>
      </c>
    </row>
    <row r="25" spans="1:5" ht="60" x14ac:dyDescent="0.25">
      <c r="A25" s="259" t="s">
        <v>346</v>
      </c>
      <c r="B25" s="259"/>
      <c r="C25" s="91" t="s">
        <v>348</v>
      </c>
      <c r="D25" s="91" t="s">
        <v>349</v>
      </c>
      <c r="E25" s="91" t="s">
        <v>350</v>
      </c>
    </row>
    <row r="26" spans="1:5" x14ac:dyDescent="0.25">
      <c r="A26" s="258">
        <f>E23*D19</f>
        <v>3953.9633113798463</v>
      </c>
      <c r="B26" s="258"/>
      <c r="C26" s="3">
        <f>((0.9*F10*F9)/1.25)*F6</f>
        <v>12662.784</v>
      </c>
      <c r="D26" s="77">
        <f>((0.5*F10*F9)/1.25)*F6</f>
        <v>7034.88</v>
      </c>
      <c r="E26" s="92">
        <f>(A26/D26)+(A26/(1.4*C26))</f>
        <v>0.78508750276496753</v>
      </c>
    </row>
    <row r="45" spans="1:3" x14ac:dyDescent="0.25">
      <c r="A45" s="158" t="s">
        <v>120</v>
      </c>
      <c r="B45" s="158"/>
      <c r="C45" s="13">
        <v>0.5</v>
      </c>
    </row>
    <row r="46" spans="1:3" x14ac:dyDescent="0.25">
      <c r="A46" s="158" t="s">
        <v>153</v>
      </c>
      <c r="B46" s="158"/>
      <c r="C46" s="13">
        <v>0.4</v>
      </c>
    </row>
    <row r="47" spans="1:3" x14ac:dyDescent="0.25">
      <c r="A47" s="158" t="s">
        <v>154</v>
      </c>
      <c r="B47" s="158"/>
      <c r="C47" s="13">
        <v>0.15</v>
      </c>
    </row>
    <row r="48" spans="1:3" ht="17.25" x14ac:dyDescent="0.25">
      <c r="A48" s="158" t="s">
        <v>155</v>
      </c>
      <c r="B48" s="158"/>
      <c r="C48" s="10">
        <f>C46*C47</f>
        <v>0.06</v>
      </c>
    </row>
    <row r="49" spans="1:7" x14ac:dyDescent="0.25">
      <c r="A49" s="158" t="s">
        <v>121</v>
      </c>
      <c r="B49" s="158"/>
      <c r="C49" s="13">
        <v>0.82</v>
      </c>
    </row>
    <row r="50" spans="1:7" x14ac:dyDescent="0.25">
      <c r="A50" s="160"/>
      <c r="B50" s="160"/>
      <c r="C50" s="13"/>
      <c r="F50">
        <v>24525</v>
      </c>
      <c r="G50" t="s">
        <v>160</v>
      </c>
    </row>
    <row r="51" spans="1:7" x14ac:dyDescent="0.25">
      <c r="A51" s="160" t="s">
        <v>122</v>
      </c>
      <c r="B51" s="160"/>
      <c r="C51" s="13"/>
    </row>
    <row r="52" spans="1:7" x14ac:dyDescent="0.25">
      <c r="A52" s="160"/>
      <c r="B52" s="160"/>
      <c r="C52" s="13"/>
    </row>
    <row r="53" spans="1:7" x14ac:dyDescent="0.25">
      <c r="A53" s="158" t="s">
        <v>123</v>
      </c>
      <c r="B53" s="158"/>
      <c r="C53" s="13">
        <v>12</v>
      </c>
      <c r="G53">
        <f>F50/9.81</f>
        <v>2500</v>
      </c>
    </row>
    <row r="54" spans="1:7" x14ac:dyDescent="0.25">
      <c r="A54" s="158" t="s">
        <v>124</v>
      </c>
      <c r="B54" s="158"/>
      <c r="C54" s="13">
        <v>4</v>
      </c>
    </row>
    <row r="55" spans="1:7" x14ac:dyDescent="0.25">
      <c r="A55" s="158" t="s">
        <v>125</v>
      </c>
      <c r="B55" s="158"/>
      <c r="C55" s="13" t="s">
        <v>162</v>
      </c>
    </row>
    <row r="56" spans="1:7" x14ac:dyDescent="0.25">
      <c r="A56" s="158" t="s">
        <v>148</v>
      </c>
      <c r="B56" s="158"/>
      <c r="C56" s="13">
        <v>11.33</v>
      </c>
    </row>
    <row r="57" spans="1:7" ht="17.25" x14ac:dyDescent="0.25">
      <c r="A57" s="158" t="s">
        <v>161</v>
      </c>
      <c r="B57" s="158"/>
      <c r="C57" s="13">
        <v>25</v>
      </c>
      <c r="D57" t="s">
        <v>0</v>
      </c>
    </row>
    <row r="58" spans="1:7" x14ac:dyDescent="0.25">
      <c r="A58" s="13"/>
      <c r="B58" s="13"/>
      <c r="C58" s="13"/>
    </row>
    <row r="59" spans="1:7" x14ac:dyDescent="0.25">
      <c r="A59" s="158" t="s">
        <v>128</v>
      </c>
      <c r="B59" s="158"/>
      <c r="C59" s="158"/>
      <c r="D59" s="158"/>
      <c r="E59" s="158"/>
      <c r="F59" s="158"/>
      <c r="G59" s="158"/>
    </row>
    <row r="60" spans="1:7" x14ac:dyDescent="0.25">
      <c r="A60" s="13"/>
      <c r="B60" s="13"/>
      <c r="C60" s="13"/>
    </row>
    <row r="61" spans="1:7" x14ac:dyDescent="0.25">
      <c r="A61" s="261" t="s">
        <v>129</v>
      </c>
      <c r="B61" s="261"/>
      <c r="C61" s="13">
        <v>0.82</v>
      </c>
    </row>
    <row r="62" spans="1:7" ht="17.25" x14ac:dyDescent="0.25">
      <c r="A62" s="261" t="s">
        <v>130</v>
      </c>
      <c r="B62" s="261"/>
      <c r="C62" s="10">
        <f>C48</f>
        <v>0.06</v>
      </c>
      <c r="D62" t="s">
        <v>133</v>
      </c>
    </row>
    <row r="63" spans="1:7" ht="17.25" x14ac:dyDescent="0.25">
      <c r="A63" s="158" t="s">
        <v>131</v>
      </c>
      <c r="B63" s="158"/>
      <c r="C63" s="13">
        <v>1.29</v>
      </c>
      <c r="D63" t="s">
        <v>134</v>
      </c>
    </row>
    <row r="64" spans="1:7" ht="17.25" x14ac:dyDescent="0.25">
      <c r="A64" s="158" t="s">
        <v>135</v>
      </c>
      <c r="B64" s="158"/>
      <c r="C64" s="13">
        <v>38.89</v>
      </c>
      <c r="D64" t="s">
        <v>132</v>
      </c>
    </row>
    <row r="65" spans="1:4" x14ac:dyDescent="0.25">
      <c r="A65" s="158" t="s">
        <v>138</v>
      </c>
      <c r="B65" s="158"/>
      <c r="C65" s="13">
        <v>800</v>
      </c>
      <c r="D65" t="s">
        <v>139</v>
      </c>
    </row>
    <row r="66" spans="1:4" x14ac:dyDescent="0.25">
      <c r="A66" s="158" t="s">
        <v>144</v>
      </c>
      <c r="B66" s="158"/>
      <c r="C66" s="13">
        <v>3</v>
      </c>
    </row>
    <row r="67" spans="1:4" x14ac:dyDescent="0.25">
      <c r="A67" s="160"/>
      <c r="B67" s="160"/>
      <c r="C67" s="13"/>
    </row>
    <row r="68" spans="1:4" x14ac:dyDescent="0.25">
      <c r="A68" s="13"/>
      <c r="B68" s="13"/>
      <c r="C68" s="13"/>
    </row>
    <row r="69" spans="1:4" x14ac:dyDescent="0.25">
      <c r="A69" s="13"/>
      <c r="B69" s="13"/>
      <c r="C69" s="13"/>
    </row>
    <row r="70" spans="1:4" x14ac:dyDescent="0.25">
      <c r="A70" s="160"/>
      <c r="B70" s="160"/>
    </row>
    <row r="71" spans="1:4" x14ac:dyDescent="0.25">
      <c r="A71" s="160"/>
      <c r="B71" s="160"/>
    </row>
    <row r="83" spans="2:4" ht="15.75" thickBot="1" x14ac:dyDescent="0.3"/>
    <row r="84" spans="2:4" ht="15.75" thickBot="1" x14ac:dyDescent="0.3">
      <c r="B84" s="27" t="s">
        <v>126</v>
      </c>
      <c r="C84" s="26">
        <f>C45*9.81</f>
        <v>4.9050000000000002</v>
      </c>
      <c r="D84" s="28" t="s">
        <v>29</v>
      </c>
    </row>
    <row r="94" spans="2:4" ht="15.75" thickBot="1" x14ac:dyDescent="0.3"/>
    <row r="95" spans="2:4" ht="15.75" thickBot="1" x14ac:dyDescent="0.3">
      <c r="B95" s="27" t="s">
        <v>127</v>
      </c>
      <c r="C95" s="26">
        <f>C45*10</f>
        <v>5</v>
      </c>
      <c r="D95" s="28" t="s">
        <v>29</v>
      </c>
    </row>
    <row r="108" spans="2:4" ht="15.75" thickBot="1" x14ac:dyDescent="0.3"/>
    <row r="109" spans="2:4" ht="15.75" thickBot="1" x14ac:dyDescent="0.3">
      <c r="B109" s="27" t="s">
        <v>136</v>
      </c>
      <c r="C109" s="32">
        <f>0.5*C61*C62*C63*C64*C64</f>
        <v>47.995520261399996</v>
      </c>
      <c r="D109" s="28" t="s">
        <v>29</v>
      </c>
    </row>
    <row r="125" spans="2:4" ht="15.75" thickBot="1" x14ac:dyDescent="0.3"/>
    <row r="126" spans="2:4" ht="15.75" thickBot="1" x14ac:dyDescent="0.3">
      <c r="B126" s="27" t="s">
        <v>137</v>
      </c>
      <c r="C126" s="32">
        <f>C45*((C64*C64)/C65)</f>
        <v>0.94527006250000001</v>
      </c>
      <c r="D126" s="28" t="s">
        <v>29</v>
      </c>
    </row>
    <row r="136" spans="1:4" ht="15.75" thickBot="1" x14ac:dyDescent="0.3"/>
    <row r="137" spans="1:4" ht="15.75" thickBot="1" x14ac:dyDescent="0.3">
      <c r="B137" s="27" t="s">
        <v>140</v>
      </c>
      <c r="C137" s="32">
        <f>C84+C95+C109+C126</f>
        <v>58.845790323899998</v>
      </c>
      <c r="D137" s="28" t="s">
        <v>29</v>
      </c>
    </row>
    <row r="139" spans="1:4" x14ac:dyDescent="0.25">
      <c r="A139" t="s">
        <v>141</v>
      </c>
    </row>
    <row r="140" spans="1:4" x14ac:dyDescent="0.25">
      <c r="A140" t="s">
        <v>142</v>
      </c>
    </row>
    <row r="141" spans="1:4" ht="15.75" thickBot="1" x14ac:dyDescent="0.3"/>
    <row r="142" spans="1:4" ht="15.75" thickBot="1" x14ac:dyDescent="0.3">
      <c r="B142" s="27" t="s">
        <v>143</v>
      </c>
      <c r="C142" s="32">
        <f>C137*C66</f>
        <v>176.5373709717</v>
      </c>
      <c r="D142" s="28" t="s">
        <v>29</v>
      </c>
    </row>
    <row r="154" spans="1:8" x14ac:dyDescent="0.25">
      <c r="H154" t="s">
        <v>163</v>
      </c>
    </row>
    <row r="155" spans="1:8" x14ac:dyDescent="0.25">
      <c r="H155" t="s">
        <v>164</v>
      </c>
    </row>
    <row r="157" spans="1:8" x14ac:dyDescent="0.25">
      <c r="A157" t="s">
        <v>145</v>
      </c>
    </row>
    <row r="170" spans="1:4" x14ac:dyDescent="0.25">
      <c r="A170" t="s">
        <v>146</v>
      </c>
    </row>
    <row r="171" spans="1:4" ht="15.75" thickBot="1" x14ac:dyDescent="0.3"/>
    <row r="172" spans="1:4" ht="15.75" thickBot="1" x14ac:dyDescent="0.3">
      <c r="B172" s="27" t="s">
        <v>150</v>
      </c>
      <c r="C172" s="32">
        <f>((0.9*C57*C56)/1.25)*C53</f>
        <v>2447.2799999999997</v>
      </c>
      <c r="D172" s="28" t="s">
        <v>29</v>
      </c>
    </row>
    <row r="181" spans="1:4" x14ac:dyDescent="0.25">
      <c r="A181" t="s">
        <v>149</v>
      </c>
    </row>
    <row r="182" spans="1:4" ht="15.75" thickBot="1" x14ac:dyDescent="0.3"/>
    <row r="183" spans="1:4" ht="15.75" thickBot="1" x14ac:dyDescent="0.3">
      <c r="B183" s="27" t="s">
        <v>147</v>
      </c>
      <c r="C183" s="32">
        <f>((0.5*C57*C56)/1.25)*C53</f>
        <v>1359.6</v>
      </c>
      <c r="D183" s="28" t="s">
        <v>29</v>
      </c>
    </row>
    <row r="188" spans="1:4" x14ac:dyDescent="0.25">
      <c r="B188" s="29" t="s">
        <v>151</v>
      </c>
      <c r="C188" s="29"/>
    </row>
    <row r="206" spans="4:5" x14ac:dyDescent="0.25">
      <c r="D206" s="239" t="s">
        <v>56</v>
      </c>
      <c r="E206" s="239">
        <f>(C142/C183)+(C142/(1.4*C172))</f>
        <v>0.18137090560610264</v>
      </c>
    </row>
    <row r="207" spans="4:5" x14ac:dyDescent="0.25">
      <c r="D207" s="239"/>
      <c r="E207" s="239"/>
    </row>
    <row r="209" spans="2:4" ht="15.75" thickBot="1" x14ac:dyDescent="0.3"/>
    <row r="210" spans="2:4" ht="15.75" thickBot="1" x14ac:dyDescent="0.3">
      <c r="B210" s="30" t="s">
        <v>152</v>
      </c>
      <c r="C210" s="33">
        <f>E206</f>
        <v>0.18137090560610264</v>
      </c>
      <c r="D210" s="31"/>
    </row>
  </sheetData>
  <mergeCells count="50">
    <mergeCell ref="E206:E207"/>
    <mergeCell ref="C2:D3"/>
    <mergeCell ref="A65:B65"/>
    <mergeCell ref="A66:B66"/>
    <mergeCell ref="A67:B67"/>
    <mergeCell ref="A70:B70"/>
    <mergeCell ref="A71:B71"/>
    <mergeCell ref="D206:D207"/>
    <mergeCell ref="A57:B57"/>
    <mergeCell ref="A59:G59"/>
    <mergeCell ref="A61:B61"/>
    <mergeCell ref="A62:B62"/>
    <mergeCell ref="A63:B63"/>
    <mergeCell ref="A64:B64"/>
    <mergeCell ref="A51:B51"/>
    <mergeCell ref="A52:B52"/>
    <mergeCell ref="A53:B53"/>
    <mergeCell ref="A54:B54"/>
    <mergeCell ref="A55:B55"/>
    <mergeCell ref="A56:B56"/>
    <mergeCell ref="A45:B45"/>
    <mergeCell ref="A46:B46"/>
    <mergeCell ref="A47:B47"/>
    <mergeCell ref="A48:B48"/>
    <mergeCell ref="A49:B49"/>
    <mergeCell ref="A50:B50"/>
    <mergeCell ref="A26:B26"/>
    <mergeCell ref="A11:B11"/>
    <mergeCell ref="A13:D13"/>
    <mergeCell ref="A14:C14"/>
    <mergeCell ref="A15:C15"/>
    <mergeCell ref="A16:C16"/>
    <mergeCell ref="A17:C17"/>
    <mergeCell ref="A18:C18"/>
    <mergeCell ref="A19:C19"/>
    <mergeCell ref="A20:B20"/>
    <mergeCell ref="A21:E21"/>
    <mergeCell ref="A25:B25"/>
    <mergeCell ref="A8:B8"/>
    <mergeCell ref="D8:E8"/>
    <mergeCell ref="A9:B9"/>
    <mergeCell ref="D9:E9"/>
    <mergeCell ref="A10:B10"/>
    <mergeCell ref="D10:E10"/>
    <mergeCell ref="A5:C5"/>
    <mergeCell ref="D5:F5"/>
    <mergeCell ref="A6:B6"/>
    <mergeCell ref="D6:E6"/>
    <mergeCell ref="A7:B7"/>
    <mergeCell ref="D7:E7"/>
  </mergeCells>
  <conditionalFormatting sqref="C172">
    <cfRule type="cellIs" dxfId="83" priority="14" operator="lessThan">
      <formula>$C$142</formula>
    </cfRule>
    <cfRule type="cellIs" dxfId="82" priority="15" operator="equal">
      <formula>$C$142</formula>
    </cfRule>
    <cfRule type="cellIs" dxfId="81" priority="16" operator="greaterThan">
      <formula>$C$142</formula>
    </cfRule>
  </conditionalFormatting>
  <conditionalFormatting sqref="C183">
    <cfRule type="cellIs" dxfId="80" priority="8" operator="lessThan">
      <formula>$C$142</formula>
    </cfRule>
    <cfRule type="cellIs" dxfId="79" priority="9" operator="equal">
      <formula>$C$142</formula>
    </cfRule>
    <cfRule type="cellIs" dxfId="78" priority="10" operator="greaterThan">
      <formula>$C$142</formula>
    </cfRule>
  </conditionalFormatting>
  <conditionalFormatting sqref="C210">
    <cfRule type="cellIs" dxfId="77" priority="11" operator="greaterThan">
      <formula>1</formula>
    </cfRule>
    <cfRule type="cellIs" dxfId="76" priority="12" operator="equal">
      <formula>1</formula>
    </cfRule>
    <cfRule type="cellIs" dxfId="75" priority="13" operator="lessThan">
      <formula>1</formula>
    </cfRule>
  </conditionalFormatting>
  <conditionalFormatting sqref="C26:D26">
    <cfRule type="cellIs" dxfId="74" priority="4" operator="lessThan">
      <formula>$A$26</formula>
    </cfRule>
    <cfRule type="cellIs" dxfId="73" priority="5" operator="greaterThan">
      <formula>$A$26</formula>
    </cfRule>
  </conditionalFormatting>
  <conditionalFormatting sqref="E26">
    <cfRule type="cellIs" dxfId="72" priority="1" operator="equal">
      <formula>1</formula>
    </cfRule>
    <cfRule type="cellIs" dxfId="71" priority="2" operator="lessThan">
      <formula>1</formula>
    </cfRule>
    <cfRule type="cellIs" dxfId="70" priority="3" operator="greaterThan">
      <formula>1</formula>
    </cfRule>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9082-1C66-4121-A439-72AB7454BB4F}">
  <dimension ref="A3:E30"/>
  <sheetViews>
    <sheetView workbookViewId="0">
      <selection activeCell="A19" sqref="A19:B19"/>
    </sheetView>
  </sheetViews>
  <sheetFormatPr baseColWidth="10" defaultRowHeight="15" x14ac:dyDescent="0.25"/>
  <cols>
    <col min="1" max="1" width="67.28515625" customWidth="1"/>
    <col min="2" max="2" width="13.42578125" customWidth="1"/>
    <col min="3" max="5" width="11.42578125" customWidth="1"/>
  </cols>
  <sheetData>
    <row r="3" spans="1:2" x14ac:dyDescent="0.25">
      <c r="A3" s="262" t="s">
        <v>353</v>
      </c>
    </row>
    <row r="4" spans="1:2" x14ac:dyDescent="0.25">
      <c r="A4" s="262"/>
    </row>
    <row r="6" spans="1:2" x14ac:dyDescent="0.25">
      <c r="A6" s="263" t="s">
        <v>355</v>
      </c>
      <c r="B6" s="264"/>
    </row>
    <row r="7" spans="1:2" x14ac:dyDescent="0.25">
      <c r="A7" s="86" t="s">
        <v>352</v>
      </c>
      <c r="B7" s="3">
        <v>6120</v>
      </c>
    </row>
    <row r="8" spans="1:2" x14ac:dyDescent="0.25">
      <c r="A8" s="86" t="s">
        <v>354</v>
      </c>
      <c r="B8" s="3">
        <v>1</v>
      </c>
    </row>
    <row r="9" spans="1:2" x14ac:dyDescent="0.25">
      <c r="A9" s="86" t="s">
        <v>205</v>
      </c>
      <c r="B9" s="3" t="s">
        <v>206</v>
      </c>
    </row>
    <row r="10" spans="1:2" ht="17.25" x14ac:dyDescent="0.25">
      <c r="A10" s="86" t="s">
        <v>351</v>
      </c>
      <c r="B10" s="93">
        <v>3100</v>
      </c>
    </row>
    <row r="11" spans="1:2" x14ac:dyDescent="0.25">
      <c r="A11" s="5"/>
    </row>
    <row r="12" spans="1:2" x14ac:dyDescent="0.25">
      <c r="A12" s="265" t="s">
        <v>356</v>
      </c>
      <c r="B12" s="265"/>
    </row>
    <row r="13" spans="1:2" x14ac:dyDescent="0.25">
      <c r="A13" s="86" t="s">
        <v>208</v>
      </c>
      <c r="B13" s="3">
        <v>4</v>
      </c>
    </row>
    <row r="14" spans="1:2" x14ac:dyDescent="0.25">
      <c r="A14" s="86" t="s">
        <v>203</v>
      </c>
      <c r="B14" s="3" t="s">
        <v>204</v>
      </c>
    </row>
    <row r="15" spans="1:2" x14ac:dyDescent="0.25">
      <c r="A15" s="86" t="s">
        <v>205</v>
      </c>
      <c r="B15" s="3" t="s">
        <v>206</v>
      </c>
    </row>
    <row r="16" spans="1:2" x14ac:dyDescent="0.25">
      <c r="A16" s="86" t="s">
        <v>207</v>
      </c>
      <c r="B16" s="3" t="s">
        <v>211</v>
      </c>
    </row>
    <row r="17" spans="1:5" ht="32.25" x14ac:dyDescent="0.25">
      <c r="A17" s="86" t="s">
        <v>357</v>
      </c>
      <c r="B17" s="95">
        <f>D29</f>
        <v>1948.0565034447991</v>
      </c>
    </row>
    <row r="19" spans="1:5" x14ac:dyDescent="0.25">
      <c r="A19" s="86" t="s">
        <v>358</v>
      </c>
      <c r="B19" s="95">
        <f>E30</f>
        <v>1.5913296121124769</v>
      </c>
    </row>
    <row r="20" spans="1:5" x14ac:dyDescent="0.25">
      <c r="A20" s="5"/>
      <c r="B20" s="94"/>
    </row>
    <row r="21" spans="1:5" x14ac:dyDescent="0.25">
      <c r="A21" s="5"/>
      <c r="B21" s="94"/>
    </row>
    <row r="22" spans="1:5" x14ac:dyDescent="0.25">
      <c r="A22" s="5"/>
      <c r="B22" s="94"/>
    </row>
    <row r="23" spans="1:5" x14ac:dyDescent="0.25">
      <c r="A23" s="5"/>
      <c r="B23" s="94"/>
    </row>
    <row r="24" spans="1:5" x14ac:dyDescent="0.25">
      <c r="A24" s="5"/>
      <c r="B24" s="94"/>
    </row>
    <row r="25" spans="1:5" x14ac:dyDescent="0.25">
      <c r="A25" s="5"/>
      <c r="B25" s="94"/>
    </row>
    <row r="26" spans="1:5" x14ac:dyDescent="0.25">
      <c r="A26" s="5"/>
    </row>
    <row r="27" spans="1:5" x14ac:dyDescent="0.25">
      <c r="A27" s="5" t="s">
        <v>209</v>
      </c>
      <c r="B27" t="s">
        <v>213</v>
      </c>
      <c r="C27" t="s">
        <v>214</v>
      </c>
    </row>
    <row r="28" spans="1:5" x14ac:dyDescent="0.25">
      <c r="A28" s="5" t="s">
        <v>212</v>
      </c>
    </row>
    <row r="29" spans="1:5" x14ac:dyDescent="0.25">
      <c r="A29" s="5"/>
      <c r="C29" t="s">
        <v>215</v>
      </c>
      <c r="D29">
        <f>B7/(PI()*(B8/2*B8/2)*B13)</f>
        <v>1948.0565034447991</v>
      </c>
    </row>
    <row r="30" spans="1:5" ht="60" x14ac:dyDescent="0.25">
      <c r="A30" s="5" t="s">
        <v>210</v>
      </c>
      <c r="B30" s="72"/>
      <c r="C30" s="70" t="s">
        <v>216</v>
      </c>
      <c r="D30" s="70"/>
      <c r="E30" s="71">
        <f>B10/D29</f>
        <v>1.5913296121124769</v>
      </c>
    </row>
  </sheetData>
  <mergeCells count="3">
    <mergeCell ref="A3:A4"/>
    <mergeCell ref="A6:B6"/>
    <mergeCell ref="A12:B12"/>
  </mergeCells>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F2C39-E825-4A08-AF86-12D564CC4375}">
  <dimension ref="A2:H210"/>
  <sheetViews>
    <sheetView workbookViewId="0">
      <selection activeCell="D11" sqref="D11"/>
    </sheetView>
  </sheetViews>
  <sheetFormatPr baseColWidth="10" defaultRowHeight="15" x14ac:dyDescent="0.25"/>
  <cols>
    <col min="1" max="1" width="11.85546875" customWidth="1"/>
    <col min="2" max="2" width="14.7109375" customWidth="1"/>
    <col min="3" max="3" width="17.85546875" customWidth="1"/>
    <col min="4" max="4" width="18.5703125" customWidth="1"/>
    <col min="5" max="5" width="9.5703125" customWidth="1"/>
  </cols>
  <sheetData>
    <row r="2" spans="1:6" ht="15" customHeight="1" x14ac:dyDescent="0.25">
      <c r="B2" s="260" t="s">
        <v>425</v>
      </c>
      <c r="C2" s="260"/>
      <c r="D2" s="260"/>
      <c r="E2" s="260"/>
    </row>
    <row r="3" spans="1:6" ht="15" customHeight="1" x14ac:dyDescent="0.25">
      <c r="B3" s="260"/>
      <c r="C3" s="260"/>
      <c r="D3" s="260"/>
      <c r="E3" s="260"/>
    </row>
    <row r="5" spans="1:6" x14ac:dyDescent="0.25">
      <c r="A5" s="231" t="s">
        <v>119</v>
      </c>
      <c r="B5" s="231"/>
      <c r="C5" s="231"/>
      <c r="D5" s="231" t="s">
        <v>122</v>
      </c>
      <c r="E5" s="231"/>
      <c r="F5" s="231"/>
    </row>
    <row r="6" spans="1:6" x14ac:dyDescent="0.25">
      <c r="A6" s="159" t="s">
        <v>120</v>
      </c>
      <c r="B6" s="159"/>
      <c r="C6" s="3">
        <v>0.5</v>
      </c>
      <c r="D6" s="159" t="s">
        <v>123</v>
      </c>
      <c r="E6" s="159"/>
      <c r="F6" s="3">
        <v>4</v>
      </c>
    </row>
    <row r="7" spans="1:6" x14ac:dyDescent="0.25">
      <c r="A7" s="159" t="s">
        <v>153</v>
      </c>
      <c r="B7" s="159"/>
      <c r="C7" s="3">
        <v>0.125</v>
      </c>
      <c r="D7" s="159" t="s">
        <v>124</v>
      </c>
      <c r="E7" s="159"/>
      <c r="F7" s="3">
        <v>4</v>
      </c>
    </row>
    <row r="8" spans="1:6" x14ac:dyDescent="0.25">
      <c r="A8" s="159" t="s">
        <v>154</v>
      </c>
      <c r="B8" s="159"/>
      <c r="C8" s="3">
        <v>6.5000000000000002E-2</v>
      </c>
      <c r="D8" s="159" t="s">
        <v>125</v>
      </c>
      <c r="E8" s="159"/>
      <c r="F8" s="3">
        <v>8.8000000000000007</v>
      </c>
    </row>
    <row r="9" spans="1:6" ht="17.25" x14ac:dyDescent="0.25">
      <c r="A9" s="159" t="s">
        <v>155</v>
      </c>
      <c r="B9" s="159"/>
      <c r="C9" s="77">
        <f>C7*C8</f>
        <v>8.1250000000000003E-3</v>
      </c>
      <c r="D9" s="159" t="s">
        <v>148</v>
      </c>
      <c r="E9" s="159"/>
      <c r="F9" s="3">
        <v>8.7799999999999994</v>
      </c>
    </row>
    <row r="10" spans="1:6" ht="30.75" customHeight="1" x14ac:dyDescent="0.25">
      <c r="A10" s="159" t="s">
        <v>121</v>
      </c>
      <c r="B10" s="159"/>
      <c r="C10" s="3">
        <v>0.82</v>
      </c>
      <c r="D10" s="232" t="s">
        <v>429</v>
      </c>
      <c r="E10" s="232"/>
      <c r="F10" s="3">
        <v>80</v>
      </c>
    </row>
    <row r="11" spans="1:6" x14ac:dyDescent="0.25">
      <c r="A11" s="160"/>
      <c r="B11" s="160"/>
      <c r="C11" s="13"/>
    </row>
    <row r="12" spans="1:6" x14ac:dyDescent="0.25">
      <c r="A12" s="13"/>
      <c r="B12" s="13"/>
      <c r="C12" s="13"/>
    </row>
    <row r="13" spans="1:6" x14ac:dyDescent="0.25">
      <c r="A13" s="231" t="s">
        <v>128</v>
      </c>
      <c r="B13" s="231"/>
      <c r="C13" s="231"/>
      <c r="D13" s="231"/>
      <c r="E13" s="38"/>
      <c r="F13" s="38"/>
    </row>
    <row r="14" spans="1:6" x14ac:dyDescent="0.25">
      <c r="A14" s="159" t="s">
        <v>336</v>
      </c>
      <c r="B14" s="159"/>
      <c r="C14" s="159"/>
      <c r="D14" s="3">
        <v>0.82</v>
      </c>
    </row>
    <row r="15" spans="1:6" ht="17.25" x14ac:dyDescent="0.25">
      <c r="A15" s="159" t="s">
        <v>337</v>
      </c>
      <c r="B15" s="159"/>
      <c r="C15" s="159"/>
      <c r="D15" s="77">
        <f>C9</f>
        <v>8.1250000000000003E-3</v>
      </c>
    </row>
    <row r="16" spans="1:6" ht="17.25" x14ac:dyDescent="0.25">
      <c r="A16" s="159" t="s">
        <v>338</v>
      </c>
      <c r="B16" s="159"/>
      <c r="C16" s="159"/>
      <c r="D16" s="3">
        <v>1.29</v>
      </c>
    </row>
    <row r="17" spans="1:5" ht="17.25" x14ac:dyDescent="0.25">
      <c r="A17" s="159" t="s">
        <v>339</v>
      </c>
      <c r="B17" s="159"/>
      <c r="C17" s="159"/>
      <c r="D17" s="3">
        <v>38.89</v>
      </c>
    </row>
    <row r="18" spans="1:5" x14ac:dyDescent="0.25">
      <c r="A18" s="159" t="s">
        <v>340</v>
      </c>
      <c r="B18" s="159"/>
      <c r="C18" s="159"/>
      <c r="D18" s="3">
        <v>800</v>
      </c>
    </row>
    <row r="19" spans="1:5" x14ac:dyDescent="0.25">
      <c r="A19" s="159" t="s">
        <v>144</v>
      </c>
      <c r="B19" s="159"/>
      <c r="C19" s="159"/>
      <c r="D19" s="3">
        <v>3</v>
      </c>
    </row>
    <row r="20" spans="1:5" x14ac:dyDescent="0.25">
      <c r="A20" s="160"/>
      <c r="B20" s="160"/>
      <c r="C20" s="13"/>
    </row>
    <row r="21" spans="1:5" x14ac:dyDescent="0.25">
      <c r="A21" s="231" t="s">
        <v>347</v>
      </c>
      <c r="B21" s="231"/>
      <c r="C21" s="231"/>
      <c r="D21" s="231"/>
      <c r="E21" s="231"/>
    </row>
    <row r="22" spans="1:5" ht="30" x14ac:dyDescent="0.25">
      <c r="A22" s="90" t="s">
        <v>341</v>
      </c>
      <c r="B22" s="91" t="s">
        <v>342</v>
      </c>
      <c r="C22" s="91" t="s">
        <v>343</v>
      </c>
      <c r="D22" s="90" t="s">
        <v>344</v>
      </c>
      <c r="E22" s="91" t="s">
        <v>345</v>
      </c>
    </row>
    <row r="23" spans="1:5" x14ac:dyDescent="0.25">
      <c r="A23" s="77">
        <f>C6*9.81</f>
        <v>4.9050000000000002</v>
      </c>
      <c r="B23" s="77">
        <f>C6*10</f>
        <v>5</v>
      </c>
      <c r="C23" s="77">
        <f>0.5*D14*D15*D16*D17*D17</f>
        <v>6.4993933687312504</v>
      </c>
      <c r="D23" s="77">
        <f>C6*((D17*D17)/D18)</f>
        <v>0.94527006250000001</v>
      </c>
      <c r="E23" s="77">
        <f>SUM(A23:D23)</f>
        <v>17.349663431231253</v>
      </c>
    </row>
    <row r="25" spans="1:5" ht="63" customHeight="1" x14ac:dyDescent="0.25">
      <c r="A25" s="259" t="s">
        <v>346</v>
      </c>
      <c r="B25" s="259"/>
      <c r="C25" s="91" t="s">
        <v>348</v>
      </c>
      <c r="D25" s="91" t="s">
        <v>349</v>
      </c>
      <c r="E25" s="91" t="s">
        <v>350</v>
      </c>
    </row>
    <row r="26" spans="1:5" x14ac:dyDescent="0.25">
      <c r="A26" s="258">
        <f>E23*D19</f>
        <v>52.048990293693763</v>
      </c>
      <c r="B26" s="258"/>
      <c r="C26" s="3">
        <f>((0.9*F10*F9)/1.25)*F6</f>
        <v>2022.9119999999998</v>
      </c>
      <c r="D26" s="77">
        <f>((0.5*F10*F9)/1.25)*F6</f>
        <v>1123.8399999999999</v>
      </c>
      <c r="E26" s="92">
        <f>(A26/D26)+(A26/(1.4*C26))</f>
        <v>6.4691905895278706E-2</v>
      </c>
    </row>
    <row r="45" spans="1:3" x14ac:dyDescent="0.25">
      <c r="A45" s="158" t="s">
        <v>120</v>
      </c>
      <c r="B45" s="158"/>
      <c r="C45" s="13">
        <v>0.5</v>
      </c>
    </row>
    <row r="46" spans="1:3" x14ac:dyDescent="0.25">
      <c r="A46" s="158" t="s">
        <v>153</v>
      </c>
      <c r="B46" s="158"/>
      <c r="C46" s="13">
        <v>0.4</v>
      </c>
    </row>
    <row r="47" spans="1:3" x14ac:dyDescent="0.25">
      <c r="A47" s="158" t="s">
        <v>154</v>
      </c>
      <c r="B47" s="158"/>
      <c r="C47" s="13">
        <v>0.15</v>
      </c>
    </row>
    <row r="48" spans="1:3" ht="17.25" x14ac:dyDescent="0.25">
      <c r="A48" s="158" t="s">
        <v>155</v>
      </c>
      <c r="B48" s="158"/>
      <c r="C48" s="10">
        <f>C46*C47</f>
        <v>0.06</v>
      </c>
    </row>
    <row r="49" spans="1:7" x14ac:dyDescent="0.25">
      <c r="A49" s="158" t="s">
        <v>121</v>
      </c>
      <c r="B49" s="158"/>
      <c r="C49" s="13">
        <v>0.82</v>
      </c>
    </row>
    <row r="50" spans="1:7" x14ac:dyDescent="0.25">
      <c r="A50" s="160"/>
      <c r="B50" s="160"/>
      <c r="C50" s="13"/>
      <c r="F50">
        <v>24525</v>
      </c>
      <c r="G50" t="s">
        <v>160</v>
      </c>
    </row>
    <row r="51" spans="1:7" x14ac:dyDescent="0.25">
      <c r="A51" s="160" t="s">
        <v>122</v>
      </c>
      <c r="B51" s="160"/>
      <c r="C51" s="13"/>
    </row>
    <row r="52" spans="1:7" x14ac:dyDescent="0.25">
      <c r="A52" s="160"/>
      <c r="B52" s="160"/>
      <c r="C52" s="13"/>
    </row>
    <row r="53" spans="1:7" x14ac:dyDescent="0.25">
      <c r="A53" s="158" t="s">
        <v>123</v>
      </c>
      <c r="B53" s="158"/>
      <c r="C53" s="13">
        <v>12</v>
      </c>
      <c r="G53">
        <f>F50/9.81</f>
        <v>2500</v>
      </c>
    </row>
    <row r="54" spans="1:7" x14ac:dyDescent="0.25">
      <c r="A54" s="158" t="s">
        <v>124</v>
      </c>
      <c r="B54" s="158"/>
      <c r="C54" s="13">
        <v>4</v>
      </c>
    </row>
    <row r="55" spans="1:7" x14ac:dyDescent="0.25">
      <c r="A55" s="158" t="s">
        <v>125</v>
      </c>
      <c r="B55" s="158"/>
      <c r="C55" s="13" t="s">
        <v>162</v>
      </c>
    </row>
    <row r="56" spans="1:7" x14ac:dyDescent="0.25">
      <c r="A56" s="158" t="s">
        <v>148</v>
      </c>
      <c r="B56" s="158"/>
      <c r="C56" s="13">
        <v>11.33</v>
      </c>
    </row>
    <row r="57" spans="1:7" ht="17.25" x14ac:dyDescent="0.25">
      <c r="A57" s="158" t="s">
        <v>161</v>
      </c>
      <c r="B57" s="158"/>
      <c r="C57" s="13">
        <v>25</v>
      </c>
      <c r="D57" t="s">
        <v>0</v>
      </c>
    </row>
    <row r="58" spans="1:7" x14ac:dyDescent="0.25">
      <c r="A58" s="13"/>
      <c r="B58" s="13"/>
      <c r="C58" s="13"/>
    </row>
    <row r="59" spans="1:7" x14ac:dyDescent="0.25">
      <c r="A59" s="158" t="s">
        <v>128</v>
      </c>
      <c r="B59" s="158"/>
      <c r="C59" s="158"/>
      <c r="D59" s="158"/>
      <c r="E59" s="158"/>
      <c r="F59" s="158"/>
      <c r="G59" s="158"/>
    </row>
    <row r="60" spans="1:7" x14ac:dyDescent="0.25">
      <c r="A60" s="13"/>
      <c r="B60" s="13"/>
      <c r="C60" s="13"/>
    </row>
    <row r="61" spans="1:7" x14ac:dyDescent="0.25">
      <c r="A61" s="261" t="s">
        <v>129</v>
      </c>
      <c r="B61" s="261"/>
      <c r="C61" s="13">
        <v>0.82</v>
      </c>
    </row>
    <row r="62" spans="1:7" ht="17.25" x14ac:dyDescent="0.25">
      <c r="A62" s="261" t="s">
        <v>130</v>
      </c>
      <c r="B62" s="261"/>
      <c r="C62" s="10">
        <f>C48</f>
        <v>0.06</v>
      </c>
      <c r="D62" t="s">
        <v>133</v>
      </c>
    </row>
    <row r="63" spans="1:7" ht="17.25" x14ac:dyDescent="0.25">
      <c r="A63" s="158" t="s">
        <v>131</v>
      </c>
      <c r="B63" s="158"/>
      <c r="C63" s="13">
        <v>1.29</v>
      </c>
      <c r="D63" t="s">
        <v>134</v>
      </c>
    </row>
    <row r="64" spans="1:7" ht="17.25" x14ac:dyDescent="0.25">
      <c r="A64" s="158" t="s">
        <v>135</v>
      </c>
      <c r="B64" s="158"/>
      <c r="C64" s="13">
        <v>38.89</v>
      </c>
      <c r="D64" t="s">
        <v>132</v>
      </c>
    </row>
    <row r="65" spans="1:4" x14ac:dyDescent="0.25">
      <c r="A65" s="158" t="s">
        <v>138</v>
      </c>
      <c r="B65" s="158"/>
      <c r="C65" s="13">
        <v>800</v>
      </c>
      <c r="D65" t="s">
        <v>139</v>
      </c>
    </row>
    <row r="66" spans="1:4" x14ac:dyDescent="0.25">
      <c r="A66" s="158" t="s">
        <v>144</v>
      </c>
      <c r="B66" s="158"/>
      <c r="C66" s="13">
        <v>3</v>
      </c>
    </row>
    <row r="67" spans="1:4" x14ac:dyDescent="0.25">
      <c r="A67" s="160"/>
      <c r="B67" s="160"/>
      <c r="C67" s="13"/>
    </row>
    <row r="68" spans="1:4" x14ac:dyDescent="0.25">
      <c r="A68" s="13"/>
      <c r="B68" s="13"/>
      <c r="C68" s="13"/>
    </row>
    <row r="69" spans="1:4" x14ac:dyDescent="0.25">
      <c r="A69" s="13"/>
      <c r="B69" s="13"/>
      <c r="C69" s="13"/>
    </row>
    <row r="70" spans="1:4" x14ac:dyDescent="0.25">
      <c r="A70" s="160"/>
      <c r="B70" s="160"/>
    </row>
    <row r="71" spans="1:4" x14ac:dyDescent="0.25">
      <c r="A71" s="160"/>
      <c r="B71" s="160"/>
    </row>
    <row r="83" spans="2:4" ht="15.75" thickBot="1" x14ac:dyDescent="0.3"/>
    <row r="84" spans="2:4" ht="15.75" thickBot="1" x14ac:dyDescent="0.3">
      <c r="B84" s="27" t="s">
        <v>126</v>
      </c>
      <c r="C84" s="26">
        <f>C45*9.81</f>
        <v>4.9050000000000002</v>
      </c>
      <c r="D84" s="28" t="s">
        <v>29</v>
      </c>
    </row>
    <row r="94" spans="2:4" ht="15.75" thickBot="1" x14ac:dyDescent="0.3"/>
    <row r="95" spans="2:4" ht="15.75" thickBot="1" x14ac:dyDescent="0.3">
      <c r="B95" s="27" t="s">
        <v>127</v>
      </c>
      <c r="C95" s="26">
        <f>C45*10</f>
        <v>5</v>
      </c>
      <c r="D95" s="28" t="s">
        <v>29</v>
      </c>
    </row>
    <row r="108" spans="2:4" ht="15.75" thickBot="1" x14ac:dyDescent="0.3"/>
    <row r="109" spans="2:4" ht="15.75" thickBot="1" x14ac:dyDescent="0.3">
      <c r="B109" s="27" t="s">
        <v>136</v>
      </c>
      <c r="C109" s="32">
        <f>0.5*C61*C62*C63*C64*C64</f>
        <v>47.995520261399996</v>
      </c>
      <c r="D109" s="28" t="s">
        <v>29</v>
      </c>
    </row>
    <row r="125" spans="2:4" ht="15.75" thickBot="1" x14ac:dyDescent="0.3"/>
    <row r="126" spans="2:4" ht="15.75" thickBot="1" x14ac:dyDescent="0.3">
      <c r="B126" s="27" t="s">
        <v>137</v>
      </c>
      <c r="C126" s="32">
        <f>C45*((C64*C64)/C65)</f>
        <v>0.94527006250000001</v>
      </c>
      <c r="D126" s="28" t="s">
        <v>29</v>
      </c>
    </row>
    <row r="136" spans="1:4" ht="15.75" thickBot="1" x14ac:dyDescent="0.3"/>
    <row r="137" spans="1:4" ht="15.75" thickBot="1" x14ac:dyDescent="0.3">
      <c r="B137" s="27" t="s">
        <v>140</v>
      </c>
      <c r="C137" s="32">
        <f>C84+C95+C109+C126</f>
        <v>58.845790323899998</v>
      </c>
      <c r="D137" s="28" t="s">
        <v>29</v>
      </c>
    </row>
    <row r="139" spans="1:4" x14ac:dyDescent="0.25">
      <c r="A139" t="s">
        <v>141</v>
      </c>
    </row>
    <row r="140" spans="1:4" x14ac:dyDescent="0.25">
      <c r="A140" t="s">
        <v>142</v>
      </c>
    </row>
    <row r="141" spans="1:4" ht="15.75" thickBot="1" x14ac:dyDescent="0.3"/>
    <row r="142" spans="1:4" ht="15.75" thickBot="1" x14ac:dyDescent="0.3">
      <c r="B142" s="27" t="s">
        <v>143</v>
      </c>
      <c r="C142" s="32">
        <f>C137*C66</f>
        <v>176.5373709717</v>
      </c>
      <c r="D142" s="28" t="s">
        <v>29</v>
      </c>
    </row>
    <row r="154" spans="1:8" x14ac:dyDescent="0.25">
      <c r="H154" t="s">
        <v>163</v>
      </c>
    </row>
    <row r="155" spans="1:8" x14ac:dyDescent="0.25">
      <c r="H155" t="s">
        <v>164</v>
      </c>
    </row>
    <row r="157" spans="1:8" x14ac:dyDescent="0.25">
      <c r="A157" t="s">
        <v>145</v>
      </c>
    </row>
    <row r="170" spans="1:4" x14ac:dyDescent="0.25">
      <c r="A170" t="s">
        <v>146</v>
      </c>
    </row>
    <row r="171" spans="1:4" ht="15.75" thickBot="1" x14ac:dyDescent="0.3"/>
    <row r="172" spans="1:4" ht="15.75" thickBot="1" x14ac:dyDescent="0.3">
      <c r="B172" s="27" t="s">
        <v>150</v>
      </c>
      <c r="C172" s="32">
        <f>((0.9*C57*C56)/1.25)*C53</f>
        <v>2447.2799999999997</v>
      </c>
      <c r="D172" s="28" t="s">
        <v>29</v>
      </c>
    </row>
    <row r="181" spans="1:4" x14ac:dyDescent="0.25">
      <c r="A181" t="s">
        <v>149</v>
      </c>
    </row>
    <row r="182" spans="1:4" ht="15.75" thickBot="1" x14ac:dyDescent="0.3"/>
    <row r="183" spans="1:4" ht="15.75" thickBot="1" x14ac:dyDescent="0.3">
      <c r="B183" s="27" t="s">
        <v>147</v>
      </c>
      <c r="C183" s="32">
        <f>((0.5*C57*C56)/1.25)*C53</f>
        <v>1359.6</v>
      </c>
      <c r="D183" s="28" t="s">
        <v>29</v>
      </c>
    </row>
    <row r="188" spans="1:4" x14ac:dyDescent="0.25">
      <c r="B188" s="29" t="s">
        <v>151</v>
      </c>
      <c r="C188" s="29"/>
    </row>
    <row r="206" spans="4:5" x14ac:dyDescent="0.25">
      <c r="D206" s="239" t="s">
        <v>56</v>
      </c>
      <c r="E206" s="239">
        <f>(C142/C183)+(C142/(1.4*C172))</f>
        <v>0.18137090560610264</v>
      </c>
    </row>
    <row r="207" spans="4:5" x14ac:dyDescent="0.25">
      <c r="D207" s="239"/>
      <c r="E207" s="239"/>
    </row>
    <row r="209" spans="2:4" ht="15.75" thickBot="1" x14ac:dyDescent="0.3"/>
    <row r="210" spans="2:4" ht="15.75" thickBot="1" x14ac:dyDescent="0.3">
      <c r="B210" s="30" t="s">
        <v>152</v>
      </c>
      <c r="C210" s="33">
        <f>E206</f>
        <v>0.18137090560610264</v>
      </c>
      <c r="D210" s="31"/>
    </row>
  </sheetData>
  <mergeCells count="50">
    <mergeCell ref="A7:B7"/>
    <mergeCell ref="D7:E7"/>
    <mergeCell ref="B2:E3"/>
    <mergeCell ref="A5:C5"/>
    <mergeCell ref="D5:F5"/>
    <mergeCell ref="A6:B6"/>
    <mergeCell ref="D6:E6"/>
    <mergeCell ref="A17:C17"/>
    <mergeCell ref="A8:B8"/>
    <mergeCell ref="D8:E8"/>
    <mergeCell ref="A9:B9"/>
    <mergeCell ref="D9:E9"/>
    <mergeCell ref="A10:B10"/>
    <mergeCell ref="D10:E10"/>
    <mergeCell ref="A11:B11"/>
    <mergeCell ref="A13:D13"/>
    <mergeCell ref="A14:C14"/>
    <mergeCell ref="A15:C15"/>
    <mergeCell ref="A16:C16"/>
    <mergeCell ref="A50:B50"/>
    <mergeCell ref="A18:C18"/>
    <mergeCell ref="A19:C19"/>
    <mergeCell ref="A20:B20"/>
    <mergeCell ref="A21:E21"/>
    <mergeCell ref="A25:B25"/>
    <mergeCell ref="A26:B26"/>
    <mergeCell ref="A45:B45"/>
    <mergeCell ref="A46:B46"/>
    <mergeCell ref="A47:B47"/>
    <mergeCell ref="A48:B48"/>
    <mergeCell ref="A49:B49"/>
    <mergeCell ref="A64:B64"/>
    <mergeCell ref="A51:B51"/>
    <mergeCell ref="A52:B52"/>
    <mergeCell ref="A53:B53"/>
    <mergeCell ref="A54:B54"/>
    <mergeCell ref="A55:B55"/>
    <mergeCell ref="A56:B56"/>
    <mergeCell ref="A57:B57"/>
    <mergeCell ref="A59:G59"/>
    <mergeCell ref="A61:B61"/>
    <mergeCell ref="A62:B62"/>
    <mergeCell ref="A63:B63"/>
    <mergeCell ref="E206:E207"/>
    <mergeCell ref="A65:B65"/>
    <mergeCell ref="A66:B66"/>
    <mergeCell ref="A67:B67"/>
    <mergeCell ref="A70:B70"/>
    <mergeCell ref="A71:B71"/>
    <mergeCell ref="D206:D207"/>
  </mergeCells>
  <conditionalFormatting sqref="C172">
    <cfRule type="cellIs" dxfId="69" priority="12" operator="lessThan">
      <formula>$C$142</formula>
    </cfRule>
    <cfRule type="cellIs" dxfId="68" priority="13" operator="equal">
      <formula>$C$142</formula>
    </cfRule>
    <cfRule type="cellIs" dxfId="67" priority="14" operator="greaterThan">
      <formula>$C$142</formula>
    </cfRule>
  </conditionalFormatting>
  <conditionalFormatting sqref="C183">
    <cfRule type="cellIs" dxfId="66" priority="6" operator="lessThan">
      <formula>$C$142</formula>
    </cfRule>
    <cfRule type="cellIs" dxfId="65" priority="7" operator="equal">
      <formula>$C$142</formula>
    </cfRule>
    <cfRule type="cellIs" dxfId="64" priority="8" operator="greaterThan">
      <formula>$C$142</formula>
    </cfRule>
  </conditionalFormatting>
  <conditionalFormatting sqref="C210">
    <cfRule type="cellIs" dxfId="63" priority="9" operator="greaterThan">
      <formula>1</formula>
    </cfRule>
    <cfRule type="cellIs" dxfId="62" priority="10" operator="equal">
      <formula>1</formula>
    </cfRule>
    <cfRule type="cellIs" dxfId="61" priority="11" operator="lessThan">
      <formula>1</formula>
    </cfRule>
  </conditionalFormatting>
  <conditionalFormatting sqref="C26:D26">
    <cfRule type="cellIs" dxfId="60" priority="4" operator="lessThan">
      <formula>$A$26</formula>
    </cfRule>
    <cfRule type="cellIs" dxfId="59" priority="5" operator="greaterThan">
      <formula>$A$26</formula>
    </cfRule>
  </conditionalFormatting>
  <conditionalFormatting sqref="E26">
    <cfRule type="cellIs" dxfId="58" priority="1" operator="equal">
      <formula>1</formula>
    </cfRule>
    <cfRule type="cellIs" dxfId="57" priority="2" operator="lessThan">
      <formula>1</formula>
    </cfRule>
    <cfRule type="cellIs" dxfId="56" priority="3" operator="greaterThan">
      <formula>1</formula>
    </cfRule>
  </conditionalFormatting>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A9C88-37FA-4ADB-BA1A-7C53CEA65EA9}">
  <dimension ref="A2:H210"/>
  <sheetViews>
    <sheetView workbookViewId="0">
      <selection activeCell="D10" sqref="D10:E10"/>
    </sheetView>
  </sheetViews>
  <sheetFormatPr baseColWidth="10" defaultRowHeight="15" x14ac:dyDescent="0.25"/>
  <cols>
    <col min="1" max="1" width="11.85546875" customWidth="1"/>
    <col min="2" max="2" width="14.7109375" customWidth="1"/>
    <col min="3" max="3" width="17.85546875" customWidth="1"/>
    <col min="4" max="4" width="18.5703125" customWidth="1"/>
    <col min="5" max="5" width="9.5703125" customWidth="1"/>
  </cols>
  <sheetData>
    <row r="2" spans="1:6" ht="15" customHeight="1" x14ac:dyDescent="0.25">
      <c r="B2" s="260" t="s">
        <v>386</v>
      </c>
      <c r="C2" s="260"/>
      <c r="D2" s="260"/>
      <c r="E2" s="260"/>
    </row>
    <row r="3" spans="1:6" ht="15" customHeight="1" x14ac:dyDescent="0.25">
      <c r="B3" s="260"/>
      <c r="C3" s="260"/>
      <c r="D3" s="260"/>
      <c r="E3" s="260"/>
    </row>
    <row r="5" spans="1:6" x14ac:dyDescent="0.25">
      <c r="A5" s="231" t="s">
        <v>119</v>
      </c>
      <c r="B5" s="231"/>
      <c r="C5" s="231"/>
      <c r="D5" s="231" t="s">
        <v>122</v>
      </c>
      <c r="E5" s="231"/>
      <c r="F5" s="231"/>
    </row>
    <row r="6" spans="1:6" x14ac:dyDescent="0.25">
      <c r="A6" s="159" t="s">
        <v>120</v>
      </c>
      <c r="B6" s="159"/>
      <c r="C6" s="3">
        <v>0.1</v>
      </c>
      <c r="D6" s="159" t="s">
        <v>123</v>
      </c>
      <c r="E6" s="159"/>
      <c r="F6" s="3">
        <v>2</v>
      </c>
    </row>
    <row r="7" spans="1:6" x14ac:dyDescent="0.25">
      <c r="A7" s="159" t="s">
        <v>153</v>
      </c>
      <c r="B7" s="159"/>
      <c r="C7" s="3">
        <v>0.06</v>
      </c>
      <c r="D7" s="159" t="s">
        <v>124</v>
      </c>
      <c r="E7" s="159"/>
      <c r="F7" s="3">
        <v>4</v>
      </c>
    </row>
    <row r="8" spans="1:6" x14ac:dyDescent="0.25">
      <c r="A8" s="159" t="s">
        <v>154</v>
      </c>
      <c r="B8" s="159"/>
      <c r="C8" s="3">
        <v>3.5000000000000003E-2</v>
      </c>
      <c r="D8" s="159" t="s">
        <v>125</v>
      </c>
      <c r="E8" s="159"/>
      <c r="F8" s="3">
        <v>8.8000000000000007</v>
      </c>
    </row>
    <row r="9" spans="1:6" ht="17.25" x14ac:dyDescent="0.25">
      <c r="A9" s="159" t="s">
        <v>155</v>
      </c>
      <c r="B9" s="159"/>
      <c r="C9" s="77">
        <f>C7*C8</f>
        <v>2.1000000000000003E-3</v>
      </c>
      <c r="D9" s="159" t="s">
        <v>148</v>
      </c>
      <c r="E9" s="159"/>
      <c r="F9" s="3">
        <v>8.7799999999999994</v>
      </c>
    </row>
    <row r="10" spans="1:6" ht="30.75" customHeight="1" x14ac:dyDescent="0.25">
      <c r="A10" s="159" t="s">
        <v>121</v>
      </c>
      <c r="B10" s="159"/>
      <c r="C10" s="3">
        <v>0.82</v>
      </c>
      <c r="D10" s="232" t="s">
        <v>429</v>
      </c>
      <c r="E10" s="232"/>
      <c r="F10" s="3">
        <v>80</v>
      </c>
    </row>
    <row r="11" spans="1:6" x14ac:dyDescent="0.25">
      <c r="A11" s="160"/>
      <c r="B11" s="160"/>
      <c r="C11" s="13"/>
    </row>
    <row r="12" spans="1:6" x14ac:dyDescent="0.25">
      <c r="A12" s="13"/>
      <c r="B12" s="13"/>
      <c r="C12" s="13"/>
    </row>
    <row r="13" spans="1:6" x14ac:dyDescent="0.25">
      <c r="A13" s="231" t="s">
        <v>128</v>
      </c>
      <c r="B13" s="231"/>
      <c r="C13" s="231"/>
      <c r="D13" s="231"/>
      <c r="E13" s="38"/>
      <c r="F13" s="38"/>
    </row>
    <row r="14" spans="1:6" x14ac:dyDescent="0.25">
      <c r="A14" s="159" t="s">
        <v>336</v>
      </c>
      <c r="B14" s="159"/>
      <c r="C14" s="159"/>
      <c r="D14" s="3">
        <v>0.82</v>
      </c>
    </row>
    <row r="15" spans="1:6" ht="17.25" x14ac:dyDescent="0.25">
      <c r="A15" s="159" t="s">
        <v>337</v>
      </c>
      <c r="B15" s="159"/>
      <c r="C15" s="159"/>
      <c r="D15" s="77">
        <f>C9</f>
        <v>2.1000000000000003E-3</v>
      </c>
    </row>
    <row r="16" spans="1:6" ht="17.25" x14ac:dyDescent="0.25">
      <c r="A16" s="159" t="s">
        <v>338</v>
      </c>
      <c r="B16" s="159"/>
      <c r="C16" s="159"/>
      <c r="D16" s="3">
        <v>1.29</v>
      </c>
    </row>
    <row r="17" spans="1:5" ht="17.25" x14ac:dyDescent="0.25">
      <c r="A17" s="159" t="s">
        <v>339</v>
      </c>
      <c r="B17" s="159"/>
      <c r="C17" s="159"/>
      <c r="D17" s="3">
        <v>38.89</v>
      </c>
    </row>
    <row r="18" spans="1:5" x14ac:dyDescent="0.25">
      <c r="A18" s="159" t="s">
        <v>340</v>
      </c>
      <c r="B18" s="159"/>
      <c r="C18" s="159"/>
      <c r="D18" s="3">
        <v>800</v>
      </c>
    </row>
    <row r="19" spans="1:5" x14ac:dyDescent="0.25">
      <c r="A19" s="159" t="s">
        <v>144</v>
      </c>
      <c r="B19" s="159"/>
      <c r="C19" s="159"/>
      <c r="D19" s="3">
        <v>3</v>
      </c>
    </row>
    <row r="20" spans="1:5" x14ac:dyDescent="0.25">
      <c r="A20" s="160"/>
      <c r="B20" s="160"/>
      <c r="C20" s="13"/>
    </row>
    <row r="21" spans="1:5" x14ac:dyDescent="0.25">
      <c r="A21" s="231" t="s">
        <v>347</v>
      </c>
      <c r="B21" s="231"/>
      <c r="C21" s="231"/>
      <c r="D21" s="231"/>
      <c r="E21" s="231"/>
    </row>
    <row r="22" spans="1:5" ht="30" x14ac:dyDescent="0.25">
      <c r="A22" s="90" t="s">
        <v>341</v>
      </c>
      <c r="B22" s="91" t="s">
        <v>342</v>
      </c>
      <c r="C22" s="91" t="s">
        <v>343</v>
      </c>
      <c r="D22" s="90" t="s">
        <v>344</v>
      </c>
      <c r="E22" s="91" t="s">
        <v>345</v>
      </c>
    </row>
    <row r="23" spans="1:5" x14ac:dyDescent="0.25">
      <c r="A23" s="77">
        <f>C6*9.81</f>
        <v>0.98100000000000009</v>
      </c>
      <c r="B23" s="77">
        <f>C6*10</f>
        <v>1</v>
      </c>
      <c r="C23" s="77">
        <f>0.5*D14*D15*D16*D17*D17</f>
        <v>1.6798432091490003</v>
      </c>
      <c r="D23" s="77">
        <f>C6*((D17*D17)/D18)</f>
        <v>0.18905401250000001</v>
      </c>
      <c r="E23" s="77">
        <f>SUM(A23:D23)</f>
        <v>3.8498972216490004</v>
      </c>
    </row>
    <row r="25" spans="1:5" ht="63" customHeight="1" x14ac:dyDescent="0.25">
      <c r="A25" s="259" t="s">
        <v>346</v>
      </c>
      <c r="B25" s="259"/>
      <c r="C25" s="91" t="s">
        <v>348</v>
      </c>
      <c r="D25" s="91" t="s">
        <v>349</v>
      </c>
      <c r="E25" s="91" t="s">
        <v>350</v>
      </c>
    </row>
    <row r="26" spans="1:5" x14ac:dyDescent="0.25">
      <c r="A26" s="258">
        <f>E23*D19</f>
        <v>11.549691664947002</v>
      </c>
      <c r="B26" s="258"/>
      <c r="C26" s="3">
        <f>((0.9*F10*F9)/1.25)*F6</f>
        <v>1011.4559999999999</v>
      </c>
      <c r="D26" s="77">
        <f>((0.5*F10*F9)/1.25)*F6</f>
        <v>561.91999999999996</v>
      </c>
      <c r="E26" s="92">
        <f>(A26/D26)+(A26/(1.4*C26))</f>
        <v>2.8710319339230808E-2</v>
      </c>
    </row>
    <row r="45" spans="1:3" x14ac:dyDescent="0.25">
      <c r="A45" s="158" t="s">
        <v>120</v>
      </c>
      <c r="B45" s="158"/>
      <c r="C45" s="13">
        <v>0.5</v>
      </c>
    </row>
    <row r="46" spans="1:3" x14ac:dyDescent="0.25">
      <c r="A46" s="158" t="s">
        <v>153</v>
      </c>
      <c r="B46" s="158"/>
      <c r="C46" s="13">
        <v>0.4</v>
      </c>
    </row>
    <row r="47" spans="1:3" x14ac:dyDescent="0.25">
      <c r="A47" s="158" t="s">
        <v>154</v>
      </c>
      <c r="B47" s="158"/>
      <c r="C47" s="13">
        <v>0.15</v>
      </c>
    </row>
    <row r="48" spans="1:3" ht="17.25" x14ac:dyDescent="0.25">
      <c r="A48" s="158" t="s">
        <v>155</v>
      </c>
      <c r="B48" s="158"/>
      <c r="C48" s="10">
        <f>C46*C47</f>
        <v>0.06</v>
      </c>
    </row>
    <row r="49" spans="1:7" x14ac:dyDescent="0.25">
      <c r="A49" s="158" t="s">
        <v>121</v>
      </c>
      <c r="B49" s="158"/>
      <c r="C49" s="13">
        <v>0.82</v>
      </c>
    </row>
    <row r="50" spans="1:7" x14ac:dyDescent="0.25">
      <c r="A50" s="160"/>
      <c r="B50" s="160"/>
      <c r="C50" s="13"/>
      <c r="F50">
        <v>24525</v>
      </c>
      <c r="G50" t="s">
        <v>160</v>
      </c>
    </row>
    <row r="51" spans="1:7" x14ac:dyDescent="0.25">
      <c r="A51" s="160" t="s">
        <v>122</v>
      </c>
      <c r="B51" s="160"/>
      <c r="C51" s="13"/>
    </row>
    <row r="52" spans="1:7" x14ac:dyDescent="0.25">
      <c r="A52" s="160"/>
      <c r="B52" s="160"/>
      <c r="C52" s="13"/>
    </row>
    <row r="53" spans="1:7" x14ac:dyDescent="0.25">
      <c r="A53" s="158" t="s">
        <v>123</v>
      </c>
      <c r="B53" s="158"/>
      <c r="C53" s="13">
        <v>12</v>
      </c>
      <c r="G53">
        <f>F50/9.81</f>
        <v>2500</v>
      </c>
    </row>
    <row r="54" spans="1:7" x14ac:dyDescent="0.25">
      <c r="A54" s="158" t="s">
        <v>124</v>
      </c>
      <c r="B54" s="158"/>
      <c r="C54" s="13">
        <v>4</v>
      </c>
    </row>
    <row r="55" spans="1:7" x14ac:dyDescent="0.25">
      <c r="A55" s="158" t="s">
        <v>125</v>
      </c>
      <c r="B55" s="158"/>
      <c r="C55" s="13" t="s">
        <v>162</v>
      </c>
    </row>
    <row r="56" spans="1:7" x14ac:dyDescent="0.25">
      <c r="A56" s="158" t="s">
        <v>148</v>
      </c>
      <c r="B56" s="158"/>
      <c r="C56" s="13">
        <v>11.33</v>
      </c>
    </row>
    <row r="57" spans="1:7" ht="17.25" x14ac:dyDescent="0.25">
      <c r="A57" s="158" t="s">
        <v>161</v>
      </c>
      <c r="B57" s="158"/>
      <c r="C57" s="13">
        <v>25</v>
      </c>
      <c r="D57" t="s">
        <v>0</v>
      </c>
    </row>
    <row r="58" spans="1:7" x14ac:dyDescent="0.25">
      <c r="A58" s="13"/>
      <c r="B58" s="13"/>
      <c r="C58" s="13"/>
    </row>
    <row r="59" spans="1:7" x14ac:dyDescent="0.25">
      <c r="A59" s="158" t="s">
        <v>128</v>
      </c>
      <c r="B59" s="158"/>
      <c r="C59" s="158"/>
      <c r="D59" s="158"/>
      <c r="E59" s="158"/>
      <c r="F59" s="158"/>
      <c r="G59" s="158"/>
    </row>
    <row r="60" spans="1:7" x14ac:dyDescent="0.25">
      <c r="A60" s="13"/>
      <c r="B60" s="13"/>
      <c r="C60" s="13"/>
    </row>
    <row r="61" spans="1:7" x14ac:dyDescent="0.25">
      <c r="A61" s="261" t="s">
        <v>129</v>
      </c>
      <c r="B61" s="261"/>
      <c r="C61" s="13">
        <v>0.82</v>
      </c>
    </row>
    <row r="62" spans="1:7" ht="17.25" x14ac:dyDescent="0.25">
      <c r="A62" s="261" t="s">
        <v>130</v>
      </c>
      <c r="B62" s="261"/>
      <c r="C62" s="10">
        <f>C48</f>
        <v>0.06</v>
      </c>
      <c r="D62" t="s">
        <v>133</v>
      </c>
    </row>
    <row r="63" spans="1:7" ht="17.25" x14ac:dyDescent="0.25">
      <c r="A63" s="158" t="s">
        <v>131</v>
      </c>
      <c r="B63" s="158"/>
      <c r="C63" s="13">
        <v>1.29</v>
      </c>
      <c r="D63" t="s">
        <v>134</v>
      </c>
    </row>
    <row r="64" spans="1:7" ht="17.25" x14ac:dyDescent="0.25">
      <c r="A64" s="158" t="s">
        <v>135</v>
      </c>
      <c r="B64" s="158"/>
      <c r="C64" s="13">
        <v>38.89</v>
      </c>
      <c r="D64" t="s">
        <v>132</v>
      </c>
    </row>
    <row r="65" spans="1:4" x14ac:dyDescent="0.25">
      <c r="A65" s="158" t="s">
        <v>138</v>
      </c>
      <c r="B65" s="158"/>
      <c r="C65" s="13">
        <v>800</v>
      </c>
      <c r="D65" t="s">
        <v>139</v>
      </c>
    </row>
    <row r="66" spans="1:4" x14ac:dyDescent="0.25">
      <c r="A66" s="158" t="s">
        <v>144</v>
      </c>
      <c r="B66" s="158"/>
      <c r="C66" s="13">
        <v>3</v>
      </c>
    </row>
    <row r="67" spans="1:4" x14ac:dyDescent="0.25">
      <c r="A67" s="160"/>
      <c r="B67" s="160"/>
      <c r="C67" s="13"/>
    </row>
    <row r="68" spans="1:4" x14ac:dyDescent="0.25">
      <c r="A68" s="13"/>
      <c r="B68" s="13"/>
      <c r="C68" s="13"/>
    </row>
    <row r="69" spans="1:4" x14ac:dyDescent="0.25">
      <c r="A69" s="13"/>
      <c r="B69" s="13"/>
      <c r="C69" s="13"/>
    </row>
    <row r="70" spans="1:4" x14ac:dyDescent="0.25">
      <c r="A70" s="160"/>
      <c r="B70" s="160"/>
    </row>
    <row r="71" spans="1:4" x14ac:dyDescent="0.25">
      <c r="A71" s="160"/>
      <c r="B71" s="160"/>
    </row>
    <row r="83" spans="2:4" ht="15.75" thickBot="1" x14ac:dyDescent="0.3"/>
    <row r="84" spans="2:4" ht="15.75" thickBot="1" x14ac:dyDescent="0.3">
      <c r="B84" s="27" t="s">
        <v>126</v>
      </c>
      <c r="C84" s="26">
        <f>C45*9.81</f>
        <v>4.9050000000000002</v>
      </c>
      <c r="D84" s="28" t="s">
        <v>29</v>
      </c>
    </row>
    <row r="94" spans="2:4" ht="15.75" thickBot="1" x14ac:dyDescent="0.3"/>
    <row r="95" spans="2:4" ht="15.75" thickBot="1" x14ac:dyDescent="0.3">
      <c r="B95" s="27" t="s">
        <v>127</v>
      </c>
      <c r="C95" s="26">
        <f>C45*10</f>
        <v>5</v>
      </c>
      <c r="D95" s="28" t="s">
        <v>29</v>
      </c>
    </row>
    <row r="108" spans="2:4" ht="15.75" thickBot="1" x14ac:dyDescent="0.3"/>
    <row r="109" spans="2:4" ht="15.75" thickBot="1" x14ac:dyDescent="0.3">
      <c r="B109" s="27" t="s">
        <v>136</v>
      </c>
      <c r="C109" s="32">
        <f>0.5*C61*C62*C63*C64*C64</f>
        <v>47.995520261399996</v>
      </c>
      <c r="D109" s="28" t="s">
        <v>29</v>
      </c>
    </row>
    <row r="125" spans="2:4" ht="15.75" thickBot="1" x14ac:dyDescent="0.3"/>
    <row r="126" spans="2:4" ht="15.75" thickBot="1" x14ac:dyDescent="0.3">
      <c r="B126" s="27" t="s">
        <v>137</v>
      </c>
      <c r="C126" s="32">
        <f>C45*((C64*C64)/C65)</f>
        <v>0.94527006250000001</v>
      </c>
      <c r="D126" s="28" t="s">
        <v>29</v>
      </c>
    </row>
    <row r="136" spans="1:4" ht="15.75" thickBot="1" x14ac:dyDescent="0.3"/>
    <row r="137" spans="1:4" ht="15.75" thickBot="1" x14ac:dyDescent="0.3">
      <c r="B137" s="27" t="s">
        <v>140</v>
      </c>
      <c r="C137" s="32">
        <f>C84+C95+C109+C126</f>
        <v>58.845790323899998</v>
      </c>
      <c r="D137" s="28" t="s">
        <v>29</v>
      </c>
    </row>
    <row r="139" spans="1:4" x14ac:dyDescent="0.25">
      <c r="A139" t="s">
        <v>141</v>
      </c>
    </row>
    <row r="140" spans="1:4" x14ac:dyDescent="0.25">
      <c r="A140" t="s">
        <v>142</v>
      </c>
    </row>
    <row r="141" spans="1:4" ht="15.75" thickBot="1" x14ac:dyDescent="0.3"/>
    <row r="142" spans="1:4" ht="15.75" thickBot="1" x14ac:dyDescent="0.3">
      <c r="B142" s="27" t="s">
        <v>143</v>
      </c>
      <c r="C142" s="32">
        <f>C137*C66</f>
        <v>176.5373709717</v>
      </c>
      <c r="D142" s="28" t="s">
        <v>29</v>
      </c>
    </row>
    <row r="154" spans="1:8" x14ac:dyDescent="0.25">
      <c r="H154" t="s">
        <v>163</v>
      </c>
    </row>
    <row r="155" spans="1:8" x14ac:dyDescent="0.25">
      <c r="H155" t="s">
        <v>164</v>
      </c>
    </row>
    <row r="157" spans="1:8" x14ac:dyDescent="0.25">
      <c r="A157" t="s">
        <v>145</v>
      </c>
    </row>
    <row r="170" spans="1:4" x14ac:dyDescent="0.25">
      <c r="A170" t="s">
        <v>146</v>
      </c>
    </row>
    <row r="171" spans="1:4" ht="15.75" thickBot="1" x14ac:dyDescent="0.3"/>
    <row r="172" spans="1:4" ht="15.75" thickBot="1" x14ac:dyDescent="0.3">
      <c r="B172" s="27" t="s">
        <v>150</v>
      </c>
      <c r="C172" s="32">
        <f>((0.9*C57*C56)/1.25)*C53</f>
        <v>2447.2799999999997</v>
      </c>
      <c r="D172" s="28" t="s">
        <v>29</v>
      </c>
    </row>
    <row r="181" spans="1:4" x14ac:dyDescent="0.25">
      <c r="A181" t="s">
        <v>149</v>
      </c>
    </row>
    <row r="182" spans="1:4" ht="15.75" thickBot="1" x14ac:dyDescent="0.3"/>
    <row r="183" spans="1:4" ht="15.75" thickBot="1" x14ac:dyDescent="0.3">
      <c r="B183" s="27" t="s">
        <v>147</v>
      </c>
      <c r="C183" s="32">
        <f>((0.5*C57*C56)/1.25)*C53</f>
        <v>1359.6</v>
      </c>
      <c r="D183" s="28" t="s">
        <v>29</v>
      </c>
    </row>
    <row r="188" spans="1:4" x14ac:dyDescent="0.25">
      <c r="B188" s="29" t="s">
        <v>151</v>
      </c>
      <c r="C188" s="29"/>
    </row>
    <row r="206" spans="4:5" x14ac:dyDescent="0.25">
      <c r="D206" s="239" t="s">
        <v>56</v>
      </c>
      <c r="E206" s="239">
        <f>(C142/C183)+(C142/(1.4*C172))</f>
        <v>0.18137090560610264</v>
      </c>
    </row>
    <row r="207" spans="4:5" x14ac:dyDescent="0.25">
      <c r="D207" s="239"/>
      <c r="E207" s="239"/>
    </row>
    <row r="209" spans="2:4" ht="15.75" thickBot="1" x14ac:dyDescent="0.3"/>
    <row r="210" spans="2:4" ht="15.75" thickBot="1" x14ac:dyDescent="0.3">
      <c r="B210" s="30" t="s">
        <v>152</v>
      </c>
      <c r="C210" s="33">
        <f>E206</f>
        <v>0.18137090560610264</v>
      </c>
      <c r="D210" s="31"/>
    </row>
  </sheetData>
  <mergeCells count="50">
    <mergeCell ref="A7:B7"/>
    <mergeCell ref="D7:E7"/>
    <mergeCell ref="B2:E3"/>
    <mergeCell ref="A5:C5"/>
    <mergeCell ref="D5:F5"/>
    <mergeCell ref="A6:B6"/>
    <mergeCell ref="D6:E6"/>
    <mergeCell ref="A17:C17"/>
    <mergeCell ref="A8:B8"/>
    <mergeCell ref="D8:E8"/>
    <mergeCell ref="A9:B9"/>
    <mergeCell ref="D9:E9"/>
    <mergeCell ref="A10:B10"/>
    <mergeCell ref="D10:E10"/>
    <mergeCell ref="A11:B11"/>
    <mergeCell ref="A13:D13"/>
    <mergeCell ref="A14:C14"/>
    <mergeCell ref="A15:C15"/>
    <mergeCell ref="A16:C16"/>
    <mergeCell ref="A50:B50"/>
    <mergeCell ref="A18:C18"/>
    <mergeCell ref="A19:C19"/>
    <mergeCell ref="A20:B20"/>
    <mergeCell ref="A21:E21"/>
    <mergeCell ref="A25:B25"/>
    <mergeCell ref="A26:B26"/>
    <mergeCell ref="A45:B45"/>
    <mergeCell ref="A46:B46"/>
    <mergeCell ref="A47:B47"/>
    <mergeCell ref="A48:B48"/>
    <mergeCell ref="A49:B49"/>
    <mergeCell ref="A64:B64"/>
    <mergeCell ref="A51:B51"/>
    <mergeCell ref="A52:B52"/>
    <mergeCell ref="A53:B53"/>
    <mergeCell ref="A54:B54"/>
    <mergeCell ref="A55:B55"/>
    <mergeCell ref="A56:B56"/>
    <mergeCell ref="A57:B57"/>
    <mergeCell ref="A59:G59"/>
    <mergeCell ref="A61:B61"/>
    <mergeCell ref="A62:B62"/>
    <mergeCell ref="A63:B63"/>
    <mergeCell ref="E206:E207"/>
    <mergeCell ref="A65:B65"/>
    <mergeCell ref="A66:B66"/>
    <mergeCell ref="A67:B67"/>
    <mergeCell ref="A70:B70"/>
    <mergeCell ref="A71:B71"/>
    <mergeCell ref="D206:D207"/>
  </mergeCells>
  <conditionalFormatting sqref="C172">
    <cfRule type="cellIs" dxfId="55" priority="12" operator="lessThan">
      <formula>$C$142</formula>
    </cfRule>
    <cfRule type="cellIs" dxfId="54" priority="13" operator="equal">
      <formula>$C$142</formula>
    </cfRule>
    <cfRule type="cellIs" dxfId="53" priority="14" operator="greaterThan">
      <formula>$C$142</formula>
    </cfRule>
  </conditionalFormatting>
  <conditionalFormatting sqref="C183">
    <cfRule type="cellIs" dxfId="52" priority="6" operator="lessThan">
      <formula>$C$142</formula>
    </cfRule>
    <cfRule type="cellIs" dxfId="51" priority="7" operator="equal">
      <formula>$C$142</formula>
    </cfRule>
    <cfRule type="cellIs" dxfId="50" priority="8" operator="greaterThan">
      <formula>$C$142</formula>
    </cfRule>
  </conditionalFormatting>
  <conditionalFormatting sqref="C210">
    <cfRule type="cellIs" dxfId="49" priority="9" operator="greaterThan">
      <formula>1</formula>
    </cfRule>
    <cfRule type="cellIs" dxfId="48" priority="10" operator="equal">
      <formula>1</formula>
    </cfRule>
    <cfRule type="cellIs" dxfId="47" priority="11" operator="lessThan">
      <formula>1</formula>
    </cfRule>
  </conditionalFormatting>
  <conditionalFormatting sqref="C26:D26">
    <cfRule type="cellIs" dxfId="46" priority="4" operator="lessThan">
      <formula>$A$26</formula>
    </cfRule>
    <cfRule type="cellIs" dxfId="45" priority="5" operator="greaterThan">
      <formula>$A$26</formula>
    </cfRule>
  </conditionalFormatting>
  <conditionalFormatting sqref="E26">
    <cfRule type="cellIs" dxfId="44" priority="1" operator="equal">
      <formula>1</formula>
    </cfRule>
    <cfRule type="cellIs" dxfId="43" priority="2" operator="lessThan">
      <formula>1</formula>
    </cfRule>
    <cfRule type="cellIs" dxfId="42" priority="3" operator="greaterThan">
      <formula>1</formula>
    </cfRule>
  </conditionalFormatting>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14347-5DB1-4EC6-A0C0-9D6A5E9BD767}">
  <dimension ref="A2:H210"/>
  <sheetViews>
    <sheetView workbookViewId="0">
      <selection activeCell="D11" sqref="D11"/>
    </sheetView>
  </sheetViews>
  <sheetFormatPr baseColWidth="10" defaultRowHeight="15" x14ac:dyDescent="0.25"/>
  <cols>
    <col min="1" max="1" width="11.85546875" style="96" customWidth="1"/>
    <col min="2" max="2" width="14.7109375" style="96" customWidth="1"/>
    <col min="3" max="3" width="17.85546875" style="96" customWidth="1"/>
    <col min="4" max="4" width="18.5703125" style="96" customWidth="1"/>
    <col min="5" max="5" width="12.42578125" style="96" customWidth="1"/>
    <col min="6" max="16384" width="11.42578125" style="96"/>
  </cols>
  <sheetData>
    <row r="2" spans="1:6" ht="15" customHeight="1" x14ac:dyDescent="0.25">
      <c r="B2" s="255" t="s">
        <v>426</v>
      </c>
      <c r="C2" s="255"/>
      <c r="D2" s="255"/>
      <c r="E2" s="255"/>
    </row>
    <row r="3" spans="1:6" ht="15" customHeight="1" x14ac:dyDescent="0.25">
      <c r="B3" s="255"/>
      <c r="C3" s="255"/>
      <c r="D3" s="255"/>
      <c r="E3" s="255"/>
    </row>
    <row r="5" spans="1:6" x14ac:dyDescent="0.25">
      <c r="A5" s="253" t="s">
        <v>119</v>
      </c>
      <c r="B5" s="253"/>
      <c r="C5" s="253"/>
      <c r="D5" s="253" t="s">
        <v>122</v>
      </c>
      <c r="E5" s="253"/>
      <c r="F5" s="253"/>
    </row>
    <row r="6" spans="1:6" x14ac:dyDescent="0.25">
      <c r="A6" s="207" t="s">
        <v>120</v>
      </c>
      <c r="B6" s="207"/>
      <c r="C6" s="100">
        <v>2</v>
      </c>
      <c r="D6" s="207" t="s">
        <v>123</v>
      </c>
      <c r="E6" s="207"/>
      <c r="F6" s="100">
        <v>8</v>
      </c>
    </row>
    <row r="7" spans="1:6" x14ac:dyDescent="0.25">
      <c r="A7" s="207" t="s">
        <v>153</v>
      </c>
      <c r="B7" s="207"/>
      <c r="C7" s="100">
        <v>0.53</v>
      </c>
      <c r="D7" s="207" t="s">
        <v>124</v>
      </c>
      <c r="E7" s="207"/>
      <c r="F7" s="100">
        <v>8</v>
      </c>
    </row>
    <row r="8" spans="1:6" x14ac:dyDescent="0.25">
      <c r="A8" s="207" t="s">
        <v>154</v>
      </c>
      <c r="B8" s="207"/>
      <c r="C8" s="100">
        <v>0.83</v>
      </c>
      <c r="D8" s="207" t="s">
        <v>125</v>
      </c>
      <c r="E8" s="207"/>
      <c r="F8" s="100">
        <v>8.8000000000000007</v>
      </c>
    </row>
    <row r="9" spans="1:6" ht="18" x14ac:dyDescent="0.25">
      <c r="A9" s="207" t="s">
        <v>378</v>
      </c>
      <c r="B9" s="207"/>
      <c r="C9" s="134">
        <f>C7*C8</f>
        <v>0.43990000000000001</v>
      </c>
      <c r="D9" s="207" t="s">
        <v>148</v>
      </c>
      <c r="E9" s="207"/>
      <c r="F9" s="100">
        <v>36.630000000000003</v>
      </c>
    </row>
    <row r="10" spans="1:6" ht="27" customHeight="1" x14ac:dyDescent="0.25">
      <c r="A10" s="207" t="s">
        <v>121</v>
      </c>
      <c r="B10" s="207"/>
      <c r="C10" s="112">
        <v>0.82</v>
      </c>
      <c r="D10" s="266" t="s">
        <v>429</v>
      </c>
      <c r="E10" s="266"/>
      <c r="F10" s="112">
        <v>80</v>
      </c>
    </row>
    <row r="11" spans="1:6" x14ac:dyDescent="0.25">
      <c r="A11" s="208"/>
      <c r="B11" s="208"/>
      <c r="C11" s="107"/>
    </row>
    <row r="12" spans="1:6" x14ac:dyDescent="0.25">
      <c r="A12" s="107"/>
      <c r="B12" s="107"/>
      <c r="C12" s="107"/>
    </row>
    <row r="13" spans="1:6" x14ac:dyDescent="0.25">
      <c r="A13" s="253" t="s">
        <v>128</v>
      </c>
      <c r="B13" s="253"/>
      <c r="C13" s="253"/>
      <c r="D13" s="253"/>
      <c r="E13" s="121"/>
      <c r="F13" s="121"/>
    </row>
    <row r="14" spans="1:6" x14ac:dyDescent="0.25">
      <c r="A14" s="207" t="s">
        <v>336</v>
      </c>
      <c r="B14" s="207"/>
      <c r="C14" s="207"/>
      <c r="D14" s="100">
        <v>0.82</v>
      </c>
    </row>
    <row r="15" spans="1:6" ht="18" x14ac:dyDescent="0.25">
      <c r="A15" s="207" t="s">
        <v>379</v>
      </c>
      <c r="B15" s="207"/>
      <c r="C15" s="207"/>
      <c r="D15" s="120">
        <f>C9</f>
        <v>0.43990000000000001</v>
      </c>
    </row>
    <row r="16" spans="1:6" ht="18" x14ac:dyDescent="0.25">
      <c r="A16" s="207" t="s">
        <v>380</v>
      </c>
      <c r="B16" s="207"/>
      <c r="C16" s="207"/>
      <c r="D16" s="100">
        <v>1.29</v>
      </c>
    </row>
    <row r="17" spans="1:8" ht="18" x14ac:dyDescent="0.25">
      <c r="A17" s="207" t="s">
        <v>381</v>
      </c>
      <c r="B17" s="207"/>
      <c r="C17" s="207"/>
      <c r="D17" s="100">
        <v>38.89</v>
      </c>
    </row>
    <row r="18" spans="1:8" x14ac:dyDescent="0.25">
      <c r="A18" s="207" t="s">
        <v>340</v>
      </c>
      <c r="B18" s="207"/>
      <c r="C18" s="207"/>
      <c r="D18" s="100">
        <v>800</v>
      </c>
    </row>
    <row r="19" spans="1:8" x14ac:dyDescent="0.25">
      <c r="A19" s="207" t="s">
        <v>144</v>
      </c>
      <c r="B19" s="207"/>
      <c r="C19" s="207"/>
      <c r="D19" s="100">
        <v>3</v>
      </c>
      <c r="H19" s="96" t="s">
        <v>414</v>
      </c>
    </row>
    <row r="20" spans="1:8" x14ac:dyDescent="0.25">
      <c r="A20" s="208"/>
      <c r="B20" s="208"/>
      <c r="C20" s="107"/>
    </row>
    <row r="21" spans="1:8" x14ac:dyDescent="0.25">
      <c r="A21" s="253" t="s">
        <v>347</v>
      </c>
      <c r="B21" s="253"/>
      <c r="C21" s="253"/>
      <c r="D21" s="253"/>
      <c r="E21" s="253"/>
    </row>
    <row r="22" spans="1:8" ht="30" x14ac:dyDescent="0.25">
      <c r="A22" s="122" t="s">
        <v>341</v>
      </c>
      <c r="B22" s="123" t="s">
        <v>342</v>
      </c>
      <c r="C22" s="123" t="s">
        <v>343</v>
      </c>
      <c r="D22" s="122" t="s">
        <v>344</v>
      </c>
      <c r="E22" s="123" t="s">
        <v>345</v>
      </c>
    </row>
    <row r="23" spans="1:8" x14ac:dyDescent="0.25">
      <c r="A23" s="120">
        <f>C6*9.81</f>
        <v>19.62</v>
      </c>
      <c r="B23" s="120">
        <f>C6*10</f>
        <v>20</v>
      </c>
      <c r="C23" s="120">
        <f>0.5*D14*D15*D16*D17*D17</f>
        <v>351.88715604983105</v>
      </c>
      <c r="D23" s="120">
        <f>C6*((D17*D17)/D18)</f>
        <v>3.78108025</v>
      </c>
      <c r="E23" s="120">
        <f>SUM(A23:D23)</f>
        <v>395.28823629983106</v>
      </c>
    </row>
    <row r="25" spans="1:8" ht="63" customHeight="1" x14ac:dyDescent="0.25">
      <c r="A25" s="256" t="s">
        <v>346</v>
      </c>
      <c r="B25" s="256"/>
      <c r="C25" s="123" t="s">
        <v>348</v>
      </c>
      <c r="D25" s="123" t="s">
        <v>349</v>
      </c>
      <c r="E25" s="123" t="s">
        <v>350</v>
      </c>
    </row>
    <row r="26" spans="1:8" x14ac:dyDescent="0.25">
      <c r="A26" s="254">
        <f>E23*D19</f>
        <v>1185.8647088994931</v>
      </c>
      <c r="B26" s="254"/>
      <c r="C26" s="100">
        <f>((0.9*F10*F9)/1.25)*F6</f>
        <v>16879.103999999999</v>
      </c>
      <c r="D26" s="120">
        <f>((0.5*F10*F9)/1.25)*F6</f>
        <v>9377.2800000000007</v>
      </c>
      <c r="E26" s="124">
        <f>(A26/D26)+(A26/(1.4*C26))</f>
        <v>0.17664460724109421</v>
      </c>
    </row>
    <row r="45" spans="1:3" x14ac:dyDescent="0.25">
      <c r="A45" s="248" t="s">
        <v>120</v>
      </c>
      <c r="B45" s="248"/>
      <c r="C45" s="107">
        <v>0.5</v>
      </c>
    </row>
    <row r="46" spans="1:3" x14ac:dyDescent="0.25">
      <c r="A46" s="248" t="s">
        <v>153</v>
      </c>
      <c r="B46" s="248"/>
      <c r="C46" s="107">
        <v>0.4</v>
      </c>
    </row>
    <row r="47" spans="1:3" x14ac:dyDescent="0.25">
      <c r="A47" s="248" t="s">
        <v>154</v>
      </c>
      <c r="B47" s="248"/>
      <c r="C47" s="107">
        <v>0.15</v>
      </c>
    </row>
    <row r="48" spans="1:3" ht="18" x14ac:dyDescent="0.25">
      <c r="A48" s="248" t="s">
        <v>378</v>
      </c>
      <c r="B48" s="248"/>
      <c r="C48" s="125">
        <f>C46*C47</f>
        <v>0.06</v>
      </c>
    </row>
    <row r="49" spans="1:7" x14ac:dyDescent="0.25">
      <c r="A49" s="248" t="s">
        <v>121</v>
      </c>
      <c r="B49" s="248"/>
      <c r="C49" s="107">
        <v>0.82</v>
      </c>
    </row>
    <row r="50" spans="1:7" x14ac:dyDescent="0.25">
      <c r="A50" s="208"/>
      <c r="B50" s="208"/>
      <c r="C50" s="107"/>
      <c r="F50" s="96">
        <v>24525</v>
      </c>
      <c r="G50" s="96" t="s">
        <v>160</v>
      </c>
    </row>
    <row r="51" spans="1:7" x14ac:dyDescent="0.25">
      <c r="A51" s="208" t="s">
        <v>122</v>
      </c>
      <c r="B51" s="208"/>
      <c r="C51" s="107"/>
    </row>
    <row r="52" spans="1:7" x14ac:dyDescent="0.25">
      <c r="A52" s="208"/>
      <c r="B52" s="208"/>
      <c r="C52" s="107"/>
    </row>
    <row r="53" spans="1:7" x14ac:dyDescent="0.25">
      <c r="A53" s="248" t="s">
        <v>123</v>
      </c>
      <c r="B53" s="248"/>
      <c r="C53" s="107">
        <v>12</v>
      </c>
      <c r="G53" s="96">
        <f>F50/9.81</f>
        <v>2500</v>
      </c>
    </row>
    <row r="54" spans="1:7" x14ac:dyDescent="0.25">
      <c r="A54" s="248" t="s">
        <v>124</v>
      </c>
      <c r="B54" s="248"/>
      <c r="C54" s="107">
        <v>4</v>
      </c>
    </row>
    <row r="55" spans="1:7" x14ac:dyDescent="0.25">
      <c r="A55" s="248" t="s">
        <v>125</v>
      </c>
      <c r="B55" s="248"/>
      <c r="C55" s="107" t="s">
        <v>162</v>
      </c>
    </row>
    <row r="56" spans="1:7" x14ac:dyDescent="0.25">
      <c r="A56" s="248" t="s">
        <v>148</v>
      </c>
      <c r="B56" s="248"/>
      <c r="C56" s="107">
        <v>11.33</v>
      </c>
    </row>
    <row r="57" spans="1:7" ht="18" x14ac:dyDescent="0.25">
      <c r="A57" s="248" t="s">
        <v>161</v>
      </c>
      <c r="B57" s="248"/>
      <c r="C57" s="107">
        <v>25</v>
      </c>
      <c r="D57" s="96" t="s">
        <v>382</v>
      </c>
    </row>
    <row r="58" spans="1:7" x14ac:dyDescent="0.25">
      <c r="A58" s="107"/>
      <c r="B58" s="107"/>
      <c r="C58" s="107"/>
    </row>
    <row r="59" spans="1:7" x14ac:dyDescent="0.25">
      <c r="A59" s="248" t="s">
        <v>128</v>
      </c>
      <c r="B59" s="248"/>
      <c r="C59" s="248"/>
      <c r="D59" s="248"/>
      <c r="E59" s="248"/>
      <c r="F59" s="248"/>
      <c r="G59" s="248"/>
    </row>
    <row r="60" spans="1:7" x14ac:dyDescent="0.25">
      <c r="A60" s="107"/>
      <c r="B60" s="107"/>
      <c r="C60" s="107"/>
    </row>
    <row r="61" spans="1:7" x14ac:dyDescent="0.25">
      <c r="A61" s="249" t="s">
        <v>129</v>
      </c>
      <c r="B61" s="249"/>
      <c r="C61" s="107">
        <v>0.82</v>
      </c>
    </row>
    <row r="62" spans="1:7" ht="18" x14ac:dyDescent="0.25">
      <c r="A62" s="249" t="s">
        <v>130</v>
      </c>
      <c r="B62" s="249"/>
      <c r="C62" s="125">
        <f>C48</f>
        <v>0.06</v>
      </c>
      <c r="D62" s="96" t="s">
        <v>383</v>
      </c>
    </row>
    <row r="63" spans="1:7" ht="18" x14ac:dyDescent="0.25">
      <c r="A63" s="248" t="s">
        <v>131</v>
      </c>
      <c r="B63" s="248"/>
      <c r="C63" s="107">
        <v>1.29</v>
      </c>
      <c r="D63" s="96" t="s">
        <v>384</v>
      </c>
    </row>
    <row r="64" spans="1:7" ht="18" x14ac:dyDescent="0.25">
      <c r="A64" s="248" t="s">
        <v>385</v>
      </c>
      <c r="B64" s="248"/>
      <c r="C64" s="107">
        <v>38.89</v>
      </c>
      <c r="D64" s="96" t="s">
        <v>132</v>
      </c>
    </row>
    <row r="65" spans="1:4" x14ac:dyDescent="0.25">
      <c r="A65" s="248" t="s">
        <v>138</v>
      </c>
      <c r="B65" s="248"/>
      <c r="C65" s="107">
        <v>800</v>
      </c>
      <c r="D65" s="96" t="s">
        <v>139</v>
      </c>
    </row>
    <row r="66" spans="1:4" x14ac:dyDescent="0.25">
      <c r="A66" s="248" t="s">
        <v>144</v>
      </c>
      <c r="B66" s="248"/>
      <c r="C66" s="107">
        <v>3</v>
      </c>
    </row>
    <row r="67" spans="1:4" x14ac:dyDescent="0.25">
      <c r="A67" s="208"/>
      <c r="B67" s="208"/>
      <c r="C67" s="107"/>
    </row>
    <row r="68" spans="1:4" x14ac:dyDescent="0.25">
      <c r="A68" s="107"/>
      <c r="B68" s="107"/>
      <c r="C68" s="107"/>
    </row>
    <row r="69" spans="1:4" x14ac:dyDescent="0.25">
      <c r="A69" s="107"/>
      <c r="B69" s="107"/>
      <c r="C69" s="107"/>
    </row>
    <row r="70" spans="1:4" x14ac:dyDescent="0.25">
      <c r="A70" s="208"/>
      <c r="B70" s="208"/>
    </row>
    <row r="71" spans="1:4" x14ac:dyDescent="0.25">
      <c r="A71" s="208"/>
      <c r="B71" s="208"/>
    </row>
    <row r="83" spans="2:4" ht="15.75" thickBot="1" x14ac:dyDescent="0.3"/>
    <row r="84" spans="2:4" ht="15.75" thickBot="1" x14ac:dyDescent="0.3">
      <c r="B84" s="126" t="s">
        <v>126</v>
      </c>
      <c r="C84" s="127">
        <f>C45*9.81</f>
        <v>4.9050000000000002</v>
      </c>
      <c r="D84" s="128" t="s">
        <v>29</v>
      </c>
    </row>
    <row r="94" spans="2:4" ht="15.75" thickBot="1" x14ac:dyDescent="0.3"/>
    <row r="95" spans="2:4" ht="15.75" thickBot="1" x14ac:dyDescent="0.3">
      <c r="B95" s="126" t="s">
        <v>127</v>
      </c>
      <c r="C95" s="127">
        <f>C45*10</f>
        <v>5</v>
      </c>
      <c r="D95" s="128" t="s">
        <v>29</v>
      </c>
    </row>
    <row r="108" spans="2:4" ht="15.75" thickBot="1" x14ac:dyDescent="0.3"/>
    <row r="109" spans="2:4" ht="15.75" thickBot="1" x14ac:dyDescent="0.3">
      <c r="B109" s="126" t="s">
        <v>136</v>
      </c>
      <c r="C109" s="129">
        <f>0.5*C61*C62*C63*C64*C64</f>
        <v>47.995520261399996</v>
      </c>
      <c r="D109" s="128" t="s">
        <v>29</v>
      </c>
    </row>
    <row r="125" spans="2:4" ht="15.75" thickBot="1" x14ac:dyDescent="0.3"/>
    <row r="126" spans="2:4" ht="15.75" thickBot="1" x14ac:dyDescent="0.3">
      <c r="B126" s="126" t="s">
        <v>137</v>
      </c>
      <c r="C126" s="129">
        <f>C45*((C64*C64)/C65)</f>
        <v>0.94527006250000001</v>
      </c>
      <c r="D126" s="128" t="s">
        <v>29</v>
      </c>
    </row>
    <row r="136" spans="1:4" ht="15.75" thickBot="1" x14ac:dyDescent="0.3"/>
    <row r="137" spans="1:4" ht="15.75" thickBot="1" x14ac:dyDescent="0.3">
      <c r="B137" s="126" t="s">
        <v>140</v>
      </c>
      <c r="C137" s="129">
        <f>C84+C95+C109+C126</f>
        <v>58.845790323899998</v>
      </c>
      <c r="D137" s="128" t="s">
        <v>29</v>
      </c>
    </row>
    <row r="139" spans="1:4" x14ac:dyDescent="0.25">
      <c r="A139" s="96" t="s">
        <v>141</v>
      </c>
    </row>
    <row r="140" spans="1:4" x14ac:dyDescent="0.25">
      <c r="A140" s="96" t="s">
        <v>142</v>
      </c>
    </row>
    <row r="141" spans="1:4" ht="15.75" thickBot="1" x14ac:dyDescent="0.3"/>
    <row r="142" spans="1:4" ht="15.75" thickBot="1" x14ac:dyDescent="0.3">
      <c r="B142" s="126" t="s">
        <v>143</v>
      </c>
      <c r="C142" s="129">
        <f>C137*C66</f>
        <v>176.5373709717</v>
      </c>
      <c r="D142" s="128" t="s">
        <v>29</v>
      </c>
    </row>
    <row r="154" spans="1:8" x14ac:dyDescent="0.25">
      <c r="H154" s="96" t="s">
        <v>163</v>
      </c>
    </row>
    <row r="155" spans="1:8" x14ac:dyDescent="0.25">
      <c r="H155" s="96" t="s">
        <v>164</v>
      </c>
    </row>
    <row r="157" spans="1:8" x14ac:dyDescent="0.25">
      <c r="A157" s="96" t="s">
        <v>145</v>
      </c>
    </row>
    <row r="170" spans="1:4" x14ac:dyDescent="0.25">
      <c r="A170" s="96" t="s">
        <v>146</v>
      </c>
    </row>
    <row r="171" spans="1:4" ht="15.75" thickBot="1" x14ac:dyDescent="0.3"/>
    <row r="172" spans="1:4" ht="15.75" thickBot="1" x14ac:dyDescent="0.3">
      <c r="B172" s="126" t="s">
        <v>150</v>
      </c>
      <c r="C172" s="129">
        <f>((0.9*C57*C56)/1.25)*C53</f>
        <v>2447.2799999999997</v>
      </c>
      <c r="D172" s="128" t="s">
        <v>29</v>
      </c>
    </row>
    <row r="181" spans="1:4" x14ac:dyDescent="0.25">
      <c r="A181" s="96" t="s">
        <v>149</v>
      </c>
    </row>
    <row r="182" spans="1:4" ht="15.75" thickBot="1" x14ac:dyDescent="0.3"/>
    <row r="183" spans="1:4" ht="15.75" thickBot="1" x14ac:dyDescent="0.3">
      <c r="B183" s="126" t="s">
        <v>147</v>
      </c>
      <c r="C183" s="129">
        <f>((0.5*C57*C56)/1.25)*C53</f>
        <v>1359.6</v>
      </c>
      <c r="D183" s="128" t="s">
        <v>29</v>
      </c>
    </row>
    <row r="188" spans="1:4" x14ac:dyDescent="0.25">
      <c r="B188" s="130" t="s">
        <v>151</v>
      </c>
      <c r="C188" s="130"/>
    </row>
    <row r="206" spans="4:5" x14ac:dyDescent="0.25">
      <c r="D206" s="250" t="s">
        <v>56</v>
      </c>
      <c r="E206" s="250">
        <f>(C142/C183)+(C142/(1.4*C172))</f>
        <v>0.18137090560610264</v>
      </c>
    </row>
    <row r="207" spans="4:5" x14ac:dyDescent="0.25">
      <c r="D207" s="250"/>
      <c r="E207" s="250"/>
    </row>
    <row r="209" spans="2:4" ht="15.75" thickBot="1" x14ac:dyDescent="0.3"/>
    <row r="210" spans="2:4" ht="15.75" thickBot="1" x14ac:dyDescent="0.3">
      <c r="B210" s="131" t="s">
        <v>152</v>
      </c>
      <c r="C210" s="132">
        <f>E206</f>
        <v>0.18137090560610264</v>
      </c>
      <c r="D210" s="133"/>
    </row>
  </sheetData>
  <mergeCells count="50">
    <mergeCell ref="E206:E207"/>
    <mergeCell ref="B2:E3"/>
    <mergeCell ref="A65:B65"/>
    <mergeCell ref="A66:B66"/>
    <mergeCell ref="A67:B67"/>
    <mergeCell ref="A70:B70"/>
    <mergeCell ref="A71:B71"/>
    <mergeCell ref="D206:D207"/>
    <mergeCell ref="A57:B57"/>
    <mergeCell ref="A59:G59"/>
    <mergeCell ref="A61:B61"/>
    <mergeCell ref="A62:B62"/>
    <mergeCell ref="A63:B63"/>
    <mergeCell ref="A64:B64"/>
    <mergeCell ref="A51:B51"/>
    <mergeCell ref="A52:B52"/>
    <mergeCell ref="A53:B53"/>
    <mergeCell ref="A54:B54"/>
    <mergeCell ref="A55:B55"/>
    <mergeCell ref="A56:B56"/>
    <mergeCell ref="A45:B45"/>
    <mergeCell ref="A46:B46"/>
    <mergeCell ref="A47:B47"/>
    <mergeCell ref="A48:B48"/>
    <mergeCell ref="A49:B49"/>
    <mergeCell ref="A50:B50"/>
    <mergeCell ref="A26:B26"/>
    <mergeCell ref="A11:B11"/>
    <mergeCell ref="A13:D13"/>
    <mergeCell ref="A14:C14"/>
    <mergeCell ref="A15:C15"/>
    <mergeCell ref="A16:C16"/>
    <mergeCell ref="A17:C17"/>
    <mergeCell ref="A18:C18"/>
    <mergeCell ref="A19:C19"/>
    <mergeCell ref="A20:B20"/>
    <mergeCell ref="A21:E21"/>
    <mergeCell ref="A25:B25"/>
    <mergeCell ref="A8:B8"/>
    <mergeCell ref="D8:E8"/>
    <mergeCell ref="A9:B9"/>
    <mergeCell ref="D9:E9"/>
    <mergeCell ref="A10:B10"/>
    <mergeCell ref="D10:E10"/>
    <mergeCell ref="A5:C5"/>
    <mergeCell ref="D5:F5"/>
    <mergeCell ref="A6:B6"/>
    <mergeCell ref="D6:E6"/>
    <mergeCell ref="A7:B7"/>
    <mergeCell ref="D7:E7"/>
  </mergeCells>
  <conditionalFormatting sqref="C172">
    <cfRule type="cellIs" dxfId="41" priority="14" operator="lessThan">
      <formula>$C$142</formula>
    </cfRule>
    <cfRule type="cellIs" dxfId="40" priority="15" operator="equal">
      <formula>$C$142</formula>
    </cfRule>
    <cfRule type="cellIs" dxfId="39" priority="16" operator="greaterThan">
      <formula>$C$142</formula>
    </cfRule>
  </conditionalFormatting>
  <conditionalFormatting sqref="C183">
    <cfRule type="cellIs" dxfId="38" priority="8" operator="lessThan">
      <formula>$C$142</formula>
    </cfRule>
    <cfRule type="cellIs" dxfId="37" priority="9" operator="equal">
      <formula>$C$142</formula>
    </cfRule>
    <cfRule type="cellIs" dxfId="36" priority="10" operator="greaterThan">
      <formula>$C$142</formula>
    </cfRule>
  </conditionalFormatting>
  <conditionalFormatting sqref="C210">
    <cfRule type="cellIs" dxfId="35" priority="11" operator="greaterThan">
      <formula>1</formula>
    </cfRule>
    <cfRule type="cellIs" dxfId="34" priority="12" operator="equal">
      <formula>1</formula>
    </cfRule>
    <cfRule type="cellIs" dxfId="33" priority="13" operator="lessThan">
      <formula>1</formula>
    </cfRule>
  </conditionalFormatting>
  <conditionalFormatting sqref="C26:D26">
    <cfRule type="cellIs" dxfId="32" priority="4" operator="lessThan">
      <formula>$A$26</formula>
    </cfRule>
    <cfRule type="cellIs" dxfId="31" priority="5" operator="greaterThan">
      <formula>$A$26</formula>
    </cfRule>
  </conditionalFormatting>
  <conditionalFormatting sqref="E26">
    <cfRule type="cellIs" dxfId="30" priority="1" operator="equal">
      <formula>1</formula>
    </cfRule>
    <cfRule type="cellIs" dxfId="29" priority="2" operator="lessThan">
      <formula>1</formula>
    </cfRule>
    <cfRule type="cellIs" dxfId="28" priority="3" operator="greaterThan">
      <formula>1</formula>
    </cfRule>
  </conditionalFormatting>
  <pageMargins left="0.7" right="0.7" top="0.75" bottom="0.75" header="0.3" footer="0.3"/>
  <pageSetup paperSize="9" orientation="portrait" horizontalDpi="0" verticalDpi="0"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AAB62-4FA0-4C33-97AF-BA34081E9E39}">
  <dimension ref="A2:H210"/>
  <sheetViews>
    <sheetView workbookViewId="0">
      <selection activeCell="D10" sqref="D10:E10"/>
    </sheetView>
  </sheetViews>
  <sheetFormatPr baseColWidth="10" defaultRowHeight="15" x14ac:dyDescent="0.25"/>
  <cols>
    <col min="1" max="1" width="11.85546875" customWidth="1"/>
    <col min="2" max="2" width="14.7109375" customWidth="1"/>
    <col min="3" max="3" width="17.85546875" customWidth="1"/>
    <col min="4" max="4" width="18.5703125" customWidth="1"/>
    <col min="5" max="5" width="12.140625" customWidth="1"/>
  </cols>
  <sheetData>
    <row r="2" spans="1:6" ht="15" customHeight="1" x14ac:dyDescent="0.25">
      <c r="B2" s="260" t="s">
        <v>427</v>
      </c>
      <c r="C2" s="260"/>
      <c r="D2" s="260"/>
      <c r="E2" s="260"/>
    </row>
    <row r="3" spans="1:6" ht="15" customHeight="1" x14ac:dyDescent="0.25">
      <c r="B3" s="260"/>
      <c r="C3" s="260"/>
      <c r="D3" s="260"/>
      <c r="E3" s="260"/>
    </row>
    <row r="5" spans="1:6" x14ac:dyDescent="0.25">
      <c r="A5" s="231" t="s">
        <v>119</v>
      </c>
      <c r="B5" s="231"/>
      <c r="C5" s="231"/>
      <c r="D5" s="231" t="s">
        <v>122</v>
      </c>
      <c r="E5" s="231"/>
      <c r="F5" s="231"/>
    </row>
    <row r="6" spans="1:6" x14ac:dyDescent="0.25">
      <c r="A6" s="159" t="s">
        <v>120</v>
      </c>
      <c r="B6" s="159"/>
      <c r="C6" s="3">
        <v>1.5</v>
      </c>
      <c r="D6" s="159" t="s">
        <v>123</v>
      </c>
      <c r="E6" s="159"/>
      <c r="F6" s="3">
        <v>6</v>
      </c>
    </row>
    <row r="7" spans="1:6" x14ac:dyDescent="0.25">
      <c r="A7" s="159" t="s">
        <v>153</v>
      </c>
      <c r="B7" s="159"/>
      <c r="C7" s="3">
        <v>0.43</v>
      </c>
      <c r="D7" s="159" t="s">
        <v>124</v>
      </c>
      <c r="E7" s="159"/>
      <c r="F7" s="3">
        <v>8</v>
      </c>
    </row>
    <row r="8" spans="1:6" x14ac:dyDescent="0.25">
      <c r="A8" s="159" t="s">
        <v>154</v>
      </c>
      <c r="B8" s="159"/>
      <c r="C8" s="3">
        <v>0.33</v>
      </c>
      <c r="D8" s="159" t="s">
        <v>125</v>
      </c>
      <c r="E8" s="159"/>
      <c r="F8" s="3">
        <v>8.8000000000000007</v>
      </c>
    </row>
    <row r="9" spans="1:6" ht="17.25" x14ac:dyDescent="0.25">
      <c r="A9" s="159" t="s">
        <v>155</v>
      </c>
      <c r="B9" s="159"/>
      <c r="C9" s="77">
        <f>C7*C8</f>
        <v>0.1419</v>
      </c>
      <c r="D9" s="159" t="s">
        <v>148</v>
      </c>
      <c r="E9" s="159"/>
      <c r="F9" s="3">
        <v>36.630000000000003</v>
      </c>
    </row>
    <row r="10" spans="1:6" ht="32.25" customHeight="1" x14ac:dyDescent="0.25">
      <c r="A10" s="159" t="s">
        <v>121</v>
      </c>
      <c r="B10" s="159"/>
      <c r="C10" s="3">
        <v>0.82</v>
      </c>
      <c r="D10" s="232" t="s">
        <v>429</v>
      </c>
      <c r="E10" s="232"/>
      <c r="F10" s="3">
        <v>80</v>
      </c>
    </row>
    <row r="11" spans="1:6" x14ac:dyDescent="0.25">
      <c r="A11" s="160"/>
      <c r="B11" s="160"/>
      <c r="C11" s="13"/>
    </row>
    <row r="12" spans="1:6" x14ac:dyDescent="0.25">
      <c r="A12" s="13"/>
      <c r="B12" s="13"/>
      <c r="C12" s="13"/>
    </row>
    <row r="13" spans="1:6" x14ac:dyDescent="0.25">
      <c r="A13" s="231" t="s">
        <v>128</v>
      </c>
      <c r="B13" s="231"/>
      <c r="C13" s="231"/>
      <c r="D13" s="231"/>
      <c r="E13" s="38"/>
      <c r="F13" s="38"/>
    </row>
    <row r="14" spans="1:6" x14ac:dyDescent="0.25">
      <c r="A14" s="159" t="s">
        <v>336</v>
      </c>
      <c r="B14" s="159"/>
      <c r="C14" s="159"/>
      <c r="D14" s="3">
        <v>0.82</v>
      </c>
    </row>
    <row r="15" spans="1:6" ht="17.25" x14ac:dyDescent="0.25">
      <c r="A15" s="159" t="s">
        <v>337</v>
      </c>
      <c r="B15" s="159"/>
      <c r="C15" s="159"/>
      <c r="D15" s="77">
        <f>C9</f>
        <v>0.1419</v>
      </c>
    </row>
    <row r="16" spans="1:6" ht="17.25" x14ac:dyDescent="0.25">
      <c r="A16" s="159" t="s">
        <v>338</v>
      </c>
      <c r="B16" s="159"/>
      <c r="C16" s="159"/>
      <c r="D16" s="3">
        <v>1.29</v>
      </c>
    </row>
    <row r="17" spans="1:5" ht="17.25" x14ac:dyDescent="0.25">
      <c r="A17" s="159" t="s">
        <v>339</v>
      </c>
      <c r="B17" s="159"/>
      <c r="C17" s="159"/>
      <c r="D17" s="3">
        <v>38.89</v>
      </c>
    </row>
    <row r="18" spans="1:5" x14ac:dyDescent="0.25">
      <c r="A18" s="159" t="s">
        <v>340</v>
      </c>
      <c r="B18" s="159"/>
      <c r="C18" s="159"/>
      <c r="D18" s="3">
        <v>800</v>
      </c>
    </row>
    <row r="19" spans="1:5" x14ac:dyDescent="0.25">
      <c r="A19" s="159" t="s">
        <v>144</v>
      </c>
      <c r="B19" s="159"/>
      <c r="C19" s="159"/>
      <c r="D19" s="3">
        <v>3</v>
      </c>
    </row>
    <row r="20" spans="1:5" x14ac:dyDescent="0.25">
      <c r="A20" s="160"/>
      <c r="B20" s="160"/>
      <c r="C20" s="13"/>
    </row>
    <row r="21" spans="1:5" x14ac:dyDescent="0.25">
      <c r="A21" s="231" t="s">
        <v>347</v>
      </c>
      <c r="B21" s="231"/>
      <c r="C21" s="231"/>
      <c r="D21" s="231"/>
      <c r="E21" s="231"/>
    </row>
    <row r="22" spans="1:5" ht="30" x14ac:dyDescent="0.25">
      <c r="A22" s="90" t="s">
        <v>341</v>
      </c>
      <c r="B22" s="91" t="s">
        <v>342</v>
      </c>
      <c r="C22" s="91" t="s">
        <v>343</v>
      </c>
      <c r="D22" s="90" t="s">
        <v>344</v>
      </c>
      <c r="E22" s="91" t="s">
        <v>345</v>
      </c>
    </row>
    <row r="23" spans="1:5" x14ac:dyDescent="0.25">
      <c r="A23" s="77">
        <f>C6*9.81</f>
        <v>14.715</v>
      </c>
      <c r="B23" s="77">
        <f>C6*10</f>
        <v>15</v>
      </c>
      <c r="C23" s="77">
        <f>0.5*D14*D15*D16*D17*D17</f>
        <v>113.50940541821099</v>
      </c>
      <c r="D23" s="77">
        <f>C6*((D17*D17)/D18)</f>
        <v>2.8358101874999999</v>
      </c>
      <c r="E23" s="77">
        <f>SUM(A23:D23)</f>
        <v>146.06021560571097</v>
      </c>
    </row>
    <row r="25" spans="1:5" ht="63" customHeight="1" x14ac:dyDescent="0.25">
      <c r="A25" s="259" t="s">
        <v>346</v>
      </c>
      <c r="B25" s="259"/>
      <c r="C25" s="91" t="s">
        <v>348</v>
      </c>
      <c r="D25" s="91" t="s">
        <v>349</v>
      </c>
      <c r="E25" s="91" t="s">
        <v>350</v>
      </c>
    </row>
    <row r="26" spans="1:5" x14ac:dyDescent="0.25">
      <c r="A26" s="258">
        <f>E23*D19</f>
        <v>438.18064681713292</v>
      </c>
      <c r="B26" s="258"/>
      <c r="C26" s="3">
        <f>((0.9*F10*F9)/1.25)*F6</f>
        <v>12659.328</v>
      </c>
      <c r="D26" s="77">
        <f>((0.5*F10*F9)/1.25)*F6</f>
        <v>7032.9600000000009</v>
      </c>
      <c r="E26" s="92">
        <f>(A26/D26)+(A26/(1.4*C26))</f>
        <v>8.7027632159368276E-2</v>
      </c>
    </row>
    <row r="45" spans="1:3" x14ac:dyDescent="0.25">
      <c r="A45" s="158" t="s">
        <v>120</v>
      </c>
      <c r="B45" s="158"/>
      <c r="C45" s="13">
        <v>0.5</v>
      </c>
    </row>
    <row r="46" spans="1:3" x14ac:dyDescent="0.25">
      <c r="A46" s="158" t="s">
        <v>153</v>
      </c>
      <c r="B46" s="158"/>
      <c r="C46" s="13">
        <v>0.4</v>
      </c>
    </row>
    <row r="47" spans="1:3" x14ac:dyDescent="0.25">
      <c r="A47" s="158" t="s">
        <v>154</v>
      </c>
      <c r="B47" s="158"/>
      <c r="C47" s="13">
        <v>0.15</v>
      </c>
    </row>
    <row r="48" spans="1:3" ht="17.25" x14ac:dyDescent="0.25">
      <c r="A48" s="158" t="s">
        <v>155</v>
      </c>
      <c r="B48" s="158"/>
      <c r="C48" s="10">
        <f>C46*C47</f>
        <v>0.06</v>
      </c>
    </row>
    <row r="49" spans="1:7" x14ac:dyDescent="0.25">
      <c r="A49" s="158" t="s">
        <v>121</v>
      </c>
      <c r="B49" s="158"/>
      <c r="C49" s="13">
        <v>0.82</v>
      </c>
    </row>
    <row r="50" spans="1:7" x14ac:dyDescent="0.25">
      <c r="A50" s="160"/>
      <c r="B50" s="160"/>
      <c r="C50" s="13"/>
      <c r="F50">
        <v>24525</v>
      </c>
      <c r="G50" t="s">
        <v>160</v>
      </c>
    </row>
    <row r="51" spans="1:7" x14ac:dyDescent="0.25">
      <c r="A51" s="160" t="s">
        <v>122</v>
      </c>
      <c r="B51" s="160"/>
      <c r="C51" s="13"/>
    </row>
    <row r="52" spans="1:7" x14ac:dyDescent="0.25">
      <c r="A52" s="160"/>
      <c r="B52" s="160"/>
      <c r="C52" s="13"/>
    </row>
    <row r="53" spans="1:7" x14ac:dyDescent="0.25">
      <c r="A53" s="158" t="s">
        <v>123</v>
      </c>
      <c r="B53" s="158"/>
      <c r="C53" s="13">
        <v>12</v>
      </c>
      <c r="G53">
        <f>F50/9.81</f>
        <v>2500</v>
      </c>
    </row>
    <row r="54" spans="1:7" x14ac:dyDescent="0.25">
      <c r="A54" s="158" t="s">
        <v>124</v>
      </c>
      <c r="B54" s="158"/>
      <c r="C54" s="13">
        <v>4</v>
      </c>
    </row>
    <row r="55" spans="1:7" x14ac:dyDescent="0.25">
      <c r="A55" s="158" t="s">
        <v>125</v>
      </c>
      <c r="B55" s="158"/>
      <c r="C55" s="13" t="s">
        <v>162</v>
      </c>
    </row>
    <row r="56" spans="1:7" x14ac:dyDescent="0.25">
      <c r="A56" s="158" t="s">
        <v>148</v>
      </c>
      <c r="B56" s="158"/>
      <c r="C56" s="13">
        <v>11.33</v>
      </c>
    </row>
    <row r="57" spans="1:7" ht="17.25" x14ac:dyDescent="0.25">
      <c r="A57" s="158" t="s">
        <v>161</v>
      </c>
      <c r="B57" s="158"/>
      <c r="C57" s="13">
        <v>25</v>
      </c>
      <c r="D57" t="s">
        <v>0</v>
      </c>
    </row>
    <row r="58" spans="1:7" x14ac:dyDescent="0.25">
      <c r="A58" s="13"/>
      <c r="B58" s="13"/>
      <c r="C58" s="13"/>
    </row>
    <row r="59" spans="1:7" x14ac:dyDescent="0.25">
      <c r="A59" s="158" t="s">
        <v>128</v>
      </c>
      <c r="B59" s="158"/>
      <c r="C59" s="158"/>
      <c r="D59" s="158"/>
      <c r="E59" s="158"/>
      <c r="F59" s="158"/>
      <c r="G59" s="158"/>
    </row>
    <row r="60" spans="1:7" x14ac:dyDescent="0.25">
      <c r="A60" s="13"/>
      <c r="B60" s="13"/>
      <c r="C60" s="13"/>
    </row>
    <row r="61" spans="1:7" x14ac:dyDescent="0.25">
      <c r="A61" s="261" t="s">
        <v>129</v>
      </c>
      <c r="B61" s="261"/>
      <c r="C61" s="13">
        <v>0.82</v>
      </c>
    </row>
    <row r="62" spans="1:7" ht="17.25" x14ac:dyDescent="0.25">
      <c r="A62" s="261" t="s">
        <v>130</v>
      </c>
      <c r="B62" s="261"/>
      <c r="C62" s="10">
        <f>C48</f>
        <v>0.06</v>
      </c>
      <c r="D62" t="s">
        <v>133</v>
      </c>
    </row>
    <row r="63" spans="1:7" ht="17.25" x14ac:dyDescent="0.25">
      <c r="A63" s="158" t="s">
        <v>131</v>
      </c>
      <c r="B63" s="158"/>
      <c r="C63" s="13">
        <v>1.29</v>
      </c>
      <c r="D63" t="s">
        <v>134</v>
      </c>
    </row>
    <row r="64" spans="1:7" ht="17.25" x14ac:dyDescent="0.25">
      <c r="A64" s="158" t="s">
        <v>135</v>
      </c>
      <c r="B64" s="158"/>
      <c r="C64" s="13">
        <v>38.89</v>
      </c>
      <c r="D64" t="s">
        <v>132</v>
      </c>
    </row>
    <row r="65" spans="1:4" x14ac:dyDescent="0.25">
      <c r="A65" s="158" t="s">
        <v>138</v>
      </c>
      <c r="B65" s="158"/>
      <c r="C65" s="13">
        <v>800</v>
      </c>
      <c r="D65" t="s">
        <v>139</v>
      </c>
    </row>
    <row r="66" spans="1:4" x14ac:dyDescent="0.25">
      <c r="A66" s="158" t="s">
        <v>144</v>
      </c>
      <c r="B66" s="158"/>
      <c r="C66" s="13">
        <v>3</v>
      </c>
    </row>
    <row r="67" spans="1:4" x14ac:dyDescent="0.25">
      <c r="A67" s="160"/>
      <c r="B67" s="160"/>
      <c r="C67" s="13"/>
    </row>
    <row r="68" spans="1:4" x14ac:dyDescent="0.25">
      <c r="A68" s="13"/>
      <c r="B68" s="13"/>
      <c r="C68" s="13"/>
    </row>
    <row r="69" spans="1:4" x14ac:dyDescent="0.25">
      <c r="A69" s="13"/>
      <c r="B69" s="13"/>
      <c r="C69" s="13"/>
    </row>
    <row r="70" spans="1:4" x14ac:dyDescent="0.25">
      <c r="A70" s="160"/>
      <c r="B70" s="160"/>
    </row>
    <row r="71" spans="1:4" x14ac:dyDescent="0.25">
      <c r="A71" s="160"/>
      <c r="B71" s="160"/>
    </row>
    <row r="83" spans="2:4" ht="15.75" thickBot="1" x14ac:dyDescent="0.3"/>
    <row r="84" spans="2:4" ht="15.75" thickBot="1" x14ac:dyDescent="0.3">
      <c r="B84" s="27" t="s">
        <v>126</v>
      </c>
      <c r="C84" s="26">
        <f>C45*9.81</f>
        <v>4.9050000000000002</v>
      </c>
      <c r="D84" s="28" t="s">
        <v>29</v>
      </c>
    </row>
    <row r="94" spans="2:4" ht="15.75" thickBot="1" x14ac:dyDescent="0.3"/>
    <row r="95" spans="2:4" ht="15.75" thickBot="1" x14ac:dyDescent="0.3">
      <c r="B95" s="27" t="s">
        <v>127</v>
      </c>
      <c r="C95" s="26">
        <f>C45*10</f>
        <v>5</v>
      </c>
      <c r="D95" s="28" t="s">
        <v>29</v>
      </c>
    </row>
    <row r="108" spans="2:4" ht="15.75" thickBot="1" x14ac:dyDescent="0.3"/>
    <row r="109" spans="2:4" ht="15.75" thickBot="1" x14ac:dyDescent="0.3">
      <c r="B109" s="27" t="s">
        <v>136</v>
      </c>
      <c r="C109" s="32">
        <f>0.5*C61*C62*C63*C64*C64</f>
        <v>47.995520261399996</v>
      </c>
      <c r="D109" s="28" t="s">
        <v>29</v>
      </c>
    </row>
    <row r="125" spans="2:4" ht="15.75" thickBot="1" x14ac:dyDescent="0.3"/>
    <row r="126" spans="2:4" ht="15.75" thickBot="1" x14ac:dyDescent="0.3">
      <c r="B126" s="27" t="s">
        <v>137</v>
      </c>
      <c r="C126" s="32">
        <f>C45*((C64*C64)/C65)</f>
        <v>0.94527006250000001</v>
      </c>
      <c r="D126" s="28" t="s">
        <v>29</v>
      </c>
    </row>
    <row r="136" spans="1:4" ht="15.75" thickBot="1" x14ac:dyDescent="0.3"/>
    <row r="137" spans="1:4" ht="15.75" thickBot="1" x14ac:dyDescent="0.3">
      <c r="B137" s="27" t="s">
        <v>140</v>
      </c>
      <c r="C137" s="32">
        <f>C84+C95+C109+C126</f>
        <v>58.845790323899998</v>
      </c>
      <c r="D137" s="28" t="s">
        <v>29</v>
      </c>
    </row>
    <row r="139" spans="1:4" x14ac:dyDescent="0.25">
      <c r="A139" t="s">
        <v>141</v>
      </c>
    </row>
    <row r="140" spans="1:4" x14ac:dyDescent="0.25">
      <c r="A140" t="s">
        <v>142</v>
      </c>
    </row>
    <row r="141" spans="1:4" ht="15.75" thickBot="1" x14ac:dyDescent="0.3"/>
    <row r="142" spans="1:4" ht="15.75" thickBot="1" x14ac:dyDescent="0.3">
      <c r="B142" s="27" t="s">
        <v>143</v>
      </c>
      <c r="C142" s="32">
        <f>C137*C66</f>
        <v>176.5373709717</v>
      </c>
      <c r="D142" s="28" t="s">
        <v>29</v>
      </c>
    </row>
    <row r="154" spans="1:8" x14ac:dyDescent="0.25">
      <c r="H154" t="s">
        <v>163</v>
      </c>
    </row>
    <row r="155" spans="1:8" x14ac:dyDescent="0.25">
      <c r="H155" t="s">
        <v>164</v>
      </c>
    </row>
    <row r="157" spans="1:8" x14ac:dyDescent="0.25">
      <c r="A157" t="s">
        <v>145</v>
      </c>
    </row>
    <row r="170" spans="1:4" x14ac:dyDescent="0.25">
      <c r="A170" t="s">
        <v>146</v>
      </c>
    </row>
    <row r="171" spans="1:4" ht="15.75" thickBot="1" x14ac:dyDescent="0.3"/>
    <row r="172" spans="1:4" ht="15.75" thickBot="1" x14ac:dyDescent="0.3">
      <c r="B172" s="27" t="s">
        <v>150</v>
      </c>
      <c r="C172" s="32">
        <f>((0.9*C57*C56)/1.25)*C53</f>
        <v>2447.2799999999997</v>
      </c>
      <c r="D172" s="28" t="s">
        <v>29</v>
      </c>
    </row>
    <row r="181" spans="1:4" x14ac:dyDescent="0.25">
      <c r="A181" t="s">
        <v>149</v>
      </c>
    </row>
    <row r="182" spans="1:4" ht="15.75" thickBot="1" x14ac:dyDescent="0.3"/>
    <row r="183" spans="1:4" ht="15.75" thickBot="1" x14ac:dyDescent="0.3">
      <c r="B183" s="27" t="s">
        <v>147</v>
      </c>
      <c r="C183" s="32">
        <f>((0.5*C57*C56)/1.25)*C53</f>
        <v>1359.6</v>
      </c>
      <c r="D183" s="28" t="s">
        <v>29</v>
      </c>
    </row>
    <row r="188" spans="1:4" x14ac:dyDescent="0.25">
      <c r="B188" s="29" t="s">
        <v>151</v>
      </c>
      <c r="C188" s="29"/>
    </row>
    <row r="206" spans="4:5" x14ac:dyDescent="0.25">
      <c r="D206" s="239" t="s">
        <v>56</v>
      </c>
      <c r="E206" s="239">
        <f>(C142/C183)+(C142/(1.4*C172))</f>
        <v>0.18137090560610264</v>
      </c>
    </row>
    <row r="207" spans="4:5" x14ac:dyDescent="0.25">
      <c r="D207" s="239"/>
      <c r="E207" s="239"/>
    </row>
    <row r="209" spans="2:4" ht="15.75" thickBot="1" x14ac:dyDescent="0.3"/>
    <row r="210" spans="2:4" ht="15.75" thickBot="1" x14ac:dyDescent="0.3">
      <c r="B210" s="30" t="s">
        <v>152</v>
      </c>
      <c r="C210" s="33">
        <f>E206</f>
        <v>0.18137090560610264</v>
      </c>
      <c r="D210" s="31"/>
    </row>
  </sheetData>
  <mergeCells count="50">
    <mergeCell ref="A26:B26"/>
    <mergeCell ref="A18:C18"/>
    <mergeCell ref="A19:C19"/>
    <mergeCell ref="A20:B20"/>
    <mergeCell ref="A21:E21"/>
    <mergeCell ref="A25:B25"/>
    <mergeCell ref="E206:E207"/>
    <mergeCell ref="A65:B65"/>
    <mergeCell ref="A66:B66"/>
    <mergeCell ref="A67:B67"/>
    <mergeCell ref="A70:B70"/>
    <mergeCell ref="A71:B71"/>
    <mergeCell ref="D206:D207"/>
    <mergeCell ref="A64:B64"/>
    <mergeCell ref="A51:B51"/>
    <mergeCell ref="A52:B52"/>
    <mergeCell ref="A53:B53"/>
    <mergeCell ref="A54:B54"/>
    <mergeCell ref="A55:B55"/>
    <mergeCell ref="A56:B56"/>
    <mergeCell ref="A57:B57"/>
    <mergeCell ref="A59:G59"/>
    <mergeCell ref="A61:B61"/>
    <mergeCell ref="A62:B62"/>
    <mergeCell ref="A63:B63"/>
    <mergeCell ref="A50:B50"/>
    <mergeCell ref="A45:B45"/>
    <mergeCell ref="A46:B46"/>
    <mergeCell ref="A47:B47"/>
    <mergeCell ref="A48:B48"/>
    <mergeCell ref="A49:B49"/>
    <mergeCell ref="A17:C17"/>
    <mergeCell ref="A8:B8"/>
    <mergeCell ref="D8:E8"/>
    <mergeCell ref="A9:B9"/>
    <mergeCell ref="D9:E9"/>
    <mergeCell ref="A10:B10"/>
    <mergeCell ref="D10:E10"/>
    <mergeCell ref="A11:B11"/>
    <mergeCell ref="A13:D13"/>
    <mergeCell ref="A14:C14"/>
    <mergeCell ref="A15:C15"/>
    <mergeCell ref="A16:C16"/>
    <mergeCell ref="A7:B7"/>
    <mergeCell ref="D7:E7"/>
    <mergeCell ref="B2:E3"/>
    <mergeCell ref="A5:C5"/>
    <mergeCell ref="D5:F5"/>
    <mergeCell ref="A6:B6"/>
    <mergeCell ref="D6:E6"/>
  </mergeCells>
  <conditionalFormatting sqref="C172">
    <cfRule type="cellIs" dxfId="27" priority="14" operator="lessThan">
      <formula>$C$142</formula>
    </cfRule>
    <cfRule type="cellIs" dxfId="26" priority="15" operator="equal">
      <formula>$C$142</formula>
    </cfRule>
    <cfRule type="cellIs" dxfId="25" priority="16" operator="greaterThan">
      <formula>$C$142</formula>
    </cfRule>
  </conditionalFormatting>
  <conditionalFormatting sqref="C183">
    <cfRule type="cellIs" dxfId="24" priority="8" operator="lessThan">
      <formula>$C$142</formula>
    </cfRule>
    <cfRule type="cellIs" dxfId="23" priority="9" operator="equal">
      <formula>$C$142</formula>
    </cfRule>
    <cfRule type="cellIs" dxfId="22" priority="10" operator="greaterThan">
      <formula>$C$142</formula>
    </cfRule>
  </conditionalFormatting>
  <conditionalFormatting sqref="C210">
    <cfRule type="cellIs" dxfId="21" priority="11" operator="greaterThan">
      <formula>1</formula>
    </cfRule>
    <cfRule type="cellIs" dxfId="20" priority="12" operator="equal">
      <formula>1</formula>
    </cfRule>
    <cfRule type="cellIs" dxfId="19" priority="13" operator="lessThan">
      <formula>1</formula>
    </cfRule>
  </conditionalFormatting>
  <conditionalFormatting sqref="C26:D26">
    <cfRule type="cellIs" dxfId="18" priority="4" operator="lessThan">
      <formula>$A$26</formula>
    </cfRule>
    <cfRule type="cellIs" dxfId="17" priority="5" operator="greaterThan">
      <formula>$A$26</formula>
    </cfRule>
  </conditionalFormatting>
  <conditionalFormatting sqref="E26">
    <cfRule type="cellIs" dxfId="16" priority="1" operator="equal">
      <formula>1</formula>
    </cfRule>
    <cfRule type="cellIs" dxfId="15" priority="2" operator="lessThan">
      <formula>1</formula>
    </cfRule>
    <cfRule type="cellIs" dxfId="14" priority="3" operator="greaterThan">
      <formula>1</formula>
    </cfRule>
  </conditionalFormatting>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060C0-CFBE-46E1-B42B-67B2C9B21230}">
  <dimension ref="A2:H210"/>
  <sheetViews>
    <sheetView workbookViewId="0">
      <selection activeCell="A25" sqref="A25:E26"/>
    </sheetView>
  </sheetViews>
  <sheetFormatPr baseColWidth="10" defaultRowHeight="15" x14ac:dyDescent="0.25"/>
  <cols>
    <col min="1" max="1" width="11.85546875" customWidth="1"/>
    <col min="2" max="2" width="14.7109375" customWidth="1"/>
    <col min="3" max="3" width="17.85546875" customWidth="1"/>
    <col min="4" max="4" width="18.5703125" customWidth="1"/>
    <col min="5" max="5" width="9.5703125" customWidth="1"/>
  </cols>
  <sheetData>
    <row r="2" spans="1:6" ht="15" customHeight="1" x14ac:dyDescent="0.25">
      <c r="B2" s="260" t="s">
        <v>428</v>
      </c>
      <c r="C2" s="260"/>
      <c r="D2" s="260"/>
      <c r="E2" s="260"/>
    </row>
    <row r="3" spans="1:6" ht="15" customHeight="1" x14ac:dyDescent="0.25">
      <c r="B3" s="260"/>
      <c r="C3" s="260"/>
      <c r="D3" s="260"/>
      <c r="E3" s="260"/>
    </row>
    <row r="5" spans="1:6" x14ac:dyDescent="0.25">
      <c r="A5" s="231" t="s">
        <v>119</v>
      </c>
      <c r="B5" s="231"/>
      <c r="C5" s="231"/>
      <c r="D5" s="231" t="s">
        <v>122</v>
      </c>
      <c r="E5" s="231"/>
      <c r="F5" s="231"/>
    </row>
    <row r="6" spans="1:6" x14ac:dyDescent="0.25">
      <c r="A6" s="159" t="s">
        <v>120</v>
      </c>
      <c r="B6" s="159"/>
      <c r="C6" s="3">
        <v>90</v>
      </c>
      <c r="D6" s="159" t="s">
        <v>123</v>
      </c>
      <c r="E6" s="159"/>
      <c r="F6" s="3">
        <v>6</v>
      </c>
    </row>
    <row r="7" spans="1:6" x14ac:dyDescent="0.25">
      <c r="A7" s="159" t="s">
        <v>153</v>
      </c>
      <c r="B7" s="159"/>
      <c r="C7" s="3">
        <v>0.85</v>
      </c>
      <c r="D7" s="159" t="s">
        <v>124</v>
      </c>
      <c r="E7" s="159"/>
      <c r="F7" s="3">
        <v>10</v>
      </c>
    </row>
    <row r="8" spans="1:6" x14ac:dyDescent="0.25">
      <c r="A8" s="159" t="s">
        <v>154</v>
      </c>
      <c r="B8" s="159"/>
      <c r="C8" s="3">
        <v>0.15</v>
      </c>
      <c r="D8" s="159" t="s">
        <v>125</v>
      </c>
      <c r="E8" s="159"/>
      <c r="F8" s="3">
        <v>8.8000000000000007</v>
      </c>
    </row>
    <row r="9" spans="1:6" ht="17.25" x14ac:dyDescent="0.25">
      <c r="A9" s="159" t="s">
        <v>155</v>
      </c>
      <c r="B9" s="159"/>
      <c r="C9" s="77">
        <f>C7*C8</f>
        <v>0.1275</v>
      </c>
      <c r="D9" s="159" t="s">
        <v>148</v>
      </c>
      <c r="E9" s="159"/>
      <c r="F9" s="3">
        <v>58.03</v>
      </c>
    </row>
    <row r="10" spans="1:6" ht="30.75" customHeight="1" x14ac:dyDescent="0.25">
      <c r="A10" s="159" t="s">
        <v>121</v>
      </c>
      <c r="B10" s="159"/>
      <c r="C10" s="3">
        <v>0.82</v>
      </c>
      <c r="D10" s="232" t="s">
        <v>429</v>
      </c>
      <c r="E10" s="232"/>
      <c r="F10" s="3">
        <v>80</v>
      </c>
    </row>
    <row r="11" spans="1:6" x14ac:dyDescent="0.25">
      <c r="A11" s="160"/>
      <c r="B11" s="160"/>
      <c r="C11" s="13"/>
    </row>
    <row r="12" spans="1:6" x14ac:dyDescent="0.25">
      <c r="A12" s="13"/>
      <c r="B12" s="13"/>
      <c r="C12" s="13"/>
    </row>
    <row r="13" spans="1:6" x14ac:dyDescent="0.25">
      <c r="A13" s="231" t="s">
        <v>128</v>
      </c>
      <c r="B13" s="231"/>
      <c r="C13" s="231"/>
      <c r="D13" s="231"/>
      <c r="E13" s="38"/>
      <c r="F13" s="38"/>
    </row>
    <row r="14" spans="1:6" x14ac:dyDescent="0.25">
      <c r="A14" s="159" t="s">
        <v>336</v>
      </c>
      <c r="B14" s="159"/>
      <c r="C14" s="159"/>
      <c r="D14" s="3">
        <v>0.82</v>
      </c>
    </row>
    <row r="15" spans="1:6" ht="17.25" x14ac:dyDescent="0.25">
      <c r="A15" s="159" t="s">
        <v>337</v>
      </c>
      <c r="B15" s="159"/>
      <c r="C15" s="159"/>
      <c r="D15" s="77">
        <f>C9</f>
        <v>0.1275</v>
      </c>
    </row>
    <row r="16" spans="1:6" ht="17.25" x14ac:dyDescent="0.25">
      <c r="A16" s="159" t="s">
        <v>338</v>
      </c>
      <c r="B16" s="159"/>
      <c r="C16" s="159"/>
      <c r="D16" s="3">
        <v>1.29</v>
      </c>
    </row>
    <row r="17" spans="1:5" ht="17.25" x14ac:dyDescent="0.25">
      <c r="A17" s="159" t="s">
        <v>339</v>
      </c>
      <c r="B17" s="159"/>
      <c r="C17" s="159"/>
      <c r="D17" s="3">
        <v>38.89</v>
      </c>
    </row>
    <row r="18" spans="1:5" x14ac:dyDescent="0.25">
      <c r="A18" s="159" t="s">
        <v>340</v>
      </c>
      <c r="B18" s="159"/>
      <c r="C18" s="159"/>
      <c r="D18" s="3">
        <v>800</v>
      </c>
    </row>
    <row r="19" spans="1:5" x14ac:dyDescent="0.25">
      <c r="A19" s="159" t="s">
        <v>144</v>
      </c>
      <c r="B19" s="159"/>
      <c r="C19" s="159"/>
      <c r="D19" s="3">
        <v>3</v>
      </c>
    </row>
    <row r="20" spans="1:5" x14ac:dyDescent="0.25">
      <c r="A20" s="160"/>
      <c r="B20" s="160"/>
      <c r="C20" s="13"/>
    </row>
    <row r="21" spans="1:5" x14ac:dyDescent="0.25">
      <c r="A21" s="231" t="s">
        <v>347</v>
      </c>
      <c r="B21" s="231"/>
      <c r="C21" s="231"/>
      <c r="D21" s="231"/>
      <c r="E21" s="231"/>
    </row>
    <row r="22" spans="1:5" ht="30" x14ac:dyDescent="0.25">
      <c r="A22" s="90" t="s">
        <v>341</v>
      </c>
      <c r="B22" s="91" t="s">
        <v>342</v>
      </c>
      <c r="C22" s="91" t="s">
        <v>343</v>
      </c>
      <c r="D22" s="90" t="s">
        <v>344</v>
      </c>
      <c r="E22" s="91" t="s">
        <v>345</v>
      </c>
    </row>
    <row r="23" spans="1:5" x14ac:dyDescent="0.25">
      <c r="A23" s="77">
        <f>C6*9.81</f>
        <v>882.90000000000009</v>
      </c>
      <c r="B23" s="77">
        <f>C6*10</f>
        <v>900</v>
      </c>
      <c r="C23" s="77">
        <f>0.5*D14*D15*D16*D17*D17</f>
        <v>101.990480555475</v>
      </c>
      <c r="D23" s="77">
        <f>C6*((D17*D17)/D18)</f>
        <v>170.14861124999999</v>
      </c>
      <c r="E23" s="77">
        <f>SUM(A23:D23)</f>
        <v>2055.039091805475</v>
      </c>
    </row>
    <row r="25" spans="1:5" ht="63" customHeight="1" x14ac:dyDescent="0.25">
      <c r="A25" s="259" t="s">
        <v>346</v>
      </c>
      <c r="B25" s="259"/>
      <c r="C25" s="91" t="s">
        <v>348</v>
      </c>
      <c r="D25" s="91" t="s">
        <v>349</v>
      </c>
      <c r="E25" s="91" t="s">
        <v>350</v>
      </c>
    </row>
    <row r="26" spans="1:5" x14ac:dyDescent="0.25">
      <c r="A26" s="258">
        <f>E23*D19</f>
        <v>6165.1172754164254</v>
      </c>
      <c r="B26" s="258"/>
      <c r="C26" s="3">
        <f>((0.9*F10*F9)/1.25)*F6</f>
        <v>20055.167999999998</v>
      </c>
      <c r="D26" s="77">
        <f>((0.5*F10*F9)/1.25)*F6</f>
        <v>11141.759999999998</v>
      </c>
      <c r="E26" s="92">
        <f>(A26/D26)+(A26/(1.4*C26))</f>
        <v>0.77291131604958807</v>
      </c>
    </row>
    <row r="45" spans="1:3" x14ac:dyDescent="0.25">
      <c r="A45" s="158" t="s">
        <v>120</v>
      </c>
      <c r="B45" s="158"/>
      <c r="C45" s="13">
        <v>0.5</v>
      </c>
    </row>
    <row r="46" spans="1:3" x14ac:dyDescent="0.25">
      <c r="A46" s="158" t="s">
        <v>153</v>
      </c>
      <c r="B46" s="158"/>
      <c r="C46" s="13">
        <v>0.4</v>
      </c>
    </row>
    <row r="47" spans="1:3" x14ac:dyDescent="0.25">
      <c r="A47" s="158" t="s">
        <v>154</v>
      </c>
      <c r="B47" s="158"/>
      <c r="C47" s="13">
        <v>0.15</v>
      </c>
    </row>
    <row r="48" spans="1:3" ht="17.25" x14ac:dyDescent="0.25">
      <c r="A48" s="158" t="s">
        <v>155</v>
      </c>
      <c r="B48" s="158"/>
      <c r="C48" s="10">
        <f>C46*C47</f>
        <v>0.06</v>
      </c>
    </row>
    <row r="49" spans="1:7" x14ac:dyDescent="0.25">
      <c r="A49" s="158" t="s">
        <v>121</v>
      </c>
      <c r="B49" s="158"/>
      <c r="C49" s="13">
        <v>0.82</v>
      </c>
    </row>
    <row r="50" spans="1:7" x14ac:dyDescent="0.25">
      <c r="A50" s="160"/>
      <c r="B50" s="160"/>
      <c r="C50" s="13"/>
      <c r="F50">
        <v>24525</v>
      </c>
      <c r="G50" t="s">
        <v>160</v>
      </c>
    </row>
    <row r="51" spans="1:7" x14ac:dyDescent="0.25">
      <c r="A51" s="160" t="s">
        <v>122</v>
      </c>
      <c r="B51" s="160"/>
      <c r="C51" s="13"/>
    </row>
    <row r="52" spans="1:7" x14ac:dyDescent="0.25">
      <c r="A52" s="160"/>
      <c r="B52" s="160"/>
      <c r="C52" s="13"/>
    </row>
    <row r="53" spans="1:7" x14ac:dyDescent="0.25">
      <c r="A53" s="158" t="s">
        <v>123</v>
      </c>
      <c r="B53" s="158"/>
      <c r="C53" s="13">
        <v>12</v>
      </c>
      <c r="G53">
        <f>F50/9.81</f>
        <v>2500</v>
      </c>
    </row>
    <row r="54" spans="1:7" x14ac:dyDescent="0.25">
      <c r="A54" s="158" t="s">
        <v>124</v>
      </c>
      <c r="B54" s="158"/>
      <c r="C54" s="13">
        <v>4</v>
      </c>
    </row>
    <row r="55" spans="1:7" x14ac:dyDescent="0.25">
      <c r="A55" s="158" t="s">
        <v>125</v>
      </c>
      <c r="B55" s="158"/>
      <c r="C55" s="13" t="s">
        <v>162</v>
      </c>
    </row>
    <row r="56" spans="1:7" x14ac:dyDescent="0.25">
      <c r="A56" s="158" t="s">
        <v>148</v>
      </c>
      <c r="B56" s="158"/>
      <c r="C56" s="13">
        <v>11.33</v>
      </c>
    </row>
    <row r="57" spans="1:7" ht="17.25" x14ac:dyDescent="0.25">
      <c r="A57" s="158" t="s">
        <v>161</v>
      </c>
      <c r="B57" s="158"/>
      <c r="C57" s="13">
        <v>25</v>
      </c>
      <c r="D57" t="s">
        <v>0</v>
      </c>
    </row>
    <row r="58" spans="1:7" x14ac:dyDescent="0.25">
      <c r="A58" s="13"/>
      <c r="B58" s="13"/>
      <c r="C58" s="13"/>
    </row>
    <row r="59" spans="1:7" x14ac:dyDescent="0.25">
      <c r="A59" s="158" t="s">
        <v>128</v>
      </c>
      <c r="B59" s="158"/>
      <c r="C59" s="158"/>
      <c r="D59" s="158"/>
      <c r="E59" s="158"/>
      <c r="F59" s="158"/>
      <c r="G59" s="158"/>
    </row>
    <row r="60" spans="1:7" x14ac:dyDescent="0.25">
      <c r="A60" s="13"/>
      <c r="B60" s="13"/>
      <c r="C60" s="13"/>
    </row>
    <row r="61" spans="1:7" x14ac:dyDescent="0.25">
      <c r="A61" s="261" t="s">
        <v>129</v>
      </c>
      <c r="B61" s="261"/>
      <c r="C61" s="13">
        <v>0.82</v>
      </c>
    </row>
    <row r="62" spans="1:7" ht="17.25" x14ac:dyDescent="0.25">
      <c r="A62" s="261" t="s">
        <v>130</v>
      </c>
      <c r="B62" s="261"/>
      <c r="C62" s="10">
        <f>C48</f>
        <v>0.06</v>
      </c>
      <c r="D62" t="s">
        <v>133</v>
      </c>
    </row>
    <row r="63" spans="1:7" ht="17.25" x14ac:dyDescent="0.25">
      <c r="A63" s="158" t="s">
        <v>131</v>
      </c>
      <c r="B63" s="158"/>
      <c r="C63" s="13">
        <v>1.29</v>
      </c>
      <c r="D63" t="s">
        <v>134</v>
      </c>
    </row>
    <row r="64" spans="1:7" ht="17.25" x14ac:dyDescent="0.25">
      <c r="A64" s="158" t="s">
        <v>135</v>
      </c>
      <c r="B64" s="158"/>
      <c r="C64" s="13">
        <v>38.89</v>
      </c>
      <c r="D64" t="s">
        <v>132</v>
      </c>
    </row>
    <row r="65" spans="1:4" x14ac:dyDescent="0.25">
      <c r="A65" s="158" t="s">
        <v>138</v>
      </c>
      <c r="B65" s="158"/>
      <c r="C65" s="13">
        <v>800</v>
      </c>
      <c r="D65" t="s">
        <v>139</v>
      </c>
    </row>
    <row r="66" spans="1:4" x14ac:dyDescent="0.25">
      <c r="A66" s="158" t="s">
        <v>144</v>
      </c>
      <c r="B66" s="158"/>
      <c r="C66" s="13">
        <v>3</v>
      </c>
    </row>
    <row r="67" spans="1:4" x14ac:dyDescent="0.25">
      <c r="A67" s="160"/>
      <c r="B67" s="160"/>
      <c r="C67" s="13"/>
    </row>
    <row r="68" spans="1:4" x14ac:dyDescent="0.25">
      <c r="A68" s="13"/>
      <c r="B68" s="13"/>
      <c r="C68" s="13"/>
    </row>
    <row r="69" spans="1:4" x14ac:dyDescent="0.25">
      <c r="A69" s="13"/>
      <c r="B69" s="13"/>
      <c r="C69" s="13"/>
    </row>
    <row r="70" spans="1:4" x14ac:dyDescent="0.25">
      <c r="A70" s="160"/>
      <c r="B70" s="160"/>
    </row>
    <row r="71" spans="1:4" x14ac:dyDescent="0.25">
      <c r="A71" s="160"/>
      <c r="B71" s="160"/>
    </row>
    <row r="83" spans="2:4" ht="15.75" thickBot="1" x14ac:dyDescent="0.3"/>
    <row r="84" spans="2:4" ht="15.75" thickBot="1" x14ac:dyDescent="0.3">
      <c r="B84" s="27" t="s">
        <v>126</v>
      </c>
      <c r="C84" s="26">
        <f>C45*9.81</f>
        <v>4.9050000000000002</v>
      </c>
      <c r="D84" s="28" t="s">
        <v>29</v>
      </c>
    </row>
    <row r="94" spans="2:4" ht="15.75" thickBot="1" x14ac:dyDescent="0.3"/>
    <row r="95" spans="2:4" ht="15.75" thickBot="1" x14ac:dyDescent="0.3">
      <c r="B95" s="27" t="s">
        <v>127</v>
      </c>
      <c r="C95" s="26">
        <f>C45*10</f>
        <v>5</v>
      </c>
      <c r="D95" s="28" t="s">
        <v>29</v>
      </c>
    </row>
    <row r="108" spans="2:4" ht="15.75" thickBot="1" x14ac:dyDescent="0.3"/>
    <row r="109" spans="2:4" ht="15.75" thickBot="1" x14ac:dyDescent="0.3">
      <c r="B109" s="27" t="s">
        <v>136</v>
      </c>
      <c r="C109" s="32">
        <f>0.5*C61*C62*C63*C64*C64</f>
        <v>47.995520261399996</v>
      </c>
      <c r="D109" s="28" t="s">
        <v>29</v>
      </c>
    </row>
    <row r="125" spans="2:4" ht="15.75" thickBot="1" x14ac:dyDescent="0.3"/>
    <row r="126" spans="2:4" ht="15.75" thickBot="1" x14ac:dyDescent="0.3">
      <c r="B126" s="27" t="s">
        <v>137</v>
      </c>
      <c r="C126" s="32">
        <f>C45*((C64*C64)/C65)</f>
        <v>0.94527006250000001</v>
      </c>
      <c r="D126" s="28" t="s">
        <v>29</v>
      </c>
    </row>
    <row r="136" spans="1:4" ht="15.75" thickBot="1" x14ac:dyDescent="0.3"/>
    <row r="137" spans="1:4" ht="15.75" thickBot="1" x14ac:dyDescent="0.3">
      <c r="B137" s="27" t="s">
        <v>140</v>
      </c>
      <c r="C137" s="32">
        <f>C84+C95+C109+C126</f>
        <v>58.845790323899998</v>
      </c>
      <c r="D137" s="28" t="s">
        <v>29</v>
      </c>
    </row>
    <row r="139" spans="1:4" x14ac:dyDescent="0.25">
      <c r="A139" t="s">
        <v>141</v>
      </c>
    </row>
    <row r="140" spans="1:4" x14ac:dyDescent="0.25">
      <c r="A140" t="s">
        <v>142</v>
      </c>
    </row>
    <row r="141" spans="1:4" ht="15.75" thickBot="1" x14ac:dyDescent="0.3"/>
    <row r="142" spans="1:4" ht="15.75" thickBot="1" x14ac:dyDescent="0.3">
      <c r="B142" s="27" t="s">
        <v>143</v>
      </c>
      <c r="C142" s="32">
        <f>C137*C66</f>
        <v>176.5373709717</v>
      </c>
      <c r="D142" s="28" t="s">
        <v>29</v>
      </c>
    </row>
    <row r="154" spans="1:8" x14ac:dyDescent="0.25">
      <c r="H154" t="s">
        <v>163</v>
      </c>
    </row>
    <row r="155" spans="1:8" x14ac:dyDescent="0.25">
      <c r="H155" t="s">
        <v>164</v>
      </c>
    </row>
    <row r="157" spans="1:8" x14ac:dyDescent="0.25">
      <c r="A157" t="s">
        <v>145</v>
      </c>
    </row>
    <row r="170" spans="1:4" x14ac:dyDescent="0.25">
      <c r="A170" t="s">
        <v>146</v>
      </c>
    </row>
    <row r="171" spans="1:4" ht="15.75" thickBot="1" x14ac:dyDescent="0.3"/>
    <row r="172" spans="1:4" ht="15.75" thickBot="1" x14ac:dyDescent="0.3">
      <c r="B172" s="27" t="s">
        <v>150</v>
      </c>
      <c r="C172" s="32">
        <f>((0.9*C57*C56)/1.25)*C53</f>
        <v>2447.2799999999997</v>
      </c>
      <c r="D172" s="28" t="s">
        <v>29</v>
      </c>
    </row>
    <row r="181" spans="1:4" x14ac:dyDescent="0.25">
      <c r="A181" t="s">
        <v>149</v>
      </c>
    </row>
    <row r="182" spans="1:4" ht="15.75" thickBot="1" x14ac:dyDescent="0.3"/>
    <row r="183" spans="1:4" ht="15.75" thickBot="1" x14ac:dyDescent="0.3">
      <c r="B183" s="27" t="s">
        <v>147</v>
      </c>
      <c r="C183" s="32">
        <f>((0.5*C57*C56)/1.25)*C53</f>
        <v>1359.6</v>
      </c>
      <c r="D183" s="28" t="s">
        <v>29</v>
      </c>
    </row>
    <row r="188" spans="1:4" x14ac:dyDescent="0.25">
      <c r="B188" s="29" t="s">
        <v>151</v>
      </c>
      <c r="C188" s="29"/>
    </row>
    <row r="206" spans="4:5" x14ac:dyDescent="0.25">
      <c r="D206" s="239" t="s">
        <v>56</v>
      </c>
      <c r="E206" s="239">
        <f>(C142/C183)+(C142/(1.4*C172))</f>
        <v>0.18137090560610264</v>
      </c>
    </row>
    <row r="207" spans="4:5" x14ac:dyDescent="0.25">
      <c r="D207" s="239"/>
      <c r="E207" s="239"/>
    </row>
    <row r="209" spans="2:4" ht="15.75" thickBot="1" x14ac:dyDescent="0.3"/>
    <row r="210" spans="2:4" ht="15.75" thickBot="1" x14ac:dyDescent="0.3">
      <c r="B210" s="30" t="s">
        <v>152</v>
      </c>
      <c r="C210" s="33">
        <f>E206</f>
        <v>0.18137090560610264</v>
      </c>
      <c r="D210" s="31"/>
    </row>
  </sheetData>
  <mergeCells count="50">
    <mergeCell ref="A26:B26"/>
    <mergeCell ref="A18:C18"/>
    <mergeCell ref="A19:C19"/>
    <mergeCell ref="A20:B20"/>
    <mergeCell ref="A21:E21"/>
    <mergeCell ref="A25:B25"/>
    <mergeCell ref="E206:E207"/>
    <mergeCell ref="A65:B65"/>
    <mergeCell ref="A66:B66"/>
    <mergeCell ref="A67:B67"/>
    <mergeCell ref="A70:B70"/>
    <mergeCell ref="A71:B71"/>
    <mergeCell ref="D206:D207"/>
    <mergeCell ref="A64:B64"/>
    <mergeCell ref="A51:B51"/>
    <mergeCell ref="A52:B52"/>
    <mergeCell ref="A53:B53"/>
    <mergeCell ref="A54:B54"/>
    <mergeCell ref="A55:B55"/>
    <mergeCell ref="A56:B56"/>
    <mergeCell ref="A57:B57"/>
    <mergeCell ref="A59:G59"/>
    <mergeCell ref="A61:B61"/>
    <mergeCell ref="A62:B62"/>
    <mergeCell ref="A63:B63"/>
    <mergeCell ref="A50:B50"/>
    <mergeCell ref="A45:B45"/>
    <mergeCell ref="A46:B46"/>
    <mergeCell ref="A47:B47"/>
    <mergeCell ref="A48:B48"/>
    <mergeCell ref="A49:B49"/>
    <mergeCell ref="A17:C17"/>
    <mergeCell ref="A8:B8"/>
    <mergeCell ref="D8:E8"/>
    <mergeCell ref="A9:B9"/>
    <mergeCell ref="D9:E9"/>
    <mergeCell ref="A10:B10"/>
    <mergeCell ref="D10:E10"/>
    <mergeCell ref="A11:B11"/>
    <mergeCell ref="A13:D13"/>
    <mergeCell ref="A14:C14"/>
    <mergeCell ref="A15:C15"/>
    <mergeCell ref="A16:C16"/>
    <mergeCell ref="A7:B7"/>
    <mergeCell ref="D7:E7"/>
    <mergeCell ref="B2:E3"/>
    <mergeCell ref="A5:C5"/>
    <mergeCell ref="D5:F5"/>
    <mergeCell ref="A6:B6"/>
    <mergeCell ref="D6:E6"/>
  </mergeCells>
  <conditionalFormatting sqref="C172">
    <cfRule type="cellIs" dxfId="13" priority="14" operator="lessThan">
      <formula>$C$142</formula>
    </cfRule>
    <cfRule type="cellIs" dxfId="12" priority="15" operator="equal">
      <formula>$C$142</formula>
    </cfRule>
    <cfRule type="cellIs" dxfId="11" priority="16" operator="greaterThan">
      <formula>$C$142</formula>
    </cfRule>
  </conditionalFormatting>
  <conditionalFormatting sqref="C183">
    <cfRule type="cellIs" dxfId="10" priority="8" operator="lessThan">
      <formula>$C$142</formula>
    </cfRule>
    <cfRule type="cellIs" dxfId="9" priority="9" operator="equal">
      <formula>$C$142</formula>
    </cfRule>
    <cfRule type="cellIs" dxfId="8" priority="10" operator="greaterThan">
      <formula>$C$142</formula>
    </cfRule>
  </conditionalFormatting>
  <conditionalFormatting sqref="C210">
    <cfRule type="cellIs" dxfId="7" priority="11" operator="greaterThan">
      <formula>1</formula>
    </cfRule>
    <cfRule type="cellIs" dxfId="6" priority="12" operator="equal">
      <formula>1</formula>
    </cfRule>
    <cfRule type="cellIs" dxfId="5" priority="13" operator="lessThan">
      <formula>1</formula>
    </cfRule>
  </conditionalFormatting>
  <conditionalFormatting sqref="C26:D26">
    <cfRule type="cellIs" dxfId="4" priority="4" operator="lessThan">
      <formula>$A$26</formula>
    </cfRule>
    <cfRule type="cellIs" dxfId="3" priority="5" operator="greaterThan">
      <formula>$A$26</formula>
    </cfRule>
  </conditionalFormatting>
  <conditionalFormatting sqref="E26">
    <cfRule type="cellIs" dxfId="2" priority="1" operator="equal">
      <formula>1</formula>
    </cfRule>
    <cfRule type="cellIs" dxfId="1" priority="2" operator="lessThan">
      <formula>1</formula>
    </cfRule>
    <cfRule type="cellIs" dxfId="0" priority="3" operator="greaterThan">
      <formula>1</formula>
    </cfRule>
  </conditionalFormatting>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DAD7C-C996-4968-A2D5-388D38B9D16C}">
  <dimension ref="A2:I90"/>
  <sheetViews>
    <sheetView tabSelected="1" zoomScale="115" zoomScaleNormal="115" workbookViewId="0">
      <selection activeCell="B8" sqref="B8:C14"/>
    </sheetView>
  </sheetViews>
  <sheetFormatPr baseColWidth="10" defaultRowHeight="15" x14ac:dyDescent="0.25"/>
  <cols>
    <col min="1" max="1" width="6.7109375" customWidth="1"/>
    <col min="2" max="2" width="33.42578125" customWidth="1"/>
    <col min="3" max="3" width="10.28515625" customWidth="1"/>
    <col min="4" max="4" width="11" customWidth="1"/>
    <col min="5" max="5" width="14.42578125" customWidth="1"/>
  </cols>
  <sheetData>
    <row r="2" spans="2:7" x14ac:dyDescent="0.25">
      <c r="B2" s="205" t="s">
        <v>321</v>
      </c>
      <c r="C2" s="205"/>
      <c r="D2" s="205"/>
      <c r="E2" s="96"/>
      <c r="F2" s="96"/>
      <c r="G2" s="96"/>
    </row>
    <row r="3" spans="2:7" x14ac:dyDescent="0.25">
      <c r="B3" s="205"/>
      <c r="C3" s="205"/>
      <c r="D3" s="205"/>
      <c r="E3" s="96"/>
      <c r="F3" s="96"/>
      <c r="G3" s="96"/>
    </row>
    <row r="4" spans="2:7" x14ac:dyDescent="0.25">
      <c r="B4" s="205"/>
      <c r="C4" s="205"/>
      <c r="D4" s="205"/>
      <c r="E4" s="96"/>
      <c r="F4" s="96"/>
      <c r="G4" s="96"/>
    </row>
    <row r="5" spans="2:7" x14ac:dyDescent="0.25">
      <c r="B5" s="96"/>
      <c r="C5" s="96"/>
      <c r="D5" s="96"/>
      <c r="E5" s="96"/>
      <c r="F5" s="96"/>
      <c r="G5" s="96"/>
    </row>
    <row r="6" spans="2:7" ht="17.25" x14ac:dyDescent="0.3">
      <c r="B6" s="146" t="s">
        <v>399</v>
      </c>
      <c r="D6" s="98"/>
      <c r="F6" s="96"/>
      <c r="G6" s="96"/>
    </row>
    <row r="7" spans="2:7" ht="17.25" x14ac:dyDescent="0.3">
      <c r="B7" s="146"/>
      <c r="D7" s="98"/>
      <c r="F7" s="96"/>
      <c r="G7" s="96"/>
    </row>
    <row r="8" spans="2:7" x14ac:dyDescent="0.25">
      <c r="B8" s="231" t="s">
        <v>412</v>
      </c>
      <c r="C8" s="231"/>
      <c r="D8" s="137"/>
      <c r="F8" s="96"/>
      <c r="G8" s="96"/>
    </row>
    <row r="9" spans="2:7" x14ac:dyDescent="0.25">
      <c r="B9" s="141" t="s">
        <v>395</v>
      </c>
      <c r="C9" s="111">
        <f>TOTALES!B17</f>
        <v>2000</v>
      </c>
      <c r="D9" s="98"/>
      <c r="E9" s="98"/>
      <c r="F9" s="96"/>
      <c r="G9" s="96"/>
    </row>
    <row r="10" spans="2:7" ht="18" customHeight="1" x14ac:dyDescent="0.25">
      <c r="B10" s="141" t="s">
        <v>396</v>
      </c>
      <c r="C10" s="111">
        <v>148</v>
      </c>
      <c r="D10" s="97"/>
      <c r="F10" s="96"/>
      <c r="G10" s="96"/>
    </row>
    <row r="11" spans="2:7" x14ac:dyDescent="0.25">
      <c r="B11" s="141" t="s">
        <v>167</v>
      </c>
      <c r="C11" s="111">
        <v>0.6</v>
      </c>
      <c r="D11" s="48"/>
      <c r="E11" s="49"/>
      <c r="F11" s="96"/>
      <c r="G11" s="96"/>
    </row>
    <row r="12" spans="2:7" ht="16.5" x14ac:dyDescent="0.25">
      <c r="B12" s="142" t="s">
        <v>398</v>
      </c>
      <c r="C12" s="111">
        <v>9.8000000000000007</v>
      </c>
      <c r="E12" s="47"/>
      <c r="F12" s="96"/>
      <c r="G12" s="96"/>
    </row>
    <row r="13" spans="2:7" ht="16.5" x14ac:dyDescent="0.25">
      <c r="B13" s="141" t="s">
        <v>409</v>
      </c>
      <c r="C13" s="140">
        <f>C11*C12</f>
        <v>5.88</v>
      </c>
      <c r="D13" s="96"/>
      <c r="E13" s="96"/>
      <c r="F13" s="96"/>
      <c r="G13" s="96"/>
    </row>
    <row r="14" spans="2:7" x14ac:dyDescent="0.25">
      <c r="B14" s="141" t="s">
        <v>397</v>
      </c>
      <c r="C14" s="140">
        <f>C9*C11</f>
        <v>1200</v>
      </c>
      <c r="D14" s="96"/>
      <c r="E14" s="96"/>
      <c r="F14" s="96"/>
      <c r="G14" s="96"/>
    </row>
    <row r="15" spans="2:7" x14ac:dyDescent="0.25">
      <c r="D15" s="96"/>
      <c r="E15" s="96"/>
      <c r="F15" s="96"/>
      <c r="G15" s="96"/>
    </row>
    <row r="16" spans="2:7" x14ac:dyDescent="0.25">
      <c r="B16" s="96"/>
      <c r="C16" s="96"/>
      <c r="D16" s="96"/>
      <c r="E16" s="96"/>
      <c r="F16" s="96"/>
      <c r="G16" s="96"/>
    </row>
    <row r="17" spans="1:7" x14ac:dyDescent="0.25">
      <c r="B17" s="96"/>
      <c r="C17" s="96"/>
      <c r="D17" s="96"/>
      <c r="E17" s="96"/>
      <c r="F17" s="96"/>
      <c r="G17" s="96"/>
    </row>
    <row r="18" spans="1:7" x14ac:dyDescent="0.25">
      <c r="B18" s="96"/>
      <c r="C18" s="96"/>
      <c r="D18" s="96"/>
      <c r="E18" s="96"/>
      <c r="F18" s="96"/>
      <c r="G18" s="96"/>
    </row>
    <row r="19" spans="1:7" x14ac:dyDescent="0.25">
      <c r="A19" s="231" t="s">
        <v>411</v>
      </c>
      <c r="B19" s="231"/>
      <c r="C19" s="231"/>
      <c r="D19" s="231"/>
      <c r="E19" s="231"/>
      <c r="F19" s="96"/>
      <c r="G19" s="96"/>
    </row>
    <row r="20" spans="1:7" x14ac:dyDescent="0.25">
      <c r="A20" s="140">
        <v>1</v>
      </c>
      <c r="B20" s="138" t="s">
        <v>415</v>
      </c>
      <c r="C20" s="139" t="s">
        <v>227</v>
      </c>
      <c r="D20" s="140">
        <v>12</v>
      </c>
      <c r="E20" s="140" t="s">
        <v>165</v>
      </c>
      <c r="F20" s="96"/>
      <c r="G20" s="96"/>
    </row>
    <row r="21" spans="1:7" x14ac:dyDescent="0.25">
      <c r="A21" s="140">
        <v>2</v>
      </c>
      <c r="B21" s="138" t="s">
        <v>416</v>
      </c>
      <c r="C21" s="139" t="s">
        <v>228</v>
      </c>
      <c r="D21" s="140">
        <v>12</v>
      </c>
      <c r="E21" s="140" t="s">
        <v>165</v>
      </c>
      <c r="F21" s="96"/>
      <c r="G21" s="96"/>
    </row>
    <row r="22" spans="1:7" x14ac:dyDescent="0.25">
      <c r="A22" s="140">
        <v>3</v>
      </c>
      <c r="B22" s="138" t="s">
        <v>417</v>
      </c>
      <c r="C22" s="139" t="s">
        <v>229</v>
      </c>
      <c r="D22" s="140">
        <v>50</v>
      </c>
      <c r="E22" s="140" t="s">
        <v>165</v>
      </c>
    </row>
    <row r="23" spans="1:7" x14ac:dyDescent="0.25">
      <c r="A23" s="140">
        <v>4</v>
      </c>
      <c r="B23" s="138" t="s">
        <v>418</v>
      </c>
      <c r="C23" s="139" t="s">
        <v>230</v>
      </c>
      <c r="D23" s="140">
        <v>50</v>
      </c>
      <c r="E23" s="140" t="s">
        <v>165</v>
      </c>
    </row>
    <row r="24" spans="1:7" x14ac:dyDescent="0.25">
      <c r="A24" s="140">
        <v>5</v>
      </c>
      <c r="B24" s="138" t="s">
        <v>419</v>
      </c>
      <c r="C24" s="139" t="s">
        <v>231</v>
      </c>
      <c r="D24" s="140">
        <v>50</v>
      </c>
      <c r="E24" s="140" t="s">
        <v>165</v>
      </c>
    </row>
    <row r="25" spans="1:7" x14ac:dyDescent="0.25">
      <c r="A25" s="140">
        <v>6</v>
      </c>
      <c r="B25" s="138" t="s">
        <v>420</v>
      </c>
      <c r="C25" s="139" t="s">
        <v>232</v>
      </c>
      <c r="D25" s="140">
        <v>15</v>
      </c>
      <c r="E25" s="140" t="s">
        <v>165</v>
      </c>
    </row>
    <row r="26" spans="1:7" x14ac:dyDescent="0.25">
      <c r="A26" s="140">
        <v>7</v>
      </c>
      <c r="B26" s="138" t="s">
        <v>421</v>
      </c>
      <c r="C26" s="139" t="s">
        <v>233</v>
      </c>
      <c r="D26" s="140">
        <v>50</v>
      </c>
      <c r="E26" s="140" t="s">
        <v>165</v>
      </c>
    </row>
    <row r="27" spans="1:7" x14ac:dyDescent="0.25">
      <c r="A27" s="140">
        <v>8</v>
      </c>
      <c r="B27" s="138" t="s">
        <v>422</v>
      </c>
      <c r="C27" s="139" t="s">
        <v>234</v>
      </c>
      <c r="D27" s="140">
        <v>13</v>
      </c>
      <c r="E27" s="140" t="s">
        <v>165</v>
      </c>
    </row>
    <row r="28" spans="1:7" x14ac:dyDescent="0.25">
      <c r="A28" s="140"/>
      <c r="B28" s="138"/>
      <c r="C28" s="139"/>
      <c r="D28" s="140"/>
      <c r="E28" s="140"/>
    </row>
    <row r="29" spans="1:7" x14ac:dyDescent="0.25">
      <c r="A29" s="140"/>
      <c r="B29" s="138"/>
      <c r="C29" s="139"/>
      <c r="D29" s="140"/>
      <c r="E29" s="140"/>
    </row>
    <row r="30" spans="1:7" x14ac:dyDescent="0.25">
      <c r="A30" s="140"/>
      <c r="B30" s="138"/>
      <c r="C30" s="139"/>
      <c r="D30" s="140"/>
      <c r="E30" s="140"/>
    </row>
    <row r="32" spans="1:7" x14ac:dyDescent="0.25">
      <c r="B32" s="231" t="s">
        <v>413</v>
      </c>
      <c r="C32" s="231"/>
      <c r="D32" s="231"/>
      <c r="E32" s="231"/>
      <c r="F32" s="231"/>
      <c r="G32" s="231"/>
    </row>
    <row r="33" spans="1:7" ht="15.75" thickBot="1" x14ac:dyDescent="0.3">
      <c r="B33" s="274" t="s">
        <v>170</v>
      </c>
      <c r="C33" s="275"/>
      <c r="D33" s="51">
        <v>4</v>
      </c>
      <c r="E33" s="51">
        <v>5</v>
      </c>
      <c r="F33" s="51">
        <v>6</v>
      </c>
      <c r="G33" s="51">
        <v>8</v>
      </c>
    </row>
    <row r="34" spans="1:7" ht="15.75" thickBot="1" x14ac:dyDescent="0.3">
      <c r="B34" s="267" t="s">
        <v>171</v>
      </c>
      <c r="C34" s="268"/>
      <c r="D34" s="51">
        <v>0.7</v>
      </c>
      <c r="E34" s="51">
        <v>0.8</v>
      </c>
      <c r="F34" s="51">
        <v>1</v>
      </c>
      <c r="G34" s="51">
        <v>1.25</v>
      </c>
    </row>
    <row r="35" spans="1:7" ht="15.75" thickBot="1" x14ac:dyDescent="0.3">
      <c r="B35" s="267" t="s">
        <v>125</v>
      </c>
      <c r="C35" s="268"/>
      <c r="D35" s="51" t="s">
        <v>169</v>
      </c>
      <c r="E35" s="51" t="s">
        <v>169</v>
      </c>
      <c r="F35" s="51" t="s">
        <v>169</v>
      </c>
      <c r="G35" s="51" t="s">
        <v>169</v>
      </c>
    </row>
    <row r="36" spans="1:7" ht="15.75" thickBot="1" x14ac:dyDescent="0.3">
      <c r="B36" s="267" t="s">
        <v>172</v>
      </c>
      <c r="C36" s="268"/>
      <c r="D36" s="51">
        <v>3.24</v>
      </c>
      <c r="E36" s="51">
        <v>5.93</v>
      </c>
      <c r="F36" s="51">
        <v>7.97</v>
      </c>
      <c r="G36" s="51">
        <v>15.78</v>
      </c>
    </row>
    <row r="37" spans="1:7" ht="15.75" thickBot="1" x14ac:dyDescent="0.3">
      <c r="B37" s="267" t="s">
        <v>173</v>
      </c>
      <c r="C37" s="268"/>
      <c r="D37" s="51">
        <v>64</v>
      </c>
      <c r="E37" s="51">
        <v>64</v>
      </c>
      <c r="F37" s="51">
        <v>64</v>
      </c>
      <c r="G37" s="51">
        <v>64</v>
      </c>
    </row>
    <row r="38" spans="1:7" ht="15.75" thickBot="1" x14ac:dyDescent="0.3">
      <c r="B38" s="267" t="s">
        <v>174</v>
      </c>
      <c r="C38" s="268"/>
      <c r="D38" s="51">
        <v>207</v>
      </c>
      <c r="E38" s="51">
        <v>380</v>
      </c>
      <c r="F38" s="51">
        <v>510</v>
      </c>
      <c r="G38" s="51">
        <v>1010</v>
      </c>
    </row>
    <row r="39" spans="1:7" ht="15.75" thickBot="1" x14ac:dyDescent="0.3">
      <c r="B39" s="267" t="s">
        <v>175</v>
      </c>
      <c r="C39" s="268"/>
      <c r="D39" s="50">
        <v>120</v>
      </c>
      <c r="E39" s="50">
        <v>290</v>
      </c>
      <c r="F39" s="50">
        <v>1100</v>
      </c>
      <c r="G39" s="50">
        <v>2600</v>
      </c>
    </row>
    <row r="40" spans="1:7" ht="15.75" thickBot="1" x14ac:dyDescent="0.3">
      <c r="B40" s="267" t="s">
        <v>176</v>
      </c>
      <c r="C40" s="268"/>
      <c r="D40" s="51">
        <v>2</v>
      </c>
      <c r="E40" s="51">
        <v>2.5</v>
      </c>
      <c r="F40" s="51">
        <v>3</v>
      </c>
      <c r="G40" s="51">
        <v>4</v>
      </c>
    </row>
    <row r="41" spans="1:7" ht="15.75" thickBot="1" x14ac:dyDescent="0.3">
      <c r="B41" s="267" t="s">
        <v>177</v>
      </c>
      <c r="C41" s="268"/>
      <c r="D41" s="51">
        <v>1.0149999999999999</v>
      </c>
      <c r="E41" s="51">
        <v>1.3740000000000001</v>
      </c>
      <c r="F41" s="51">
        <v>1.593</v>
      </c>
      <c r="G41" s="51">
        <v>2.2410000000000001</v>
      </c>
    </row>
    <row r="44" spans="1:7" x14ac:dyDescent="0.25">
      <c r="A44" s="231" t="s">
        <v>400</v>
      </c>
      <c r="B44" s="231"/>
      <c r="C44" s="231"/>
      <c r="D44" s="231"/>
      <c r="E44" s="231"/>
      <c r="F44" s="231"/>
      <c r="G44" s="231"/>
    </row>
    <row r="45" spans="1:7" x14ac:dyDescent="0.25">
      <c r="A45" s="276" t="s">
        <v>178</v>
      </c>
      <c r="B45" s="276"/>
      <c r="C45" s="53">
        <v>4</v>
      </c>
      <c r="D45" s="53">
        <v>5</v>
      </c>
      <c r="E45" s="53">
        <v>6</v>
      </c>
      <c r="F45" s="53">
        <v>8</v>
      </c>
      <c r="G45" s="46" t="s">
        <v>179</v>
      </c>
    </row>
    <row r="46" spans="1:7" x14ac:dyDescent="0.25">
      <c r="A46" s="269" t="str">
        <f t="shared" ref="A46:A53" si="0">B20</f>
        <v>Mueble alto 1250x405x325mm</v>
      </c>
      <c r="B46" s="269"/>
      <c r="C46" s="22"/>
      <c r="D46" s="75">
        <v>15</v>
      </c>
      <c r="E46" s="52"/>
      <c r="F46" s="3"/>
      <c r="G46" s="3">
        <f>SUM(C46:F46)</f>
        <v>15</v>
      </c>
    </row>
    <row r="47" spans="1:7" x14ac:dyDescent="0.25">
      <c r="A47" s="269" t="str">
        <f t="shared" si="0"/>
        <v>Mueble alto 1120x390x320mm</v>
      </c>
      <c r="B47" s="269"/>
      <c r="C47" s="22"/>
      <c r="D47" s="75">
        <v>15</v>
      </c>
      <c r="E47" s="52"/>
      <c r="F47" s="3"/>
      <c r="G47" s="3">
        <f t="shared" ref="G47:G53" si="1">SUM(C47:F47)</f>
        <v>15</v>
      </c>
    </row>
    <row r="48" spans="1:7" x14ac:dyDescent="0.25">
      <c r="A48" s="269" t="str">
        <f t="shared" si="0"/>
        <v>Mueble bajo 1350x1800x900mm</v>
      </c>
      <c r="B48" s="269"/>
      <c r="C48" s="22"/>
      <c r="D48" s="75">
        <v>20</v>
      </c>
      <c r="E48" s="52"/>
      <c r="F48" s="3"/>
      <c r="G48" s="3">
        <f t="shared" si="1"/>
        <v>20</v>
      </c>
    </row>
    <row r="49" spans="1:7" x14ac:dyDescent="0.25">
      <c r="A49" s="269" t="str">
        <f t="shared" si="0"/>
        <v>Mueble bajo 600x1420x900mm</v>
      </c>
      <c r="B49" s="269"/>
      <c r="C49" s="22"/>
      <c r="D49" s="75">
        <v>20</v>
      </c>
      <c r="E49" s="52"/>
      <c r="F49" s="3"/>
      <c r="G49" s="3">
        <f t="shared" si="1"/>
        <v>20</v>
      </c>
    </row>
    <row r="50" spans="1:7" ht="15" customHeight="1" x14ac:dyDescent="0.25">
      <c r="A50" s="269" t="str">
        <f t="shared" si="0"/>
        <v>Mueble bajo 1200x610x580mm</v>
      </c>
      <c r="B50" s="269"/>
      <c r="C50" s="22"/>
      <c r="D50" s="75">
        <v>20</v>
      </c>
      <c r="E50" s="52"/>
      <c r="F50" s="3"/>
      <c r="G50" s="3">
        <f t="shared" si="1"/>
        <v>20</v>
      </c>
    </row>
    <row r="51" spans="1:7" x14ac:dyDescent="0.25">
      <c r="A51" s="269" t="str">
        <f t="shared" si="0"/>
        <v>Armario 1180x320x625mm</v>
      </c>
      <c r="B51" s="269"/>
      <c r="C51" s="22"/>
      <c r="D51" s="75">
        <v>15</v>
      </c>
      <c r="E51" s="52"/>
      <c r="F51" s="3"/>
      <c r="G51" s="3">
        <f t="shared" si="1"/>
        <v>15</v>
      </c>
    </row>
    <row r="52" spans="1:7" x14ac:dyDescent="0.25">
      <c r="A52" s="269" t="str">
        <f t="shared" si="0"/>
        <v>Mueble bajo 1080x610x580mm</v>
      </c>
      <c r="B52" s="269"/>
      <c r="C52" s="22"/>
      <c r="D52" s="75">
        <v>20</v>
      </c>
      <c r="E52" s="52"/>
      <c r="F52" s="3"/>
      <c r="G52" s="3">
        <f t="shared" si="1"/>
        <v>20</v>
      </c>
    </row>
    <row r="53" spans="1:7" x14ac:dyDescent="0.25">
      <c r="A53" s="269" t="str">
        <f t="shared" si="0"/>
        <v>Aseo 1030x2100x590mm</v>
      </c>
      <c r="B53" s="269"/>
      <c r="C53" s="22"/>
      <c r="D53" s="75">
        <v>12</v>
      </c>
      <c r="E53" s="52"/>
      <c r="F53" s="3"/>
      <c r="G53" s="3">
        <f t="shared" si="1"/>
        <v>12</v>
      </c>
    </row>
    <row r="54" spans="1:7" ht="15" customHeight="1" x14ac:dyDescent="0.25">
      <c r="A54" s="271"/>
      <c r="B54" s="272"/>
      <c r="C54" s="22"/>
      <c r="D54" s="75"/>
      <c r="E54" s="52"/>
      <c r="F54" s="3"/>
      <c r="G54" s="3"/>
    </row>
    <row r="55" spans="1:7" x14ac:dyDescent="0.25">
      <c r="A55" s="271"/>
      <c r="B55" s="272"/>
      <c r="C55" s="22"/>
      <c r="D55" s="75"/>
      <c r="E55" s="52"/>
      <c r="F55" s="3"/>
      <c r="G55" s="3"/>
    </row>
    <row r="56" spans="1:7" ht="15" customHeight="1" x14ac:dyDescent="0.25">
      <c r="A56" s="271"/>
      <c r="B56" s="272"/>
      <c r="C56" s="22"/>
      <c r="D56" s="75"/>
      <c r="E56" s="52"/>
      <c r="F56" s="3"/>
      <c r="G56" s="3"/>
    </row>
    <row r="60" spans="1:7" x14ac:dyDescent="0.25">
      <c r="A60" s="270" t="s">
        <v>125</v>
      </c>
      <c r="B60" s="270"/>
      <c r="C60" s="144" t="s">
        <v>225</v>
      </c>
      <c r="D60" s="273"/>
      <c r="E60" s="273"/>
    </row>
    <row r="61" spans="1:7" ht="15" customHeight="1" x14ac:dyDescent="0.25">
      <c r="A61" s="270" t="s">
        <v>401</v>
      </c>
      <c r="B61" s="270"/>
      <c r="C61" s="144">
        <v>227.8</v>
      </c>
      <c r="D61" s="143"/>
      <c r="E61" s="143"/>
    </row>
    <row r="62" spans="1:7" ht="15" customHeight="1" x14ac:dyDescent="0.25">
      <c r="A62" s="270" t="s">
        <v>402</v>
      </c>
      <c r="B62" s="270"/>
      <c r="C62" s="144">
        <v>80</v>
      </c>
      <c r="D62" s="143"/>
      <c r="E62" s="143"/>
    </row>
    <row r="63" spans="1:7" ht="15" customHeight="1" x14ac:dyDescent="0.25">
      <c r="A63" s="270" t="s">
        <v>403</v>
      </c>
      <c r="B63" s="270"/>
      <c r="C63" s="144">
        <v>65</v>
      </c>
      <c r="D63" s="143"/>
      <c r="E63" s="143"/>
    </row>
    <row r="64" spans="1:7" ht="15" customHeight="1" x14ac:dyDescent="0.25">
      <c r="A64" s="270" t="s">
        <v>404</v>
      </c>
      <c r="B64" s="270"/>
      <c r="C64" s="144">
        <v>5</v>
      </c>
      <c r="D64" s="143"/>
      <c r="E64" s="143"/>
    </row>
    <row r="65" spans="1:6" ht="17.25" x14ac:dyDescent="0.25">
      <c r="A65" s="270" t="s">
        <v>405</v>
      </c>
      <c r="B65" s="270"/>
      <c r="C65" s="144">
        <v>14.2</v>
      </c>
      <c r="D65" s="143"/>
      <c r="E65" s="143"/>
    </row>
    <row r="66" spans="1:6" x14ac:dyDescent="0.25">
      <c r="A66" s="270" t="s">
        <v>226</v>
      </c>
      <c r="B66" s="270"/>
      <c r="C66" s="144">
        <v>0.6</v>
      </c>
      <c r="D66" s="76"/>
      <c r="E66" s="136"/>
    </row>
    <row r="67" spans="1:6" x14ac:dyDescent="0.25">
      <c r="A67" s="270" t="s">
        <v>410</v>
      </c>
      <c r="B67" s="270"/>
      <c r="C67" s="144">
        <v>1.25</v>
      </c>
      <c r="D67" s="76"/>
      <c r="E67" s="136"/>
    </row>
    <row r="68" spans="1:6" x14ac:dyDescent="0.25">
      <c r="A68" s="277"/>
      <c r="B68" s="277"/>
      <c r="C68" s="145"/>
      <c r="D68" s="76"/>
      <c r="E68" s="136"/>
    </row>
    <row r="69" spans="1:6" x14ac:dyDescent="0.25">
      <c r="A69" s="224"/>
      <c r="B69" s="224"/>
    </row>
    <row r="70" spans="1:6" x14ac:dyDescent="0.25">
      <c r="A70" s="160"/>
      <c r="B70" s="160"/>
    </row>
    <row r="72" spans="1:6" ht="45" x14ac:dyDescent="0.25">
      <c r="D72" s="88" t="s">
        <v>406</v>
      </c>
      <c r="E72" s="88" t="s">
        <v>407</v>
      </c>
      <c r="F72" s="88" t="s">
        <v>408</v>
      </c>
    </row>
    <row r="73" spans="1:6" x14ac:dyDescent="0.25">
      <c r="A73" s="3"/>
      <c r="B73" s="3"/>
      <c r="C73" s="3"/>
      <c r="D73" s="88"/>
      <c r="E73" s="88"/>
      <c r="F73" s="88"/>
    </row>
    <row r="74" spans="1:6" x14ac:dyDescent="0.25">
      <c r="A74" s="3">
        <f t="shared" ref="A74:C81" si="2">A20</f>
        <v>1</v>
      </c>
      <c r="B74" s="3" t="str">
        <f t="shared" si="2"/>
        <v>Mueble alto 1250x405x325mm</v>
      </c>
      <c r="C74" s="3" t="str">
        <f t="shared" si="2"/>
        <v>Q1</v>
      </c>
      <c r="D74" s="80">
        <f t="shared" ref="D74:D81" si="3">D20*$C$13/$C$12</f>
        <v>7.1999999999999993</v>
      </c>
      <c r="E74" s="80">
        <f t="shared" ref="E74:E81" si="4">$C$66*$C$62*$C$65*D46/$C$67</f>
        <v>8179.1999999999989</v>
      </c>
      <c r="F74" s="22">
        <f>E74/D74</f>
        <v>1136</v>
      </c>
    </row>
    <row r="75" spans="1:6" x14ac:dyDescent="0.25">
      <c r="A75" s="3">
        <f t="shared" si="2"/>
        <v>2</v>
      </c>
      <c r="B75" s="3" t="str">
        <f t="shared" si="2"/>
        <v>Mueble alto 1120x390x320mm</v>
      </c>
      <c r="C75" s="3" t="str">
        <f t="shared" si="2"/>
        <v>Q2</v>
      </c>
      <c r="D75" s="80">
        <f t="shared" si="3"/>
        <v>7.1999999999999993</v>
      </c>
      <c r="E75" s="80">
        <f t="shared" si="4"/>
        <v>8179.1999999999989</v>
      </c>
      <c r="F75" s="22">
        <f t="shared" ref="F75:F81" si="5">E75/D75</f>
        <v>1136</v>
      </c>
    </row>
    <row r="76" spans="1:6" x14ac:dyDescent="0.25">
      <c r="A76" s="3">
        <f t="shared" si="2"/>
        <v>3</v>
      </c>
      <c r="B76" s="3" t="str">
        <f t="shared" si="2"/>
        <v>Mueble bajo 1350x1800x900mm</v>
      </c>
      <c r="C76" s="3" t="str">
        <f t="shared" si="2"/>
        <v>Q3</v>
      </c>
      <c r="D76" s="80">
        <f t="shared" si="3"/>
        <v>29.999999999999996</v>
      </c>
      <c r="E76" s="80">
        <f t="shared" si="4"/>
        <v>10905.599999999999</v>
      </c>
      <c r="F76" s="22">
        <f t="shared" si="5"/>
        <v>363.52</v>
      </c>
    </row>
    <row r="77" spans="1:6" x14ac:dyDescent="0.25">
      <c r="A77" s="3">
        <f t="shared" si="2"/>
        <v>4</v>
      </c>
      <c r="B77" s="3" t="str">
        <f t="shared" si="2"/>
        <v>Mueble bajo 600x1420x900mm</v>
      </c>
      <c r="C77" s="3" t="str">
        <f t="shared" si="2"/>
        <v>Q4</v>
      </c>
      <c r="D77" s="80">
        <f t="shared" si="3"/>
        <v>29.999999999999996</v>
      </c>
      <c r="E77" s="80">
        <f t="shared" si="4"/>
        <v>10905.599999999999</v>
      </c>
      <c r="F77" s="22">
        <f t="shared" si="5"/>
        <v>363.52</v>
      </c>
    </row>
    <row r="78" spans="1:6" x14ac:dyDescent="0.25">
      <c r="A78" s="3">
        <f t="shared" si="2"/>
        <v>5</v>
      </c>
      <c r="B78" s="3" t="str">
        <f t="shared" si="2"/>
        <v>Mueble bajo 1200x610x580mm</v>
      </c>
      <c r="C78" s="3" t="str">
        <f t="shared" si="2"/>
        <v>Q5</v>
      </c>
      <c r="D78" s="80">
        <f t="shared" si="3"/>
        <v>29.999999999999996</v>
      </c>
      <c r="E78" s="80">
        <f t="shared" si="4"/>
        <v>10905.599999999999</v>
      </c>
      <c r="F78" s="22">
        <f t="shared" si="5"/>
        <v>363.52</v>
      </c>
    </row>
    <row r="79" spans="1:6" x14ac:dyDescent="0.25">
      <c r="A79" s="3">
        <f t="shared" si="2"/>
        <v>6</v>
      </c>
      <c r="B79" s="3" t="str">
        <f t="shared" si="2"/>
        <v>Armario 1180x320x625mm</v>
      </c>
      <c r="C79" s="3" t="str">
        <f t="shared" si="2"/>
        <v>Q6</v>
      </c>
      <c r="D79" s="80">
        <f t="shared" si="3"/>
        <v>9</v>
      </c>
      <c r="E79" s="80">
        <f t="shared" si="4"/>
        <v>8179.1999999999989</v>
      </c>
      <c r="F79" s="22">
        <f t="shared" si="5"/>
        <v>908.79999999999984</v>
      </c>
    </row>
    <row r="80" spans="1:6" x14ac:dyDescent="0.25">
      <c r="A80" s="3">
        <f t="shared" si="2"/>
        <v>7</v>
      </c>
      <c r="B80" s="3" t="str">
        <f t="shared" si="2"/>
        <v>Mueble bajo 1080x610x580mm</v>
      </c>
      <c r="C80" s="3" t="str">
        <f t="shared" si="2"/>
        <v>Q7</v>
      </c>
      <c r="D80" s="80">
        <f t="shared" si="3"/>
        <v>29.999999999999996</v>
      </c>
      <c r="E80" s="80">
        <f t="shared" si="4"/>
        <v>10905.599999999999</v>
      </c>
      <c r="F80" s="22">
        <f t="shared" si="5"/>
        <v>363.52</v>
      </c>
    </row>
    <row r="81" spans="1:9" x14ac:dyDescent="0.25">
      <c r="A81" s="3">
        <f t="shared" si="2"/>
        <v>8</v>
      </c>
      <c r="B81" s="3" t="str">
        <f t="shared" si="2"/>
        <v>Aseo 1030x2100x590mm</v>
      </c>
      <c r="C81" s="3" t="str">
        <f t="shared" si="2"/>
        <v>Q8</v>
      </c>
      <c r="D81" s="80">
        <f t="shared" si="3"/>
        <v>7.7999999999999989</v>
      </c>
      <c r="E81" s="80">
        <f t="shared" si="4"/>
        <v>6543.3599999999988</v>
      </c>
      <c r="F81" s="22">
        <f t="shared" si="5"/>
        <v>838.89230769230767</v>
      </c>
    </row>
    <row r="82" spans="1:9" x14ac:dyDescent="0.25">
      <c r="A82" s="3"/>
      <c r="B82" s="3"/>
      <c r="C82" s="3"/>
      <c r="D82" s="80"/>
      <c r="E82" s="80"/>
      <c r="F82" s="22"/>
    </row>
    <row r="83" spans="1:9" x14ac:dyDescent="0.25">
      <c r="A83" s="3"/>
      <c r="B83" s="3"/>
      <c r="C83" s="3"/>
      <c r="D83" s="80"/>
      <c r="E83" s="80"/>
      <c r="F83" s="22"/>
    </row>
    <row r="88" spans="1:9" x14ac:dyDescent="0.25">
      <c r="A88" s="231" t="s">
        <v>235</v>
      </c>
      <c r="B88" s="231"/>
      <c r="C88" s="231"/>
      <c r="D88" s="231"/>
      <c r="E88" s="231"/>
      <c r="F88" s="231"/>
      <c r="G88" s="231"/>
      <c r="H88" s="231"/>
    </row>
    <row r="89" spans="1:9" x14ac:dyDescent="0.25">
      <c r="A89" s="22">
        <f t="shared" ref="A89:D90" si="6">A20</f>
        <v>1</v>
      </c>
      <c r="B89" s="22" t="str">
        <f t="shared" si="6"/>
        <v>Mueble alto 1250x405x325mm</v>
      </c>
      <c r="C89" s="22" t="str">
        <f t="shared" si="6"/>
        <v>Q1</v>
      </c>
      <c r="D89" s="22">
        <f t="shared" si="6"/>
        <v>12</v>
      </c>
      <c r="E89" s="22">
        <f>D46</f>
        <v>15</v>
      </c>
      <c r="F89" s="80">
        <f>D89/E89</f>
        <v>0.8</v>
      </c>
      <c r="G89" s="22">
        <f>$C$61</f>
        <v>227.8</v>
      </c>
      <c r="H89" s="147">
        <f>G89/F89</f>
        <v>284.75</v>
      </c>
      <c r="I89" s="148"/>
    </row>
    <row r="90" spans="1:9" x14ac:dyDescent="0.25">
      <c r="A90" s="22">
        <f t="shared" si="6"/>
        <v>2</v>
      </c>
      <c r="B90" s="22" t="str">
        <f t="shared" si="6"/>
        <v>Mueble alto 1120x390x320mm</v>
      </c>
      <c r="C90" s="22" t="str">
        <f t="shared" si="6"/>
        <v>Q2</v>
      </c>
      <c r="D90" s="22">
        <f t="shared" si="6"/>
        <v>12</v>
      </c>
      <c r="E90" s="22">
        <f>D47</f>
        <v>15</v>
      </c>
      <c r="F90" s="80">
        <f t="shared" ref="F90" si="7">D90/E90</f>
        <v>0.8</v>
      </c>
      <c r="G90" s="22">
        <f>$C$61</f>
        <v>227.8</v>
      </c>
      <c r="H90" s="22">
        <f t="shared" ref="H90" si="8">G90/F90</f>
        <v>284.75</v>
      </c>
    </row>
  </sheetData>
  <mergeCells count="39">
    <mergeCell ref="A66:B66"/>
    <mergeCell ref="A69:B69"/>
    <mergeCell ref="A70:B70"/>
    <mergeCell ref="A67:B67"/>
    <mergeCell ref="A68:B68"/>
    <mergeCell ref="A60:B60"/>
    <mergeCell ref="A61:B61"/>
    <mergeCell ref="A62:B62"/>
    <mergeCell ref="A63:B63"/>
    <mergeCell ref="A64:B64"/>
    <mergeCell ref="B36:C36"/>
    <mergeCell ref="B41:C41"/>
    <mergeCell ref="A45:B45"/>
    <mergeCell ref="A46:B46"/>
    <mergeCell ref="A47:B47"/>
    <mergeCell ref="A44:G44"/>
    <mergeCell ref="B2:D4"/>
    <mergeCell ref="A19:E19"/>
    <mergeCell ref="B33:C33"/>
    <mergeCell ref="B34:C34"/>
    <mergeCell ref="B35:C35"/>
    <mergeCell ref="B8:C8"/>
    <mergeCell ref="B32:G32"/>
    <mergeCell ref="A88:H88"/>
    <mergeCell ref="B37:C37"/>
    <mergeCell ref="B38:C38"/>
    <mergeCell ref="B39:C39"/>
    <mergeCell ref="B40:C40"/>
    <mergeCell ref="A48:B48"/>
    <mergeCell ref="A65:B65"/>
    <mergeCell ref="A56:B56"/>
    <mergeCell ref="D60:E60"/>
    <mergeCell ref="A50:B50"/>
    <mergeCell ref="A51:B51"/>
    <mergeCell ref="A52:B52"/>
    <mergeCell ref="A53:B53"/>
    <mergeCell ref="A54:B54"/>
    <mergeCell ref="A55:B55"/>
    <mergeCell ref="A49:B4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4:E173"/>
  <sheetViews>
    <sheetView topLeftCell="A15" zoomScale="70" zoomScaleNormal="70" workbookViewId="0">
      <selection activeCell="B19" sqref="B19"/>
    </sheetView>
  </sheetViews>
  <sheetFormatPr baseColWidth="10" defaultRowHeight="15" x14ac:dyDescent="0.25"/>
  <cols>
    <col min="1" max="1" width="14.85546875" bestFit="1" customWidth="1"/>
    <col min="2" max="2" width="9.85546875" customWidth="1"/>
    <col min="3" max="3" width="27" bestFit="1" customWidth="1"/>
    <col min="4" max="4" width="15.5703125" bestFit="1" customWidth="1"/>
    <col min="5" max="5" width="14.140625" bestFit="1" customWidth="1"/>
  </cols>
  <sheetData>
    <row r="14" spans="1:5" x14ac:dyDescent="0.25">
      <c r="A14" s="78"/>
      <c r="B14" s="78"/>
      <c r="C14" s="78"/>
      <c r="D14" s="78" t="s">
        <v>236</v>
      </c>
      <c r="E14" s="78" t="s">
        <v>237</v>
      </c>
    </row>
    <row r="15" spans="1:5" x14ac:dyDescent="0.25">
      <c r="A15" s="22" t="s">
        <v>238</v>
      </c>
      <c r="B15" s="22">
        <v>2850</v>
      </c>
      <c r="C15" s="22" t="s">
        <v>239</v>
      </c>
      <c r="D15" s="22">
        <v>1840</v>
      </c>
      <c r="E15" s="22">
        <v>1932</v>
      </c>
    </row>
    <row r="16" spans="1:5" x14ac:dyDescent="0.25">
      <c r="A16" s="22" t="s">
        <v>240</v>
      </c>
      <c r="B16" s="22">
        <v>1350</v>
      </c>
      <c r="C16" s="22" t="s">
        <v>241</v>
      </c>
      <c r="D16" s="22">
        <v>1605</v>
      </c>
      <c r="E16" s="22">
        <v>1415</v>
      </c>
    </row>
    <row r="17" spans="1:5" x14ac:dyDescent="0.25">
      <c r="A17" s="22" t="s">
        <v>242</v>
      </c>
      <c r="B17" s="22">
        <v>1750</v>
      </c>
      <c r="C17" s="22" t="s">
        <v>243</v>
      </c>
      <c r="D17" s="22">
        <v>2400</v>
      </c>
      <c r="E17" s="22">
        <v>2400</v>
      </c>
    </row>
    <row r="18" spans="1:5" ht="30" x14ac:dyDescent="0.25">
      <c r="A18" s="86" t="s">
        <v>301</v>
      </c>
      <c r="B18" s="22">
        <v>777.4</v>
      </c>
      <c r="C18" s="22" t="s">
        <v>244</v>
      </c>
      <c r="D18" s="22">
        <v>2315</v>
      </c>
      <c r="E18" s="22">
        <v>2490</v>
      </c>
    </row>
    <row r="19" spans="1:5" ht="30" x14ac:dyDescent="0.25">
      <c r="A19" s="86" t="s">
        <v>302</v>
      </c>
      <c r="B19" s="22">
        <v>830.8</v>
      </c>
      <c r="C19" s="22" t="s">
        <v>245</v>
      </c>
      <c r="D19" s="22">
        <v>160</v>
      </c>
      <c r="E19" s="22">
        <v>60</v>
      </c>
    </row>
    <row r="20" spans="1:5" x14ac:dyDescent="0.25">
      <c r="C20" s="22" t="s">
        <v>246</v>
      </c>
      <c r="D20" s="22">
        <v>445</v>
      </c>
      <c r="E20" s="22">
        <v>535</v>
      </c>
    </row>
    <row r="21" spans="1:5" x14ac:dyDescent="0.25">
      <c r="C21" s="22"/>
      <c r="D21" s="22"/>
      <c r="E21" s="22"/>
    </row>
    <row r="85" spans="1:3" x14ac:dyDescent="0.25">
      <c r="A85" s="79" t="s">
        <v>247</v>
      </c>
      <c r="B85" s="79" t="s">
        <v>73</v>
      </c>
      <c r="C85" s="79" t="s">
        <v>248</v>
      </c>
    </row>
    <row r="86" spans="1:3" x14ac:dyDescent="0.25">
      <c r="A86" s="22" t="s">
        <v>249</v>
      </c>
      <c r="B86" s="22">
        <f>((D15-D20)/2)+D20</f>
        <v>1142.5</v>
      </c>
      <c r="C86" s="22">
        <f>((E15-E20)/2)+E20</f>
        <v>1233.5</v>
      </c>
    </row>
    <row r="87" spans="1:3" x14ac:dyDescent="0.25">
      <c r="A87" s="22" t="s">
        <v>250</v>
      </c>
      <c r="B87" s="80">
        <f>(D20*D18+B86*D19)/B15</f>
        <v>425.60526315789474</v>
      </c>
      <c r="C87" s="80">
        <f>((E20*E18)+(C86*E19))/B15</f>
        <v>493.38947368421054</v>
      </c>
    </row>
    <row r="88" spans="1:3" x14ac:dyDescent="0.25">
      <c r="A88" s="22" t="s">
        <v>251</v>
      </c>
      <c r="B88" s="80">
        <f>ATAN(D16/(2*B87))*180/PI()</f>
        <v>62.060790839326351</v>
      </c>
      <c r="C88" s="80">
        <f>ATAN(E16/(2*C87))*180/PI()</f>
        <v>55.109226800758321</v>
      </c>
    </row>
    <row r="170" spans="1:3" x14ac:dyDescent="0.25">
      <c r="A170" s="81" t="s">
        <v>247</v>
      </c>
      <c r="B170" s="81" t="s">
        <v>73</v>
      </c>
      <c r="C170" s="81" t="s">
        <v>248</v>
      </c>
    </row>
    <row r="171" spans="1:3" x14ac:dyDescent="0.25">
      <c r="A171" s="22" t="s">
        <v>250</v>
      </c>
      <c r="B171" s="80">
        <f>B87</f>
        <v>425.60526315789474</v>
      </c>
      <c r="C171" s="80">
        <f>C87</f>
        <v>493.38947368421054</v>
      </c>
    </row>
    <row r="172" spans="1:3" x14ac:dyDescent="0.25">
      <c r="A172" s="22" t="s">
        <v>251</v>
      </c>
      <c r="B172" s="80">
        <f>ATAN(B173/B171)*180/PI()</f>
        <v>69.475356177293435</v>
      </c>
      <c r="C172" s="80">
        <f>ATAN(C173/C171)*180/PI()</f>
        <v>66.53915648506559</v>
      </c>
    </row>
    <row r="173" spans="1:3" x14ac:dyDescent="0.25">
      <c r="A173" t="s">
        <v>252</v>
      </c>
      <c r="B173">
        <f>(B16*D17)/B15</f>
        <v>1136.8421052631579</v>
      </c>
      <c r="C173">
        <f>(B16*E17)/B15</f>
        <v>1136.8421052631579</v>
      </c>
    </row>
  </sheetData>
  <pageMargins left="0.7" right="0.7" top="0.75" bottom="0.75" header="0.3" footer="0.3"/>
  <pageSetup paperSize="9" orientation="portrait" horizontalDpi="0"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8:K38"/>
  <sheetViews>
    <sheetView topLeftCell="A4" zoomScaleNormal="100" workbookViewId="0">
      <selection activeCell="G29" sqref="G29"/>
    </sheetView>
  </sheetViews>
  <sheetFormatPr baseColWidth="10" defaultRowHeight="15" x14ac:dyDescent="0.25"/>
  <cols>
    <col min="2" max="2" width="12.5703125" bestFit="1" customWidth="1"/>
  </cols>
  <sheetData>
    <row r="28" spans="1:8" x14ac:dyDescent="0.25">
      <c r="A28" t="s">
        <v>180</v>
      </c>
      <c r="B28" s="54">
        <f>B29*(B30*B31)/(B30+B31)</f>
        <v>12.485454545454546</v>
      </c>
      <c r="C28" t="s">
        <v>185</v>
      </c>
      <c r="F28" t="s">
        <v>187</v>
      </c>
      <c r="G28" s="55">
        <f>G30*G31/(G29*G30-G31)</f>
        <v>1.7511470395455535</v>
      </c>
      <c r="H28" t="s">
        <v>186</v>
      </c>
    </row>
    <row r="29" spans="1:8" x14ac:dyDescent="0.25">
      <c r="A29" t="s">
        <v>166</v>
      </c>
      <c r="B29" s="13">
        <v>9.81</v>
      </c>
      <c r="C29" t="s">
        <v>168</v>
      </c>
      <c r="F29" t="s">
        <v>166</v>
      </c>
      <c r="G29" s="13">
        <v>9.81</v>
      </c>
      <c r="H29" t="s">
        <v>168</v>
      </c>
    </row>
    <row r="30" spans="1:8" x14ac:dyDescent="0.25">
      <c r="A30" t="s">
        <v>181</v>
      </c>
      <c r="B30" s="13">
        <v>3.5</v>
      </c>
      <c r="C30" t="s">
        <v>186</v>
      </c>
      <c r="F30" t="s">
        <v>181</v>
      </c>
      <c r="G30" s="13">
        <v>3.5</v>
      </c>
      <c r="H30" t="s">
        <v>186</v>
      </c>
    </row>
    <row r="31" spans="1:8" x14ac:dyDescent="0.25">
      <c r="A31" t="s">
        <v>182</v>
      </c>
      <c r="B31" s="13">
        <v>2</v>
      </c>
      <c r="C31" t="s">
        <v>186</v>
      </c>
      <c r="F31" t="s">
        <v>180</v>
      </c>
      <c r="G31" s="13">
        <v>11.45</v>
      </c>
      <c r="H31" t="s">
        <v>185</v>
      </c>
    </row>
    <row r="32" spans="1:8" x14ac:dyDescent="0.25">
      <c r="A32" t="s">
        <v>183</v>
      </c>
      <c r="B32" s="13">
        <v>3.5</v>
      </c>
      <c r="C32" t="s">
        <v>186</v>
      </c>
    </row>
    <row r="33" spans="1:11" x14ac:dyDescent="0.25">
      <c r="A33" t="s">
        <v>184</v>
      </c>
      <c r="B33" s="13">
        <v>0.08</v>
      </c>
      <c r="C33" t="s">
        <v>186</v>
      </c>
      <c r="G33" s="158"/>
      <c r="H33" s="158"/>
      <c r="I33" s="158"/>
      <c r="J33" s="158"/>
      <c r="K33" s="158"/>
    </row>
    <row r="34" spans="1:11" x14ac:dyDescent="0.25">
      <c r="A34" s="235"/>
      <c r="B34" s="235"/>
      <c r="C34" s="235"/>
      <c r="D34" s="235"/>
      <c r="E34" s="235"/>
      <c r="G34" s="9"/>
      <c r="H34" s="9"/>
      <c r="I34" s="9"/>
      <c r="J34" s="9"/>
      <c r="K34" s="9"/>
    </row>
    <row r="35" spans="1:11" x14ac:dyDescent="0.25">
      <c r="A35" s="9"/>
      <c r="B35" s="9"/>
      <c r="C35" s="9"/>
      <c r="D35" s="9"/>
      <c r="E35" s="9"/>
      <c r="G35" s="235"/>
      <c r="H35" s="235"/>
      <c r="I35" s="235"/>
      <c r="J35" s="235"/>
      <c r="K35" s="235"/>
    </row>
    <row r="36" spans="1:11" x14ac:dyDescent="0.25">
      <c r="A36" s="235"/>
      <c r="B36" s="235"/>
      <c r="C36" s="235"/>
      <c r="D36" s="235"/>
      <c r="E36" s="235"/>
      <c r="G36" s="9"/>
      <c r="H36" s="9"/>
      <c r="I36" s="9"/>
      <c r="J36" s="9"/>
      <c r="K36" s="9"/>
    </row>
    <row r="37" spans="1:11" x14ac:dyDescent="0.25">
      <c r="A37" s="9"/>
      <c r="B37" s="9"/>
      <c r="C37" s="9"/>
      <c r="D37" s="9"/>
      <c r="E37" s="9"/>
      <c r="G37" s="235"/>
      <c r="H37" s="235"/>
      <c r="I37" s="235"/>
      <c r="J37" s="9"/>
      <c r="K37" s="9"/>
    </row>
    <row r="38" spans="1:11" x14ac:dyDescent="0.25">
      <c r="A38" s="235"/>
      <c r="B38" s="235"/>
      <c r="C38" s="9"/>
      <c r="D38" s="9"/>
      <c r="E38" s="9"/>
    </row>
  </sheetData>
  <mergeCells count="6">
    <mergeCell ref="A38:B38"/>
    <mergeCell ref="A34:E34"/>
    <mergeCell ref="A36:E36"/>
    <mergeCell ref="G33:K33"/>
    <mergeCell ref="G35:K35"/>
    <mergeCell ref="G37:I37"/>
  </mergeCells>
  <pageMargins left="0.7" right="0.7" top="0.75" bottom="0.75" header="0.3" footer="0.3"/>
  <pageSetup paperSize="9" orientation="portrait" horizontalDpi="0"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K174"/>
  <sheetViews>
    <sheetView workbookViewId="0">
      <selection activeCell="H16" sqref="H16"/>
    </sheetView>
  </sheetViews>
  <sheetFormatPr baseColWidth="10" defaultRowHeight="15" x14ac:dyDescent="0.25"/>
  <cols>
    <col min="1" max="1" width="48.85546875" bestFit="1" customWidth="1"/>
    <col min="2" max="2" width="20.28515625" bestFit="1" customWidth="1"/>
    <col min="9" max="9" width="40.5703125" bestFit="1" customWidth="1"/>
  </cols>
  <sheetData>
    <row r="3" spans="1:11" x14ac:dyDescent="0.25">
      <c r="A3" t="s">
        <v>287</v>
      </c>
    </row>
    <row r="4" spans="1:11" x14ac:dyDescent="0.25">
      <c r="A4" t="s">
        <v>264</v>
      </c>
      <c r="B4">
        <v>1110</v>
      </c>
      <c r="C4" t="s">
        <v>58</v>
      </c>
      <c r="E4">
        <f>B4*9.81</f>
        <v>10889.1</v>
      </c>
      <c r="F4" t="s">
        <v>29</v>
      </c>
    </row>
    <row r="5" spans="1:11" x14ac:dyDescent="0.25">
      <c r="A5" t="s">
        <v>288</v>
      </c>
      <c r="B5" t="s">
        <v>289</v>
      </c>
      <c r="C5">
        <v>0.2</v>
      </c>
      <c r="D5" t="s">
        <v>263</v>
      </c>
      <c r="E5">
        <f>C5/2</f>
        <v>0.1</v>
      </c>
    </row>
    <row r="6" spans="1:11" x14ac:dyDescent="0.25">
      <c r="A6" t="s">
        <v>297</v>
      </c>
      <c r="C6">
        <v>3.1699999999999999E-2</v>
      </c>
    </row>
    <row r="7" spans="1:11" x14ac:dyDescent="0.25">
      <c r="A7" t="s">
        <v>256</v>
      </c>
      <c r="B7" t="s">
        <v>261</v>
      </c>
      <c r="C7">
        <v>1.9E-2</v>
      </c>
    </row>
    <row r="8" spans="1:11" x14ac:dyDescent="0.25">
      <c r="A8" t="s">
        <v>217</v>
      </c>
      <c r="C8">
        <v>2</v>
      </c>
    </row>
    <row r="10" spans="1:11" x14ac:dyDescent="0.25">
      <c r="K10" s="9"/>
    </row>
    <row r="18" spans="1:5" x14ac:dyDescent="0.25">
      <c r="A18" t="s">
        <v>267</v>
      </c>
      <c r="B18">
        <v>0.19700000000000001</v>
      </c>
    </row>
    <row r="19" spans="1:5" x14ac:dyDescent="0.25">
      <c r="A19" t="s">
        <v>265</v>
      </c>
      <c r="B19">
        <v>0.12</v>
      </c>
    </row>
    <row r="20" spans="1:5" x14ac:dyDescent="0.25">
      <c r="A20" t="s">
        <v>266</v>
      </c>
      <c r="B20">
        <v>50</v>
      </c>
      <c r="C20" t="s">
        <v>58</v>
      </c>
      <c r="D20">
        <f>B20*9.81</f>
        <v>490.5</v>
      </c>
      <c r="E20" t="s">
        <v>29</v>
      </c>
    </row>
    <row r="21" spans="1:5" x14ac:dyDescent="0.25">
      <c r="A21" t="s">
        <v>268</v>
      </c>
      <c r="B21" s="73" t="s">
        <v>275</v>
      </c>
      <c r="C21" s="9">
        <v>5</v>
      </c>
    </row>
    <row r="22" spans="1:5" x14ac:dyDescent="0.25">
      <c r="A22" t="s">
        <v>290</v>
      </c>
      <c r="C22" s="9">
        <v>0.3</v>
      </c>
    </row>
    <row r="23" spans="1:5" x14ac:dyDescent="0.25">
      <c r="A23" t="s">
        <v>284</v>
      </c>
      <c r="C23" s="9">
        <v>0.40255000000000002</v>
      </c>
      <c r="D23" t="s">
        <v>9</v>
      </c>
    </row>
    <row r="24" spans="1:5" x14ac:dyDescent="0.25">
      <c r="C24" s="9"/>
    </row>
    <row r="26" spans="1:5" x14ac:dyDescent="0.25">
      <c r="A26" t="s">
        <v>269</v>
      </c>
    </row>
    <row r="28" spans="1:5" x14ac:dyDescent="0.25">
      <c r="A28" t="s">
        <v>270</v>
      </c>
    </row>
    <row r="29" spans="1:5" x14ac:dyDescent="0.25">
      <c r="A29" t="s">
        <v>271</v>
      </c>
    </row>
    <row r="30" spans="1:5" x14ac:dyDescent="0.25">
      <c r="A30" t="s">
        <v>272</v>
      </c>
    </row>
    <row r="31" spans="1:5" x14ac:dyDescent="0.25">
      <c r="A31" t="s">
        <v>273</v>
      </c>
    </row>
    <row r="42" spans="1:3" ht="23.25" x14ac:dyDescent="0.35">
      <c r="A42" s="82" t="s">
        <v>274</v>
      </c>
      <c r="B42" s="83">
        <f>D20*C21</f>
        <v>2452.5</v>
      </c>
      <c r="C42" s="83" t="s">
        <v>29</v>
      </c>
    </row>
    <row r="51" spans="2:3" ht="26.25" x14ac:dyDescent="0.35">
      <c r="B51" s="85">
        <f>B42/(PI()*(C6/2)*(C6/2))</f>
        <v>3107424.6767934668</v>
      </c>
      <c r="C51" s="83" t="s">
        <v>283</v>
      </c>
    </row>
    <row r="85" spans="1:3" ht="26.25" x14ac:dyDescent="0.45">
      <c r="A85" s="82" t="s">
        <v>282</v>
      </c>
      <c r="B85" s="83">
        <f>C8*B51*(PI()*(C7/2)^2)</f>
        <v>1762.0883877837375</v>
      </c>
      <c r="C85" s="83" t="s">
        <v>29</v>
      </c>
    </row>
    <row r="99" spans="1:4" x14ac:dyDescent="0.25">
      <c r="A99" t="s">
        <v>291</v>
      </c>
    </row>
    <row r="100" spans="1:4" x14ac:dyDescent="0.25">
      <c r="A100" t="s">
        <v>292</v>
      </c>
    </row>
    <row r="102" spans="1:4" ht="23.25" x14ac:dyDescent="0.35">
      <c r="A102" s="82" t="s">
        <v>293</v>
      </c>
      <c r="B102" s="83">
        <v>1.2</v>
      </c>
      <c r="C102" s="83" t="s">
        <v>294</v>
      </c>
      <c r="D102" s="83"/>
    </row>
    <row r="103" spans="1:4" ht="23.25" x14ac:dyDescent="0.35">
      <c r="A103" s="83"/>
      <c r="B103" s="83"/>
      <c r="C103" s="83"/>
      <c r="D103" s="83"/>
    </row>
    <row r="104" spans="1:4" ht="23.25" x14ac:dyDescent="0.35">
      <c r="A104" s="82" t="s">
        <v>295</v>
      </c>
      <c r="B104" s="83">
        <f>B102*B85</f>
        <v>2114.5060653404848</v>
      </c>
      <c r="C104" s="83" t="s">
        <v>29</v>
      </c>
      <c r="D104" s="83"/>
    </row>
    <row r="120" spans="1:3" ht="23.25" x14ac:dyDescent="0.35">
      <c r="A120" s="82" t="s">
        <v>296</v>
      </c>
      <c r="B120" s="85">
        <f>B104*E5/C23</f>
        <v>525.27786991441678</v>
      </c>
      <c r="C120" s="83" t="s">
        <v>29</v>
      </c>
    </row>
    <row r="125" spans="1:3" ht="23.25" x14ac:dyDescent="0.35">
      <c r="A125" s="82"/>
      <c r="B125" s="83"/>
      <c r="C125" s="83"/>
    </row>
    <row r="131" spans="1:5" ht="26.25" x14ac:dyDescent="0.45">
      <c r="A131" s="82" t="s">
        <v>286</v>
      </c>
      <c r="B131" s="85">
        <f>2*B120</f>
        <v>1050.5557398288336</v>
      </c>
      <c r="C131" s="83" t="s">
        <v>29</v>
      </c>
      <c r="D131" s="83"/>
    </row>
    <row r="139" spans="1:5" ht="23.25" x14ac:dyDescent="0.35">
      <c r="A139" s="82"/>
      <c r="B139" s="84"/>
      <c r="C139" s="83"/>
    </row>
    <row r="144" spans="1:5" ht="23.25" x14ac:dyDescent="0.35">
      <c r="B144" s="83"/>
      <c r="C144" s="83"/>
      <c r="D144" s="83"/>
      <c r="E144" s="83"/>
    </row>
    <row r="156" spans="1:3" ht="23.25" x14ac:dyDescent="0.35">
      <c r="A156" s="82"/>
      <c r="B156" s="83"/>
      <c r="C156" s="83"/>
    </row>
    <row r="174" spans="1:4" ht="23.25" x14ac:dyDescent="0.35">
      <c r="A174" s="82"/>
      <c r="B174" s="83"/>
      <c r="C174" s="83"/>
      <c r="D174" s="83"/>
    </row>
  </sheetData>
  <pageMargins left="0.7" right="0.7" top="0.75" bottom="0.75" header="0.3" footer="0.3"/>
  <pageSetup paperSize="9" orientation="portrait" horizontalDpi="0" verticalDpi="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K144"/>
  <sheetViews>
    <sheetView workbookViewId="0">
      <selection activeCell="B55" sqref="B55"/>
    </sheetView>
  </sheetViews>
  <sheetFormatPr baseColWidth="10" defaultRowHeight="15" x14ac:dyDescent="0.25"/>
  <cols>
    <col min="1" max="1" width="48.85546875" bestFit="1" customWidth="1"/>
    <col min="2" max="2" width="17.7109375" bestFit="1" customWidth="1"/>
    <col min="9" max="9" width="40.5703125" bestFit="1" customWidth="1"/>
  </cols>
  <sheetData>
    <row r="3" spans="1:11" x14ac:dyDescent="0.25">
      <c r="A3" t="s">
        <v>253</v>
      </c>
    </row>
    <row r="4" spans="1:11" x14ac:dyDescent="0.25">
      <c r="A4" t="s">
        <v>264</v>
      </c>
      <c r="B4">
        <v>1110</v>
      </c>
      <c r="C4" t="s">
        <v>58</v>
      </c>
      <c r="E4">
        <f>B4*9.81</f>
        <v>10889.1</v>
      </c>
      <c r="F4" t="s">
        <v>29</v>
      </c>
    </row>
    <row r="5" spans="1:11" x14ac:dyDescent="0.25">
      <c r="A5" t="s">
        <v>254</v>
      </c>
      <c r="B5" t="s">
        <v>259</v>
      </c>
      <c r="C5">
        <v>0.29399999999999998</v>
      </c>
      <c r="D5" t="s">
        <v>263</v>
      </c>
      <c r="E5">
        <f>C5/2</f>
        <v>0.14699999999999999</v>
      </c>
    </row>
    <row r="6" spans="1:11" x14ac:dyDescent="0.25">
      <c r="A6" t="s">
        <v>255</v>
      </c>
      <c r="B6" t="s">
        <v>260</v>
      </c>
      <c r="C6">
        <v>0.24</v>
      </c>
      <c r="D6" t="s">
        <v>262</v>
      </c>
      <c r="E6">
        <f>C6/2</f>
        <v>0.12</v>
      </c>
    </row>
    <row r="7" spans="1:11" x14ac:dyDescent="0.25">
      <c r="A7" t="s">
        <v>297</v>
      </c>
      <c r="C7">
        <v>3.1699999999999999E-2</v>
      </c>
    </row>
    <row r="8" spans="1:11" x14ac:dyDescent="0.25">
      <c r="A8" t="s">
        <v>256</v>
      </c>
      <c r="B8" t="s">
        <v>261</v>
      </c>
      <c r="C8">
        <v>4.4999999999999998E-2</v>
      </c>
    </row>
    <row r="9" spans="1:11" x14ac:dyDescent="0.25">
      <c r="A9" t="s">
        <v>217</v>
      </c>
      <c r="C9">
        <v>1</v>
      </c>
    </row>
    <row r="10" spans="1:11" x14ac:dyDescent="0.25">
      <c r="A10" t="s">
        <v>257</v>
      </c>
      <c r="C10">
        <v>0.7</v>
      </c>
    </row>
    <row r="12" spans="1:11" x14ac:dyDescent="0.25">
      <c r="K12" s="9"/>
    </row>
    <row r="15" spans="1:11" x14ac:dyDescent="0.25">
      <c r="A15" t="s">
        <v>258</v>
      </c>
      <c r="B15">
        <f>E6+(E5-E6)/2</f>
        <v>0.13350000000000001</v>
      </c>
    </row>
    <row r="21" spans="1:5" x14ac:dyDescent="0.25">
      <c r="A21" t="s">
        <v>267</v>
      </c>
      <c r="B21">
        <v>0.19700000000000001</v>
      </c>
    </row>
    <row r="22" spans="1:5" x14ac:dyDescent="0.25">
      <c r="A22" t="s">
        <v>265</v>
      </c>
      <c r="B22">
        <v>0.12</v>
      </c>
    </row>
    <row r="23" spans="1:5" x14ac:dyDescent="0.25">
      <c r="A23" t="s">
        <v>266</v>
      </c>
      <c r="B23">
        <v>50</v>
      </c>
      <c r="C23" t="s">
        <v>58</v>
      </c>
      <c r="D23">
        <f>B23*9.81</f>
        <v>490.5</v>
      </c>
      <c r="E23" t="s">
        <v>29</v>
      </c>
    </row>
    <row r="24" spans="1:5" x14ac:dyDescent="0.25">
      <c r="A24" t="s">
        <v>268</v>
      </c>
      <c r="B24" s="73" t="s">
        <v>275</v>
      </c>
      <c r="C24" s="9">
        <v>5</v>
      </c>
    </row>
    <row r="25" spans="1:5" x14ac:dyDescent="0.25">
      <c r="A25" t="s">
        <v>276</v>
      </c>
      <c r="C25" s="9">
        <v>0.4</v>
      </c>
    </row>
    <row r="26" spans="1:5" x14ac:dyDescent="0.25">
      <c r="A26" t="s">
        <v>284</v>
      </c>
      <c r="C26" s="9">
        <v>0.40255000000000002</v>
      </c>
      <c r="D26" t="s">
        <v>9</v>
      </c>
    </row>
    <row r="27" spans="1:5" x14ac:dyDescent="0.25">
      <c r="C27" s="9"/>
    </row>
    <row r="29" spans="1:5" x14ac:dyDescent="0.25">
      <c r="A29" t="s">
        <v>269</v>
      </c>
    </row>
    <row r="31" spans="1:5" x14ac:dyDescent="0.25">
      <c r="A31" t="s">
        <v>270</v>
      </c>
    </row>
    <row r="32" spans="1:5" x14ac:dyDescent="0.25">
      <c r="A32" t="s">
        <v>271</v>
      </c>
    </row>
    <row r="33" spans="1:3" x14ac:dyDescent="0.25">
      <c r="A33" t="s">
        <v>272</v>
      </c>
    </row>
    <row r="34" spans="1:3" x14ac:dyDescent="0.25">
      <c r="A34" t="s">
        <v>273</v>
      </c>
    </row>
    <row r="45" spans="1:3" ht="23.25" x14ac:dyDescent="0.35">
      <c r="A45" s="82" t="s">
        <v>274</v>
      </c>
      <c r="B45" s="83">
        <f>D23*C24</f>
        <v>2452.5</v>
      </c>
      <c r="C45" s="83" t="s">
        <v>29</v>
      </c>
    </row>
    <row r="54" spans="2:3" ht="26.25" x14ac:dyDescent="0.35">
      <c r="B54" s="85">
        <f>B45/(PI()*(C7/2)*(C7/2))</f>
        <v>3107424.6767934668</v>
      </c>
      <c r="C54" s="83" t="s">
        <v>283</v>
      </c>
    </row>
    <row r="86" spans="1:3" ht="26.25" x14ac:dyDescent="0.45">
      <c r="A86" s="82" t="s">
        <v>282</v>
      </c>
      <c r="B86" s="83">
        <f>C9*B54*(PI()*C8/2*C8/2)</f>
        <v>4942.145408950234</v>
      </c>
      <c r="C86" s="83" t="s">
        <v>29</v>
      </c>
    </row>
    <row r="100" spans="1:5" ht="26.25" x14ac:dyDescent="0.45">
      <c r="A100" s="82" t="s">
        <v>281</v>
      </c>
      <c r="B100" s="84">
        <f>B86*C25</f>
        <v>1976.8581635800938</v>
      </c>
      <c r="C100" s="83" t="s">
        <v>29</v>
      </c>
    </row>
    <row r="105" spans="1:5" ht="26.25" x14ac:dyDescent="0.45">
      <c r="A105" t="s">
        <v>277</v>
      </c>
      <c r="B105" s="83" t="s">
        <v>279</v>
      </c>
      <c r="C105" s="83" t="s">
        <v>280</v>
      </c>
      <c r="D105" s="83">
        <f>2*B100</f>
        <v>3953.7163271601876</v>
      </c>
      <c r="E105" s="83" t="s">
        <v>29</v>
      </c>
    </row>
    <row r="117" spans="1:3" ht="26.25" x14ac:dyDescent="0.45">
      <c r="A117" s="82" t="s">
        <v>278</v>
      </c>
      <c r="B117" s="83">
        <f>2*B100*B15</f>
        <v>527.82112967588512</v>
      </c>
      <c r="C117" s="83" t="s">
        <v>218</v>
      </c>
    </row>
    <row r="135" spans="1:4" ht="26.25" x14ac:dyDescent="0.45">
      <c r="A135" s="82" t="s">
        <v>285</v>
      </c>
      <c r="B135" s="83">
        <f>B117/C26</f>
        <v>1311.1939626776427</v>
      </c>
      <c r="C135" s="83" t="s">
        <v>29</v>
      </c>
      <c r="D135" s="83"/>
    </row>
    <row r="144" spans="1:4" ht="26.25" x14ac:dyDescent="0.45">
      <c r="A144" s="82" t="s">
        <v>286</v>
      </c>
      <c r="B144" s="85">
        <f>2*B135</f>
        <v>2622.3879253552855</v>
      </c>
      <c r="C144" s="83" t="s">
        <v>29</v>
      </c>
      <c r="D144" s="83"/>
    </row>
  </sheetData>
  <pageMargins left="0.7" right="0.7" top="0.75" bottom="0.75" header="0.3" footer="0.3"/>
  <pageSetup paperSize="9" orientation="portrait" horizontalDpi="0" verticalDpi="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91F52-CC86-4E1C-9664-D1D524BDA146}">
  <dimension ref="A1:D11"/>
  <sheetViews>
    <sheetView workbookViewId="0">
      <selection activeCell="D9" sqref="D9"/>
    </sheetView>
  </sheetViews>
  <sheetFormatPr baseColWidth="10" defaultRowHeight="15" x14ac:dyDescent="0.25"/>
  <sheetData>
    <row r="1" spans="1:4" x14ac:dyDescent="0.25">
      <c r="B1" s="239" t="s">
        <v>394</v>
      </c>
      <c r="C1" s="239"/>
      <c r="D1" s="239"/>
    </row>
    <row r="2" spans="1:4" x14ac:dyDescent="0.25">
      <c r="B2" s="239"/>
      <c r="C2" s="239"/>
      <c r="D2" s="239"/>
    </row>
    <row r="8" spans="1:4" x14ac:dyDescent="0.25">
      <c r="A8" s="206" t="s">
        <v>159</v>
      </c>
      <c r="B8" s="206"/>
      <c r="C8" s="206"/>
      <c r="D8" s="100" t="s">
        <v>390</v>
      </c>
    </row>
    <row r="9" spans="1:4" x14ac:dyDescent="0.25">
      <c r="A9" s="206" t="s">
        <v>391</v>
      </c>
      <c r="B9" s="206"/>
      <c r="C9" s="206"/>
      <c r="D9" s="100">
        <v>3215</v>
      </c>
    </row>
    <row r="10" spans="1:4" x14ac:dyDescent="0.25">
      <c r="A10" s="206" t="s">
        <v>392</v>
      </c>
      <c r="B10" s="206"/>
      <c r="C10" s="206"/>
      <c r="D10" s="100">
        <v>1050</v>
      </c>
    </row>
    <row r="11" spans="1:4" x14ac:dyDescent="0.25">
      <c r="A11" s="206" t="s">
        <v>393</v>
      </c>
      <c r="B11" s="206"/>
      <c r="C11" s="206"/>
      <c r="D11" s="100">
        <f>D9+D10</f>
        <v>4265</v>
      </c>
    </row>
  </sheetData>
  <mergeCells count="5">
    <mergeCell ref="A8:C8"/>
    <mergeCell ref="A9:C9"/>
    <mergeCell ref="A10:C10"/>
    <mergeCell ref="A11:C11"/>
    <mergeCell ref="B1: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REPARTO DE PESOS ESTIMADO</vt:lpstr>
      <vt:lpstr>CALCULOS VARIOS POTENCIA</vt:lpstr>
      <vt:lpstr>CAMBIO DE RUEDAS</vt:lpstr>
      <vt:lpstr>TOTALES</vt:lpstr>
      <vt:lpstr>SUSPENSION</vt:lpstr>
      <vt:lpstr>BALLESTAS</vt:lpstr>
      <vt:lpstr>TACOS EN SUSPENSION</vt:lpstr>
      <vt:lpstr>ALETINES</vt:lpstr>
      <vt:lpstr>SNORKEL</vt:lpstr>
      <vt:lpstr>CABRESTANTE</vt:lpstr>
      <vt:lpstr>SOPORTES LUCES DE TRABAJO</vt:lpstr>
      <vt:lpstr>LUCES INCRUSTADAS EN PARAGOLPES</vt:lpstr>
      <vt:lpstr>PARAGOLPES DELANTERO</vt:lpstr>
      <vt:lpstr>PARAGOLPES TRASERO</vt:lpstr>
      <vt:lpstr>ESTRIBOS LATERALES</vt:lpstr>
      <vt:lpstr>MOBILIARIO INTERIOR CAMPER</vt:lpstr>
      <vt:lpstr>ESTABILIDAD VEHICULO</vt:lpstr>
      <vt:lpstr>ENGANCHE REMOLQUE</vt:lpstr>
      <vt:lpstr>FRENOS TAMBOR</vt:lpstr>
      <vt:lpstr>FRENOS DISCO</vt:lpstr>
      <vt:lpstr>PRESUPUESTO PROYECTO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More Ingenieros</dc:creator>
  <cp:lastModifiedBy>Luis Serrano Artesero</cp:lastModifiedBy>
  <cp:lastPrinted>2022-10-30T16:03:40Z</cp:lastPrinted>
  <dcterms:created xsi:type="dcterms:W3CDTF">2018-10-28T11:32:06Z</dcterms:created>
  <dcterms:modified xsi:type="dcterms:W3CDTF">2024-12-03T14:59:04Z</dcterms:modified>
</cp:coreProperties>
</file>