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eob\Documents\Uni\Year_3\Sem 5\Lab\"/>
    </mc:Choice>
  </mc:AlternateContent>
  <xr:revisionPtr revIDLastSave="0" documentId="8_{25FEA8CA-32FF-4172-8800-6FF7515ACD53}" xr6:coauthVersionLast="47" xr6:coauthVersionMax="47" xr10:uidLastSave="{00000000-0000-0000-0000-000000000000}"/>
  <bookViews>
    <workbookView xWindow="-93" yWindow="-93" windowWidth="25786" windowHeight="13866" xr2:uid="{21D29725-3176-4D0C-AEA5-8B051A8F4ECD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4" i="1" l="1"/>
  <c r="S205" i="1" s="1"/>
  <c r="Q204" i="1"/>
  <c r="Q205" i="1" s="1"/>
  <c r="O204" i="1"/>
  <c r="O205" i="1" s="1"/>
  <c r="L205" i="1"/>
  <c r="L204" i="1"/>
  <c r="C204" i="1"/>
  <c r="S201" i="1"/>
  <c r="S202" i="1" s="1"/>
  <c r="Q201" i="1"/>
  <c r="Q202" i="1" s="1"/>
  <c r="O201" i="1"/>
  <c r="O202" i="1" s="1"/>
  <c r="L202" i="1"/>
  <c r="L201" i="1"/>
  <c r="C201" i="1"/>
  <c r="S198" i="1"/>
  <c r="S199" i="1" s="1"/>
  <c r="Q198" i="1"/>
  <c r="Q199" i="1" s="1"/>
  <c r="O198" i="1"/>
  <c r="O199" i="1" s="1"/>
  <c r="L199" i="1"/>
  <c r="L198" i="1"/>
  <c r="C198" i="1"/>
  <c r="S195" i="1"/>
  <c r="S196" i="1" s="1"/>
  <c r="Q195" i="1"/>
  <c r="Q196" i="1" s="1"/>
  <c r="O195" i="1"/>
  <c r="O196" i="1" s="1"/>
  <c r="L196" i="1"/>
  <c r="L195" i="1"/>
  <c r="C195" i="1"/>
  <c r="S192" i="1"/>
  <c r="S193" i="1" s="1"/>
  <c r="Q192" i="1"/>
  <c r="Q193" i="1" s="1"/>
  <c r="O192" i="1"/>
  <c r="O193" i="1" s="1"/>
  <c r="L193" i="1"/>
  <c r="L192" i="1"/>
  <c r="C192" i="1"/>
  <c r="S189" i="1"/>
  <c r="S190" i="1" s="1"/>
  <c r="Q189" i="1"/>
  <c r="Q190" i="1" s="1"/>
  <c r="O189" i="1"/>
  <c r="O190" i="1" s="1"/>
  <c r="L189" i="1"/>
  <c r="L190" i="1" s="1"/>
  <c r="C189" i="1"/>
  <c r="O186" i="1"/>
  <c r="O187" i="1" s="1"/>
  <c r="C186" i="1"/>
  <c r="L186" i="1"/>
  <c r="L187" i="1" s="1"/>
  <c r="O183" i="1"/>
  <c r="O184" i="1" s="1"/>
  <c r="L183" i="1"/>
  <c r="L184" i="1" s="1"/>
  <c r="C183" i="1"/>
  <c r="O180" i="1"/>
  <c r="O181" i="1" s="1"/>
  <c r="L180" i="1"/>
  <c r="L181" i="1" s="1"/>
  <c r="C180" i="1"/>
  <c r="O177" i="1"/>
  <c r="O178" i="1" s="1"/>
  <c r="L177" i="1"/>
  <c r="L178" i="1" s="1"/>
  <c r="C177" i="1"/>
  <c r="O174" i="1"/>
  <c r="O175" i="1" s="1"/>
  <c r="L174" i="1"/>
  <c r="L175" i="1" s="1"/>
  <c r="C174" i="1"/>
  <c r="O171" i="1"/>
  <c r="O172" i="1" s="1"/>
  <c r="L171" i="1"/>
  <c r="L172" i="1" s="1"/>
  <c r="C171" i="1"/>
  <c r="O168" i="1"/>
  <c r="O169" i="1" s="1"/>
  <c r="L168" i="1"/>
  <c r="L169" i="1" s="1"/>
  <c r="C168" i="1"/>
  <c r="O165" i="1"/>
  <c r="O166" i="1" s="1"/>
  <c r="L165" i="1"/>
  <c r="L166" i="1" s="1"/>
  <c r="C165" i="1"/>
  <c r="O162" i="1"/>
  <c r="O163" i="1" s="1"/>
  <c r="L162" i="1"/>
  <c r="L163" i="1" s="1"/>
  <c r="C162" i="1"/>
  <c r="O159" i="1"/>
  <c r="O160" i="1" s="1"/>
  <c r="L159" i="1"/>
  <c r="L160" i="1" s="1"/>
  <c r="C159" i="1"/>
  <c r="O156" i="1"/>
  <c r="O157" i="1" s="1"/>
  <c r="L156" i="1"/>
  <c r="L157" i="1" s="1"/>
  <c r="C156" i="1"/>
  <c r="O153" i="1"/>
  <c r="O154" i="1" s="1"/>
  <c r="L153" i="1"/>
  <c r="L154" i="1" s="1"/>
  <c r="C153" i="1"/>
  <c r="O150" i="1"/>
  <c r="O151" i="1" s="1"/>
  <c r="L150" i="1"/>
  <c r="L151" i="1" s="1"/>
  <c r="C150" i="1"/>
  <c r="O145" i="1"/>
  <c r="O146" i="1" s="1"/>
  <c r="L145" i="1"/>
  <c r="L146" i="1" s="1"/>
  <c r="C145" i="1"/>
  <c r="O142" i="1"/>
  <c r="O143" i="1" s="1"/>
  <c r="L142" i="1"/>
  <c r="L143" i="1" s="1"/>
  <c r="C142" i="1"/>
  <c r="O139" i="1"/>
  <c r="O140" i="1" s="1"/>
  <c r="L139" i="1"/>
  <c r="L140" i="1" s="1"/>
  <c r="C139" i="1"/>
  <c r="O136" i="1"/>
  <c r="Q136" i="1" s="1"/>
  <c r="L136" i="1"/>
  <c r="L137" i="1" s="1"/>
  <c r="C136" i="1"/>
  <c r="O133" i="1"/>
  <c r="O134" i="1" s="1"/>
  <c r="L133" i="1"/>
  <c r="L134" i="1" s="1"/>
  <c r="C133" i="1"/>
  <c r="O130" i="1"/>
  <c r="O131" i="1" s="1"/>
  <c r="L130" i="1"/>
  <c r="L131" i="1" s="1"/>
  <c r="C130" i="1"/>
  <c r="O127" i="1"/>
  <c r="O128" i="1" s="1"/>
  <c r="L127" i="1"/>
  <c r="L128" i="1" s="1"/>
  <c r="C127" i="1"/>
  <c r="O124" i="1"/>
  <c r="O125" i="1" s="1"/>
  <c r="L124" i="1"/>
  <c r="L125" i="1" s="1"/>
  <c r="C124" i="1"/>
  <c r="O121" i="1"/>
  <c r="O122" i="1" s="1"/>
  <c r="L121" i="1"/>
  <c r="L122" i="1" s="1"/>
  <c r="C121" i="1"/>
  <c r="O118" i="1"/>
  <c r="O119" i="1" s="1"/>
  <c r="L118" i="1"/>
  <c r="L119" i="1" s="1"/>
  <c r="C118" i="1"/>
  <c r="O115" i="1"/>
  <c r="O116" i="1" s="1"/>
  <c r="L115" i="1"/>
  <c r="L116" i="1" s="1"/>
  <c r="C115" i="1"/>
  <c r="O112" i="1"/>
  <c r="O113" i="1" s="1"/>
  <c r="L112" i="1"/>
  <c r="L113" i="1" s="1"/>
  <c r="C112" i="1"/>
  <c r="O109" i="1"/>
  <c r="O110" i="1" s="1"/>
  <c r="L109" i="1"/>
  <c r="L110" i="1" s="1"/>
  <c r="C109" i="1"/>
  <c r="O106" i="1"/>
  <c r="O107" i="1" s="1"/>
  <c r="L106" i="1"/>
  <c r="L107" i="1" s="1"/>
  <c r="C106" i="1"/>
  <c r="O103" i="1"/>
  <c r="O104" i="1" s="1"/>
  <c r="L103" i="1"/>
  <c r="L104" i="1" s="1"/>
  <c r="C103" i="1"/>
  <c r="O100" i="1"/>
  <c r="O101" i="1" s="1"/>
  <c r="L100" i="1"/>
  <c r="L101" i="1" s="1"/>
  <c r="C97" i="1"/>
  <c r="C100" i="1"/>
  <c r="O97" i="1"/>
  <c r="O98" i="1" s="1"/>
  <c r="L97" i="1"/>
  <c r="L98" i="1" s="1"/>
  <c r="C91" i="1"/>
  <c r="C94" i="1"/>
  <c r="O94" i="1"/>
  <c r="O95" i="1" s="1"/>
  <c r="L94" i="1"/>
  <c r="L95" i="1" s="1"/>
  <c r="O91" i="1"/>
  <c r="Q91" i="1" s="1"/>
  <c r="L91" i="1"/>
  <c r="L92" i="1" s="1"/>
  <c r="K205" i="1"/>
  <c r="K202" i="1"/>
  <c r="K199" i="1"/>
  <c r="K196" i="1"/>
  <c r="K193" i="1"/>
  <c r="K190" i="1"/>
  <c r="K187" i="1"/>
  <c r="K184" i="1"/>
  <c r="K181" i="1"/>
  <c r="K178" i="1"/>
  <c r="K175" i="1"/>
  <c r="K172" i="1"/>
  <c r="K169" i="1"/>
  <c r="K166" i="1"/>
  <c r="K163" i="1"/>
  <c r="K160" i="1"/>
  <c r="K157" i="1"/>
  <c r="K154" i="1"/>
  <c r="K151" i="1"/>
  <c r="K146" i="1"/>
  <c r="K143" i="1"/>
  <c r="K140" i="1"/>
  <c r="K137" i="1"/>
  <c r="K134" i="1"/>
  <c r="K131" i="1"/>
  <c r="K128" i="1"/>
  <c r="K125" i="1"/>
  <c r="K122" i="1"/>
  <c r="K119" i="1"/>
  <c r="K116" i="1"/>
  <c r="K113" i="1"/>
  <c r="K110" i="1"/>
  <c r="K107" i="1"/>
  <c r="K104" i="1"/>
  <c r="K101" i="1"/>
  <c r="K98" i="1"/>
  <c r="K95" i="1"/>
  <c r="K92" i="1"/>
  <c r="C86" i="1"/>
  <c r="L87" i="1"/>
  <c r="K87" i="1"/>
  <c r="O86" i="1"/>
  <c r="O87" i="1" s="1"/>
  <c r="C83" i="1"/>
  <c r="L84" i="1"/>
  <c r="K84" i="1"/>
  <c r="O83" i="1"/>
  <c r="O84" i="1" s="1"/>
  <c r="C77" i="1"/>
  <c r="C74" i="1"/>
  <c r="C71" i="1"/>
  <c r="C68" i="1"/>
  <c r="C65" i="1"/>
  <c r="C62" i="1"/>
  <c r="C80" i="1"/>
  <c r="L81" i="1"/>
  <c r="K81" i="1"/>
  <c r="O80" i="1"/>
  <c r="Q80" i="1" s="1"/>
  <c r="L78" i="1"/>
  <c r="K78" i="1"/>
  <c r="O77" i="1"/>
  <c r="O78" i="1" s="1"/>
  <c r="O74" i="1"/>
  <c r="O75" i="1" s="1"/>
  <c r="L75" i="1"/>
  <c r="K75" i="1"/>
  <c r="O71" i="1"/>
  <c r="O72" i="1" s="1"/>
  <c r="L72" i="1"/>
  <c r="K72" i="1"/>
  <c r="O68" i="1"/>
  <c r="O69" i="1" s="1"/>
  <c r="L69" i="1"/>
  <c r="K69" i="1"/>
  <c r="O65" i="1"/>
  <c r="O66" i="1" s="1"/>
  <c r="L66" i="1"/>
  <c r="K66" i="1"/>
  <c r="O62" i="1"/>
  <c r="Q62" i="1" s="1"/>
  <c r="L63" i="1"/>
  <c r="K63" i="1"/>
  <c r="O57" i="1"/>
  <c r="Q57" i="1" s="1"/>
  <c r="L58" i="1"/>
  <c r="K58" i="1"/>
  <c r="O54" i="1"/>
  <c r="Q54" i="1" s="1"/>
  <c r="L55" i="1"/>
  <c r="K55" i="1"/>
  <c r="O51" i="1"/>
  <c r="O52" i="1" s="1"/>
  <c r="L52" i="1"/>
  <c r="K52" i="1"/>
  <c r="O48" i="1"/>
  <c r="O49" i="1" s="1"/>
  <c r="L49" i="1"/>
  <c r="K49" i="1"/>
  <c r="O45" i="1"/>
  <c r="Q45" i="1" s="1"/>
  <c r="L46" i="1"/>
  <c r="K46" i="1"/>
  <c r="O42" i="1"/>
  <c r="O43" i="1" s="1"/>
  <c r="L43" i="1"/>
  <c r="K43" i="1"/>
  <c r="O39" i="1"/>
  <c r="O40" i="1" s="1"/>
  <c r="L40" i="1"/>
  <c r="K40" i="1"/>
  <c r="O36" i="1"/>
  <c r="O37" i="1" s="1"/>
  <c r="L37" i="1"/>
  <c r="K37" i="1"/>
  <c r="O33" i="1"/>
  <c r="O34" i="1" s="1"/>
  <c r="L34" i="1"/>
  <c r="K34" i="1"/>
  <c r="L29" i="1"/>
  <c r="L26" i="1"/>
  <c r="L23" i="1"/>
  <c r="L20" i="1"/>
  <c r="L17" i="1"/>
  <c r="L14" i="1"/>
  <c r="L11" i="1"/>
  <c r="L8" i="1"/>
  <c r="L5" i="1"/>
  <c r="O28" i="1"/>
  <c r="O29" i="1" s="1"/>
  <c r="K29" i="1"/>
  <c r="O25" i="1"/>
  <c r="Q25" i="1" s="1"/>
  <c r="K26" i="1"/>
  <c r="O22" i="1"/>
  <c r="Q22" i="1" s="1"/>
  <c r="S22" i="1" s="1"/>
  <c r="K23" i="1"/>
  <c r="O19" i="1"/>
  <c r="Q19" i="1" s="1"/>
  <c r="S19" i="1" s="1"/>
  <c r="K20" i="1"/>
  <c r="O16" i="1"/>
  <c r="Q16" i="1" s="1"/>
  <c r="S16" i="1" s="1"/>
  <c r="K17" i="1"/>
  <c r="O13" i="1"/>
  <c r="Q13" i="1" s="1"/>
  <c r="S13" i="1" s="1"/>
  <c r="K14" i="1"/>
  <c r="O10" i="1"/>
  <c r="Q10" i="1" s="1"/>
  <c r="S10" i="1" s="1"/>
  <c r="K11" i="1"/>
  <c r="O7" i="1"/>
  <c r="Q7" i="1" s="1"/>
  <c r="S7" i="1" s="1"/>
  <c r="K8" i="1"/>
  <c r="K5" i="1"/>
  <c r="O4" i="1"/>
  <c r="Q4" i="1" s="1"/>
  <c r="S4" i="1" s="1"/>
  <c r="Q165" i="1" l="1"/>
  <c r="Q166" i="1" s="1"/>
  <c r="Q183" i="1"/>
  <c r="Q186" i="1"/>
  <c r="Q174" i="1"/>
  <c r="Q175" i="1" s="1"/>
  <c r="Q115" i="1"/>
  <c r="Q116" i="1" s="1"/>
  <c r="Q180" i="1"/>
  <c r="Q181" i="1" s="1"/>
  <c r="S174" i="1"/>
  <c r="S175" i="1" s="1"/>
  <c r="Q168" i="1"/>
  <c r="Q177" i="1"/>
  <c r="Q171" i="1"/>
  <c r="Q145" i="1"/>
  <c r="Q146" i="1" s="1"/>
  <c r="S165" i="1"/>
  <c r="S166" i="1" s="1"/>
  <c r="S180" i="1"/>
  <c r="S181" i="1" s="1"/>
  <c r="S136" i="1"/>
  <c r="S91" i="1"/>
  <c r="Q100" i="1"/>
  <c r="Q150" i="1"/>
  <c r="Q118" i="1"/>
  <c r="Q51" i="1"/>
  <c r="Q52" i="1" s="1"/>
  <c r="Q68" i="1"/>
  <c r="Q142" i="1"/>
  <c r="Q112" i="1"/>
  <c r="O137" i="1"/>
  <c r="Q137" i="1" s="1"/>
  <c r="Q71" i="1"/>
  <c r="Q121" i="1"/>
  <c r="S115" i="1"/>
  <c r="S116" i="1" s="1"/>
  <c r="Q124" i="1"/>
  <c r="Q94" i="1"/>
  <c r="Q133" i="1"/>
  <c r="Q159" i="1"/>
  <c r="Q103" i="1"/>
  <c r="Q162" i="1"/>
  <c r="Q139" i="1"/>
  <c r="Q109" i="1"/>
  <c r="O23" i="1"/>
  <c r="Q23" i="1" s="1"/>
  <c r="S23" i="1" s="1"/>
  <c r="Q127" i="1"/>
  <c r="Q153" i="1"/>
  <c r="O92" i="1"/>
  <c r="Q92" i="1" s="1"/>
  <c r="Q106" i="1"/>
  <c r="Q130" i="1"/>
  <c r="Q156" i="1"/>
  <c r="Q97" i="1"/>
  <c r="Q86" i="1"/>
  <c r="Q83" i="1"/>
  <c r="O81" i="1"/>
  <c r="Q81" i="1" s="1"/>
  <c r="S80" i="1"/>
  <c r="Q77" i="1"/>
  <c r="Q74" i="1"/>
  <c r="Q75" i="1" s="1"/>
  <c r="S54" i="1"/>
  <c r="S57" i="1"/>
  <c r="S45" i="1"/>
  <c r="S62" i="1"/>
  <c r="Q42" i="1"/>
  <c r="Q33" i="1"/>
  <c r="O63" i="1"/>
  <c r="Q63" i="1" s="1"/>
  <c r="O26" i="1"/>
  <c r="Q26" i="1" s="1"/>
  <c r="O46" i="1"/>
  <c r="Q46" i="1" s="1"/>
  <c r="O55" i="1"/>
  <c r="Q55" i="1" s="1"/>
  <c r="Q36" i="1"/>
  <c r="Q48" i="1"/>
  <c r="O58" i="1"/>
  <c r="Q58" i="1" s="1"/>
  <c r="Q39" i="1"/>
  <c r="Q65" i="1"/>
  <c r="S25" i="1"/>
  <c r="O5" i="1"/>
  <c r="O11" i="1"/>
  <c r="Q11" i="1" s="1"/>
  <c r="S11" i="1" s="1"/>
  <c r="O14" i="1"/>
  <c r="Q14" i="1" s="1"/>
  <c r="S14" i="1" s="1"/>
  <c r="O17" i="1"/>
  <c r="Q17" i="1" s="1"/>
  <c r="S17" i="1" s="1"/>
  <c r="Q28" i="1"/>
  <c r="Q5" i="1"/>
  <c r="S5" i="1" s="1"/>
  <c r="O8" i="1"/>
  <c r="Q8" i="1" s="1"/>
  <c r="S8" i="1" s="1"/>
  <c r="O20" i="1"/>
  <c r="Q20" i="1" s="1"/>
  <c r="S20" i="1" s="1"/>
  <c r="S74" i="1" l="1"/>
  <c r="Q187" i="1"/>
  <c r="S186" i="1"/>
  <c r="Q184" i="1"/>
  <c r="S183" i="1"/>
  <c r="S184" i="1" s="1"/>
  <c r="Q169" i="1"/>
  <c r="S168" i="1"/>
  <c r="S51" i="1"/>
  <c r="S52" i="1" s="1"/>
  <c r="Q178" i="1"/>
  <c r="S177" i="1"/>
  <c r="S178" i="1" s="1"/>
  <c r="Q172" i="1"/>
  <c r="S171" i="1"/>
  <c r="S172" i="1" s="1"/>
  <c r="S145" i="1"/>
  <c r="S146" i="1" s="1"/>
  <c r="Q157" i="1"/>
  <c r="S156" i="1"/>
  <c r="S157" i="1" s="1"/>
  <c r="Q72" i="1"/>
  <c r="S71" i="1"/>
  <c r="Q128" i="1"/>
  <c r="S127" i="1"/>
  <c r="Q151" i="1"/>
  <c r="S150" i="1"/>
  <c r="S151" i="1" s="1"/>
  <c r="Q101" i="1"/>
  <c r="S100" i="1"/>
  <c r="Q104" i="1"/>
  <c r="S103" i="1"/>
  <c r="S104" i="1" s="1"/>
  <c r="S92" i="1"/>
  <c r="Q98" i="1"/>
  <c r="S97" i="1"/>
  <c r="S98" i="1" s="1"/>
  <c r="Q107" i="1"/>
  <c r="S106" i="1"/>
  <c r="Q154" i="1"/>
  <c r="S153" i="1"/>
  <c r="S154" i="1" s="1"/>
  <c r="Q69" i="1"/>
  <c r="S68" i="1"/>
  <c r="S69" i="1" s="1"/>
  <c r="Q110" i="1"/>
  <c r="S109" i="1"/>
  <c r="S110" i="1" s="1"/>
  <c r="Q163" i="1"/>
  <c r="S162" i="1"/>
  <c r="Q160" i="1"/>
  <c r="S159" i="1"/>
  <c r="S160" i="1" s="1"/>
  <c r="S137" i="1"/>
  <c r="Q125" i="1"/>
  <c r="S124" i="1"/>
  <c r="S125" i="1" s="1"/>
  <c r="Q122" i="1"/>
  <c r="S121" i="1"/>
  <c r="S122" i="1" s="1"/>
  <c r="Q131" i="1"/>
  <c r="S130" i="1"/>
  <c r="S131" i="1" s="1"/>
  <c r="Q113" i="1"/>
  <c r="S112" i="1"/>
  <c r="Q143" i="1"/>
  <c r="S142" i="1"/>
  <c r="Q119" i="1"/>
  <c r="S118" i="1"/>
  <c r="S119" i="1" s="1"/>
  <c r="Q140" i="1"/>
  <c r="S139" i="1"/>
  <c r="Q134" i="1"/>
  <c r="S133" i="1"/>
  <c r="S134" i="1" s="1"/>
  <c r="Q95" i="1"/>
  <c r="S94" i="1"/>
  <c r="S95" i="1" s="1"/>
  <c r="Q87" i="1"/>
  <c r="S86" i="1"/>
  <c r="S83" i="1"/>
  <c r="Q84" i="1"/>
  <c r="S81" i="1"/>
  <c r="S77" i="1"/>
  <c r="Q78" i="1"/>
  <c r="S75" i="1"/>
  <c r="Q34" i="1"/>
  <c r="S33" i="1"/>
  <c r="S34" i="1" s="1"/>
  <c r="Q43" i="1"/>
  <c r="S42" i="1"/>
  <c r="S63" i="1"/>
  <c r="S46" i="1"/>
  <c r="S26" i="1"/>
  <c r="Q66" i="1"/>
  <c r="S65" i="1"/>
  <c r="S66" i="1" s="1"/>
  <c r="Q40" i="1"/>
  <c r="S39" i="1"/>
  <c r="S58" i="1"/>
  <c r="Q49" i="1"/>
  <c r="S48" i="1"/>
  <c r="S55" i="1"/>
  <c r="Q37" i="1"/>
  <c r="S36" i="1"/>
  <c r="Q29" i="1"/>
  <c r="S28" i="1"/>
  <c r="S49" i="1" l="1"/>
  <c r="S113" i="1"/>
  <c r="S72" i="1"/>
  <c r="S187" i="1"/>
  <c r="S143" i="1"/>
  <c r="S128" i="1"/>
  <c r="S43" i="1"/>
  <c r="S140" i="1"/>
  <c r="S101" i="1"/>
  <c r="S169" i="1"/>
  <c r="S29" i="1"/>
  <c r="S163" i="1"/>
  <c r="S40" i="1"/>
  <c r="S107" i="1"/>
  <c r="S87" i="1"/>
  <c r="S84" i="1"/>
  <c r="S78" i="1"/>
  <c r="S37" i="1"/>
</calcChain>
</file>

<file path=xl/sharedStrings.xml><?xml version="1.0" encoding="utf-8"?>
<sst xmlns="http://schemas.openxmlformats.org/spreadsheetml/2006/main" count="213" uniqueCount="31">
  <si>
    <t>Amplitudes</t>
  </si>
  <si>
    <t>Fitting function</t>
  </si>
  <si>
    <t>Chi-squared</t>
  </si>
  <si>
    <t>Outer Range</t>
  </si>
  <si>
    <t>Inner Range</t>
  </si>
  <si>
    <t>Selection cuts</t>
  </si>
  <si>
    <r>
      <rPr>
        <b/>
        <sz val="11"/>
        <color theme="1"/>
        <rFont val="Aptos Narrow"/>
        <family val="2"/>
      </rPr>
      <t>∫</t>
    </r>
    <r>
      <rPr>
        <b/>
        <sz val="11"/>
        <color theme="1"/>
        <rFont val="Aptos Narrow"/>
        <family val="2"/>
        <scheme val="minor"/>
      </rPr>
      <t>L dt</t>
    </r>
  </si>
  <si>
    <t>Efficiency</t>
  </si>
  <si>
    <t>MC</t>
  </si>
  <si>
    <t>ATLAS</t>
  </si>
  <si>
    <t>Scale factor</t>
  </si>
  <si>
    <t>Integral</t>
  </si>
  <si>
    <t>N^sel - N^back</t>
  </si>
  <si>
    <t>Cross section</t>
  </si>
  <si>
    <t>exp(poly2)</t>
  </si>
  <si>
    <t>100-180</t>
  </si>
  <si>
    <t>120-130</t>
  </si>
  <si>
    <t>pol4</t>
  </si>
  <si>
    <t>pol3*expo</t>
  </si>
  <si>
    <t>pol2+expo</t>
  </si>
  <si>
    <t>pol2+poly(-1)</t>
  </si>
  <si>
    <t>landau+pol3</t>
  </si>
  <si>
    <t>pol5+gaus</t>
  </si>
  <si>
    <t>landau</t>
  </si>
  <si>
    <t>exp(poly2)*poly(-1)</t>
  </si>
  <si>
    <t>Bin number</t>
  </si>
  <si>
    <t>100-150</t>
  </si>
  <si>
    <t>Bin density</t>
  </si>
  <si>
    <t>exp(pol2)</t>
  </si>
  <si>
    <t>ptcone &lt; {} GeV</t>
  </si>
  <si>
    <t>etcone &lt; {} 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</si>
</sst>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55032</xdr:colOff>
      <xdr:row>2</xdr:row>
      <xdr:rowOff>143933</xdr:rowOff>
    </xdr:from>
    <xdr:to>
      <xdr:col>26</xdr:col>
      <xdr:colOff>542134</xdr:colOff>
      <xdr:row>6</xdr:row>
      <xdr:rowOff>88974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DED965-E226-9615-298B-25F3581C4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4532" y="508000"/>
          <a:ext cx="2417500" cy="673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CD74-209D-40BE-AD5E-9DBB38F51005}">
  <dimension ref="B2:V205"/>
  <sheetViews>
    <sheetView tabSelected="1" topLeftCell="A163" zoomScale="91" zoomScaleNormal="90" workbookViewId="0">
      <selection activeCell="F173" sqref="F173"/>
    </sheetView>
  </sheetViews>
  <sheetFormatPr defaultRowHeight="14.35" x14ac:dyDescent="0.5"/>
  <cols>
    <col min="2" max="3" width="17.76171875" customWidth="1"/>
    <col min="4" max="4" width="20.234375" customWidth="1"/>
    <col min="5" max="5" width="20.1171875" customWidth="1"/>
    <col min="6" max="6" width="11.17578125" customWidth="1"/>
    <col min="7" max="7" width="10.17578125" customWidth="1"/>
    <col min="8" max="8" width="19.3515625" customWidth="1"/>
    <col min="13" max="13" width="11.234375" customWidth="1"/>
    <col min="15" max="15" width="12" customWidth="1"/>
    <col min="16" max="16" width="11.64453125" customWidth="1"/>
    <col min="17" max="17" width="13.234375" customWidth="1"/>
    <col min="19" max="19" width="13.1171875" customWidth="1"/>
    <col min="20" max="20" width="11.1171875" customWidth="1"/>
    <col min="21" max="21" width="11.3515625" customWidth="1"/>
    <col min="22" max="22" width="11.1171875" customWidth="1"/>
  </cols>
  <sheetData>
    <row r="2" spans="2:22" x14ac:dyDescent="0.5">
      <c r="M2" s="3" t="s">
        <v>0</v>
      </c>
      <c r="N2" s="3"/>
      <c r="T2" s="3"/>
      <c r="U2" s="3"/>
      <c r="V2" s="3"/>
    </row>
    <row r="3" spans="2:22" x14ac:dyDescent="0.5">
      <c r="B3" s="1" t="s">
        <v>1</v>
      </c>
      <c r="C3" s="1" t="s">
        <v>2</v>
      </c>
      <c r="D3" s="1" t="s">
        <v>3</v>
      </c>
      <c r="E3" s="1" t="s">
        <v>4</v>
      </c>
      <c r="F3" s="1" t="s">
        <v>25</v>
      </c>
      <c r="G3" s="1" t="s">
        <v>27</v>
      </c>
      <c r="H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S3" s="1" t="s">
        <v>13</v>
      </c>
      <c r="T3" s="1"/>
      <c r="U3" s="1"/>
      <c r="V3" s="1"/>
    </row>
    <row r="4" spans="2:22" x14ac:dyDescent="0.5">
      <c r="B4" t="s">
        <v>14</v>
      </c>
      <c r="C4">
        <v>1.0560872093023255</v>
      </c>
      <c r="D4" t="s">
        <v>15</v>
      </c>
      <c r="E4" t="s">
        <v>16</v>
      </c>
      <c r="F4">
        <v>200</v>
      </c>
      <c r="G4">
        <v>2.5</v>
      </c>
      <c r="K4">
        <v>10.064</v>
      </c>
      <c r="L4">
        <v>0.37838389550000001</v>
      </c>
      <c r="M4">
        <v>27.534700000000001</v>
      </c>
      <c r="N4">
        <v>21.657399999999999</v>
      </c>
      <c r="O4">
        <f>N4/M4</f>
        <v>0.78654933592884613</v>
      </c>
      <c r="P4">
        <v>411.42510581016501</v>
      </c>
      <c r="Q4">
        <f>O4*P4</f>
        <v>323.60614375944056</v>
      </c>
      <c r="S4">
        <f>Q4/(L4*K4)</f>
        <v>84.97936589774551</v>
      </c>
    </row>
    <row r="5" spans="2:22" x14ac:dyDescent="0.5">
      <c r="K5">
        <f>0.016*K4</f>
        <v>0.161024</v>
      </c>
      <c r="L5">
        <f>L4*(0.487570331354933/434.963639420256)</f>
        <v>4.2414754841163814E-4</v>
      </c>
      <c r="M5">
        <v>0.04</v>
      </c>
      <c r="N5">
        <v>8.8554600000000008</v>
      </c>
      <c r="O5">
        <f>O4*SQRT((N5/N4)^2+(M5/M4)^2)</f>
        <v>0.32161294255603129</v>
      </c>
      <c r="P5">
        <v>4.7425242025575597E-2</v>
      </c>
      <c r="Q5">
        <f>Q4*SQRT((P5/P4)^2+(O5/O4)^2)</f>
        <v>132.31964417898718</v>
      </c>
      <c r="S5">
        <f>S4*(Q5/Q4)</f>
        <v>34.747299070145075</v>
      </c>
    </row>
    <row r="7" spans="2:22" x14ac:dyDescent="0.5">
      <c r="B7" t="s">
        <v>17</v>
      </c>
      <c r="C7">
        <v>1.0653764705882354</v>
      </c>
      <c r="D7" t="s">
        <v>15</v>
      </c>
      <c r="E7" t="s">
        <v>16</v>
      </c>
      <c r="F7">
        <v>200</v>
      </c>
      <c r="G7">
        <v>2.5</v>
      </c>
      <c r="K7">
        <v>10.064</v>
      </c>
      <c r="L7">
        <v>0.37838389550000001</v>
      </c>
      <c r="M7">
        <v>27.534700000000001</v>
      </c>
      <c r="N7">
        <v>21.0947</v>
      </c>
      <c r="O7">
        <f>N7/M7</f>
        <v>0.76611330430329727</v>
      </c>
      <c r="P7">
        <v>411.42510581016501</v>
      </c>
      <c r="Q7">
        <f>O7*P7</f>
        <v>315.19824728555921</v>
      </c>
      <c r="S7">
        <f>Q7/(L7*K7)</f>
        <v>82.771442084607202</v>
      </c>
    </row>
    <row r="8" spans="2:22" x14ac:dyDescent="0.5">
      <c r="K8">
        <f>0.016*K7</f>
        <v>0.161024</v>
      </c>
      <c r="L8">
        <f>L7*(0.487570331354933/434.963639420256)</f>
        <v>4.2414754841163814E-4</v>
      </c>
      <c r="M8">
        <v>0.04</v>
      </c>
      <c r="N8">
        <v>8.8554600000000008</v>
      </c>
      <c r="O8">
        <f>O7*SQRT((N8/N7)^2+(M8/M7)^2)</f>
        <v>0.32161283845152933</v>
      </c>
      <c r="P8">
        <v>4.7425242025575597E-2</v>
      </c>
      <c r="Q8">
        <f>Q7*SQRT((P8/P7)^2+(O8/O7)^2)</f>
        <v>132.31960107810943</v>
      </c>
      <c r="S8">
        <f>S7*(Q8/Q7)</f>
        <v>34.747287751802297</v>
      </c>
    </row>
    <row r="10" spans="2:22" x14ac:dyDescent="0.5">
      <c r="B10" t="s">
        <v>18</v>
      </c>
      <c r="C10">
        <v>1.0620994152046783</v>
      </c>
      <c r="D10" t="s">
        <v>15</v>
      </c>
      <c r="E10" t="s">
        <v>16</v>
      </c>
      <c r="F10">
        <v>200</v>
      </c>
      <c r="G10">
        <v>2.5</v>
      </c>
      <c r="K10">
        <v>10.064</v>
      </c>
      <c r="L10">
        <v>0.37838389550000001</v>
      </c>
      <c r="M10">
        <v>27.534700000000001</v>
      </c>
      <c r="N10">
        <v>19.853100000000001</v>
      </c>
      <c r="O10">
        <f>N10/M10</f>
        <v>0.7210211115428895</v>
      </c>
      <c r="P10">
        <v>411.42510581016501</v>
      </c>
      <c r="Q10">
        <f>P10*O10</f>
        <v>296.64618710789608</v>
      </c>
      <c r="S10">
        <f>Q10/(K10*L10)</f>
        <v>77.899648577600786</v>
      </c>
    </row>
    <row r="11" spans="2:22" x14ac:dyDescent="0.5">
      <c r="K11">
        <f>0.016*K10</f>
        <v>0.161024</v>
      </c>
      <c r="L11">
        <f>L10*(0.487570331354933/434.963639420256)</f>
        <v>4.2414754841163814E-4</v>
      </c>
      <c r="M11">
        <v>0.04</v>
      </c>
      <c r="N11">
        <v>8.8554600000000008</v>
      </c>
      <c r="O11">
        <f>O10*SQRT((N11/N10)^2+(M11/M10)^2)</f>
        <v>0.32161261843888561</v>
      </c>
      <c r="P11">
        <v>4.7425242025575597E-2</v>
      </c>
      <c r="Q11">
        <f>Q10*SQRT((P11/P10)^2+(O11/O10)^2)</f>
        <v>132.31950998946377</v>
      </c>
      <c r="S11">
        <f>S10*(Q11/Q10)</f>
        <v>34.747263831813456</v>
      </c>
    </row>
    <row r="13" spans="2:22" x14ac:dyDescent="0.5">
      <c r="B13" t="s">
        <v>19</v>
      </c>
      <c r="C13">
        <v>1.0600872093023257</v>
      </c>
      <c r="D13" t="s">
        <v>15</v>
      </c>
      <c r="E13" t="s">
        <v>16</v>
      </c>
      <c r="F13">
        <v>200</v>
      </c>
      <c r="G13">
        <v>2.5</v>
      </c>
      <c r="K13">
        <v>10.064</v>
      </c>
      <c r="L13">
        <v>0.37838389550000001</v>
      </c>
      <c r="M13">
        <v>27.534700000000001</v>
      </c>
      <c r="N13">
        <v>15.0441</v>
      </c>
      <c r="O13">
        <f>N13/M13</f>
        <v>0.54636876377806909</v>
      </c>
      <c r="P13">
        <v>411.42510581016501</v>
      </c>
      <c r="Q13">
        <f>P13*O13</f>
        <v>224.78982644876112</v>
      </c>
      <c r="S13">
        <f>Q13/(K13*L13)</f>
        <v>59.030081104023246</v>
      </c>
    </row>
    <row r="14" spans="2:22" x14ac:dyDescent="0.5">
      <c r="K14">
        <f>0.016*K13</f>
        <v>0.161024</v>
      </c>
      <c r="L14">
        <f>L13*(0.487570331354933/434.963639420256)</f>
        <v>4.2414754841163814E-4</v>
      </c>
      <c r="M14">
        <v>0.04</v>
      </c>
      <c r="N14">
        <v>8.8554600000000008</v>
      </c>
      <c r="O14">
        <f>O13*SQRT((N14/N13)^2+(M14/M13)^2)</f>
        <v>0.32161189219688674</v>
      </c>
      <c r="P14">
        <v>4.7425242025575597E-2</v>
      </c>
      <c r="Q14">
        <f>Q13*SQRT((P14/P13)^2+(O14/O13)^2)</f>
        <v>132.31920931401362</v>
      </c>
      <c r="S14">
        <f>S13*(Q14/Q13)</f>
        <v>34.747184874075515</v>
      </c>
    </row>
    <row r="16" spans="2:22" x14ac:dyDescent="0.5">
      <c r="B16" t="s">
        <v>20</v>
      </c>
      <c r="C16">
        <v>1.0621169590643276</v>
      </c>
      <c r="D16" t="s">
        <v>15</v>
      </c>
      <c r="E16" t="s">
        <v>16</v>
      </c>
      <c r="F16">
        <v>200</v>
      </c>
      <c r="G16">
        <v>2.5</v>
      </c>
      <c r="K16">
        <v>10.064</v>
      </c>
      <c r="L16">
        <v>0.37838389550000001</v>
      </c>
      <c r="M16">
        <v>27.534700000000001</v>
      </c>
      <c r="N16">
        <v>18.134599999999999</v>
      </c>
      <c r="O16">
        <f>N16/M16</f>
        <v>0.65860895524556284</v>
      </c>
      <c r="P16">
        <v>411.42510581016501</v>
      </c>
      <c r="Q16">
        <f>P16*O16</f>
        <v>270.96825909942794</v>
      </c>
      <c r="S16">
        <f>Q16/(K16*L16)</f>
        <v>71.156593534277235</v>
      </c>
    </row>
    <row r="17" spans="2:19" x14ac:dyDescent="0.5">
      <c r="K17">
        <f>0.016*K16</f>
        <v>0.161024</v>
      </c>
      <c r="L17">
        <f>L16*(0.487570331354933/434.963639420256)</f>
        <v>4.2414754841163814E-4</v>
      </c>
      <c r="M17">
        <v>0.04</v>
      </c>
      <c r="N17">
        <v>8.8554600000000008</v>
      </c>
      <c r="O17">
        <f>O16*SQRT((N17/N16)^2+(M17/M16)^2)</f>
        <v>0.32161233593252025</v>
      </c>
      <c r="P17">
        <v>4.7425242025575597E-2</v>
      </c>
      <c r="Q17">
        <f>Q16*SQRT((P17/P16)^2+(O17/O16)^2)</f>
        <v>132.31939302744792</v>
      </c>
      <c r="S17">
        <f>S16*(Q17/Q16)</f>
        <v>34.747233117446214</v>
      </c>
    </row>
    <row r="19" spans="2:19" x14ac:dyDescent="0.5">
      <c r="B19" t="s">
        <v>21</v>
      </c>
      <c r="C19">
        <v>1.0959649122807018</v>
      </c>
      <c r="D19" t="s">
        <v>15</v>
      </c>
      <c r="E19" t="s">
        <v>16</v>
      </c>
      <c r="F19">
        <v>200</v>
      </c>
      <c r="G19">
        <v>2.5</v>
      </c>
      <c r="K19">
        <v>10.064</v>
      </c>
      <c r="L19">
        <v>0.37838389550000001</v>
      </c>
      <c r="M19">
        <v>27.534700000000001</v>
      </c>
      <c r="N19">
        <v>13.155200000000001</v>
      </c>
      <c r="O19">
        <f>N19/M19</f>
        <v>0.4777680526753515</v>
      </c>
      <c r="P19">
        <v>411.42510581016501</v>
      </c>
      <c r="Q19">
        <f>P19*O19</f>
        <v>196.56577162467298</v>
      </c>
      <c r="S19">
        <f>Q19/(K19*L19)</f>
        <v>51.618410070369563</v>
      </c>
    </row>
    <row r="20" spans="2:19" x14ac:dyDescent="0.5">
      <c r="K20">
        <f>0.016*K19</f>
        <v>0.161024</v>
      </c>
      <c r="L20">
        <f>L19*(0.487570331354933/434.963639420256)</f>
        <v>4.2414754841163814E-4</v>
      </c>
      <c r="M20">
        <v>0.04</v>
      </c>
      <c r="N20">
        <v>8.8554600000000008</v>
      </c>
      <c r="O20">
        <f>O19*SQRT((N20/N19)^2+(M20/M19)^2)</f>
        <v>0.32161166168998062</v>
      </c>
      <c r="P20">
        <v>4.7425242025575597E-2</v>
      </c>
      <c r="Q20">
        <f>Q19*SQRT((P20/P19)^2+(O20/O19)^2)</f>
        <v>132.31911388057887</v>
      </c>
      <c r="S20">
        <f>S19*(Q20/Q19)</f>
        <v>34.747159813139781</v>
      </c>
    </row>
    <row r="22" spans="2:19" x14ac:dyDescent="0.5">
      <c r="B22" t="s">
        <v>22</v>
      </c>
      <c r="C22">
        <v>1.0805595238095238</v>
      </c>
      <c r="D22" t="s">
        <v>15</v>
      </c>
      <c r="E22" t="s">
        <v>16</v>
      </c>
      <c r="F22">
        <v>200</v>
      </c>
      <c r="G22">
        <v>2.5</v>
      </c>
      <c r="K22">
        <v>10.064</v>
      </c>
      <c r="L22">
        <v>0.37838389550000001</v>
      </c>
      <c r="M22">
        <v>27.534700000000001</v>
      </c>
      <c r="N22">
        <v>21.464300000000001</v>
      </c>
      <c r="O22">
        <f>N22/M22</f>
        <v>0.77953636683893412</v>
      </c>
      <c r="P22">
        <v>411.42510581016501</v>
      </c>
      <c r="Q22">
        <f>P22*O22</f>
        <v>320.72083220958007</v>
      </c>
      <c r="S22">
        <f>Q22/(K22*L22)</f>
        <v>84.221679584759883</v>
      </c>
    </row>
    <row r="23" spans="2:19" x14ac:dyDescent="0.5">
      <c r="K23">
        <f>0.016*K22</f>
        <v>0.161024</v>
      </c>
      <c r="L23">
        <f>L22*(0.487570331354933/434.963639420256)</f>
        <v>4.2414754841163814E-4</v>
      </c>
      <c r="M23">
        <v>0.04</v>
      </c>
      <c r="N23">
        <v>8.8554600000000008</v>
      </c>
      <c r="O23">
        <f>O22*SQRT((N23/N22)^2+(M23/M22)^2)</f>
        <v>0.32161290652196733</v>
      </c>
      <c r="P23">
        <v>4.7425242025575597E-2</v>
      </c>
      <c r="Q23">
        <f>Q22*SQRT((P23/P22)^2+(O23/O22)^2)</f>
        <v>132.31962926032605</v>
      </c>
      <c r="S23">
        <f>S22*(Q23/Q22)</f>
        <v>34.747295152486565</v>
      </c>
    </row>
    <row r="25" spans="2:19" x14ac:dyDescent="0.5">
      <c r="B25" t="s">
        <v>23</v>
      </c>
      <c r="C25">
        <v>1.1024593023255813</v>
      </c>
      <c r="D25" t="s">
        <v>15</v>
      </c>
      <c r="E25" t="s">
        <v>16</v>
      </c>
      <c r="F25">
        <v>200</v>
      </c>
      <c r="G25">
        <v>2.5</v>
      </c>
      <c r="K25">
        <v>10.064</v>
      </c>
      <c r="L25">
        <v>0.37838389550000001</v>
      </c>
      <c r="M25">
        <v>27.534700000000001</v>
      </c>
      <c r="N25">
        <v>21.197199999999999</v>
      </c>
      <c r="O25">
        <f>N25/M25</f>
        <v>0.76983587981710344</v>
      </c>
      <c r="P25">
        <v>411.42510581016501</v>
      </c>
      <c r="Q25">
        <f>P25*O25</f>
        <v>316.72980831021323</v>
      </c>
      <c r="S25">
        <f>Q25/(K25*L25)</f>
        <v>83.173631867522914</v>
      </c>
    </row>
    <row r="26" spans="2:19" x14ac:dyDescent="0.5">
      <c r="K26">
        <f>0.016*K25</f>
        <v>0.161024</v>
      </c>
      <c r="L26">
        <f>L25*(0.487570331354933/434.963639420256)</f>
        <v>4.2414754841163814E-4</v>
      </c>
      <c r="M26">
        <v>0.04</v>
      </c>
      <c r="N26">
        <v>8.8554600000000008</v>
      </c>
      <c r="O26">
        <f>O25*SQRT((N26/N25)^2+(M26/M25)^2)</f>
        <v>0.32161285721081351</v>
      </c>
      <c r="P26">
        <v>4.7425242025575597E-2</v>
      </c>
      <c r="Q26">
        <f>Q25*SQRT((P26/P25)^2+(O26/O25)^2)</f>
        <v>132.31960884474387</v>
      </c>
      <c r="S26">
        <f>S25*(Q26/Q25)</f>
        <v>34.747289791329926</v>
      </c>
    </row>
    <row r="28" spans="2:19" x14ac:dyDescent="0.5">
      <c r="B28" t="s">
        <v>24</v>
      </c>
      <c r="C28">
        <v>1.0588837209302324</v>
      </c>
      <c r="D28" t="s">
        <v>15</v>
      </c>
      <c r="E28" t="s">
        <v>16</v>
      </c>
      <c r="F28">
        <v>200</v>
      </c>
      <c r="G28">
        <v>2.5</v>
      </c>
      <c r="K28">
        <v>10.064</v>
      </c>
      <c r="L28">
        <v>0.37838389550000001</v>
      </c>
      <c r="M28">
        <v>27.534700000000001</v>
      </c>
      <c r="N28">
        <v>23.166599999999999</v>
      </c>
      <c r="O28">
        <f>N28/M28</f>
        <v>0.84136017461602985</v>
      </c>
      <c r="P28">
        <v>411.42510581016501</v>
      </c>
      <c r="Q28">
        <f>P28*O28</f>
        <v>346.15669886585897</v>
      </c>
      <c r="S28">
        <f>Q28/(K28*L28)</f>
        <v>90.901169023368951</v>
      </c>
    </row>
    <row r="29" spans="2:19" x14ac:dyDescent="0.5">
      <c r="K29">
        <f>0.016*K28</f>
        <v>0.161024</v>
      </c>
      <c r="L29">
        <f>L28*(0.487570331354933/434.963639420256)</f>
        <v>4.2414754841163814E-4</v>
      </c>
      <c r="M29">
        <v>0.04</v>
      </c>
      <c r="N29">
        <v>8.8554600000000008</v>
      </c>
      <c r="O29">
        <f>O28*SQRT((N29/N28)^2+(M29/M28)^2)</f>
        <v>0.32161323530291558</v>
      </c>
      <c r="P29">
        <v>4.7425242025575597E-2</v>
      </c>
      <c r="Q29">
        <f>Q28*SQRT((P29/P28)^2+(O29/O28)^2)</f>
        <v>132.31976538073522</v>
      </c>
      <c r="S29">
        <f>S28*(Q29/Q28)</f>
        <v>34.74733089787113</v>
      </c>
    </row>
    <row r="33" spans="2:19" x14ac:dyDescent="0.5">
      <c r="B33" t="s">
        <v>14</v>
      </c>
      <c r="C33">
        <v>1.1365044776119402</v>
      </c>
      <c r="D33" t="s">
        <v>15</v>
      </c>
      <c r="E33" t="s">
        <v>16</v>
      </c>
      <c r="F33">
        <v>80</v>
      </c>
      <c r="G33">
        <v>1</v>
      </c>
      <c r="K33">
        <v>10.064</v>
      </c>
      <c r="L33">
        <v>0.37838400119999999</v>
      </c>
      <c r="M33">
        <v>68.420199999999994</v>
      </c>
      <c r="N33">
        <v>50.072099999999999</v>
      </c>
      <c r="O33">
        <f>N33/M33</f>
        <v>0.73183211975410778</v>
      </c>
      <c r="P33">
        <v>414.53046989440901</v>
      </c>
      <c r="Q33">
        <f>P33*O33</f>
        <v>303.36671248549169</v>
      </c>
      <c r="S33">
        <f>Q33/(K33*L33)</f>
        <v>79.664444440071293</v>
      </c>
    </row>
    <row r="34" spans="2:19" x14ac:dyDescent="0.5">
      <c r="K34">
        <f>0.016*K33</f>
        <v>0.161024</v>
      </c>
      <c r="L34">
        <f>L33*(0.487570331354931/434.963760865692)</f>
        <v>4.2414754847003218E-4</v>
      </c>
      <c r="M34">
        <v>0.103426</v>
      </c>
      <c r="N34">
        <v>22.052600000000002</v>
      </c>
      <c r="O34">
        <f>O33*SQRT((N34/N33)^2+(M34/M33)^2)</f>
        <v>0.32231314574738784</v>
      </c>
      <c r="P34">
        <v>0.476015251287358</v>
      </c>
      <c r="Q34">
        <f>Q33*SQRT((P34/P33)^2+(O34/O33)^2)</f>
        <v>133.60907390995442</v>
      </c>
      <c r="S34">
        <f>S33*(Q34/Q33)</f>
        <v>35.08589508052232</v>
      </c>
    </row>
    <row r="36" spans="2:19" x14ac:dyDescent="0.5">
      <c r="B36" t="s">
        <v>17</v>
      </c>
      <c r="C36">
        <v>1.1589092307692308</v>
      </c>
      <c r="D36" t="s">
        <v>15</v>
      </c>
      <c r="E36" t="s">
        <v>16</v>
      </c>
      <c r="F36">
        <v>80</v>
      </c>
      <c r="G36">
        <v>1</v>
      </c>
      <c r="K36">
        <v>10.064</v>
      </c>
      <c r="L36">
        <v>0.37838400119999999</v>
      </c>
      <c r="M36">
        <v>68.420199999999994</v>
      </c>
      <c r="N36">
        <v>48.477600000000002</v>
      </c>
      <c r="O36">
        <f>N36/M36</f>
        <v>0.70852759857469005</v>
      </c>
      <c r="P36">
        <v>414.53046989440901</v>
      </c>
      <c r="Q36">
        <f>P36*O36</f>
        <v>293.70627837032345</v>
      </c>
      <c r="S36">
        <f>Q36/(K36*L36)</f>
        <v>77.127603431611632</v>
      </c>
    </row>
    <row r="37" spans="2:19" x14ac:dyDescent="0.5">
      <c r="K37">
        <f>0.016*K36</f>
        <v>0.161024</v>
      </c>
      <c r="L37">
        <f>L36*(0.487570331354931/434.963760865692)</f>
        <v>4.2414754847003218E-4</v>
      </c>
      <c r="M37">
        <v>0.103426</v>
      </c>
      <c r="N37">
        <v>22.052600000000002</v>
      </c>
      <c r="O37">
        <f>O36*SQRT((N37/N36)^2+(M37/M36)^2)</f>
        <v>0.32231302676189988</v>
      </c>
      <c r="P37">
        <v>0.476015251287358</v>
      </c>
      <c r="Q37">
        <f>Q36*SQRT((P37/P36)^2+(O37/O36)^2)</f>
        <v>133.60899612358773</v>
      </c>
      <c r="S37">
        <f>S36*(Q37/Q36)</f>
        <v>35.085874653733782</v>
      </c>
    </row>
    <row r="39" spans="2:19" x14ac:dyDescent="0.5">
      <c r="B39" t="s">
        <v>18</v>
      </c>
      <c r="C39">
        <v>1.1528045454545455</v>
      </c>
      <c r="D39" t="s">
        <v>15</v>
      </c>
      <c r="E39" t="s">
        <v>16</v>
      </c>
      <c r="F39">
        <v>80</v>
      </c>
      <c r="G39">
        <v>1</v>
      </c>
      <c r="K39">
        <v>10.064</v>
      </c>
      <c r="L39">
        <v>0.37838400119999999</v>
      </c>
      <c r="M39">
        <v>68.420199999999994</v>
      </c>
      <c r="N39">
        <v>44.999000000000002</v>
      </c>
      <c r="O39">
        <f>N39/M39</f>
        <v>0.6576858880856824</v>
      </c>
      <c r="P39">
        <v>414.53046989440901</v>
      </c>
      <c r="Q39">
        <f>P39*O39</f>
        <v>272.63084023107962</v>
      </c>
      <c r="S39">
        <f>Q39/(K39*L39)</f>
        <v>71.593169356962633</v>
      </c>
    </row>
    <row r="40" spans="2:19" x14ac:dyDescent="0.5">
      <c r="K40">
        <f>0.016*K39</f>
        <v>0.161024</v>
      </c>
      <c r="L40">
        <f>L39*(0.487570331354931/434.963760865692)</f>
        <v>4.2414754847003218E-4</v>
      </c>
      <c r="M40">
        <v>0.103426</v>
      </c>
      <c r="N40">
        <v>22.052600000000002</v>
      </c>
      <c r="O40">
        <f>O39*SQRT((N40/N39)^2+(M40/M39)^2)</f>
        <v>0.32231278054275891</v>
      </c>
      <c r="P40">
        <v>0.476015251287358</v>
      </c>
      <c r="Q40">
        <f>Q39*SQRT((P40/P39)^2+(O40/O39)^2)</f>
        <v>133.60883515859129</v>
      </c>
      <c r="S40">
        <f>S39*(Q40/Q39)</f>
        <v>35.085832384142265</v>
      </c>
    </row>
    <row r="42" spans="2:19" x14ac:dyDescent="0.5">
      <c r="B42" t="s">
        <v>19</v>
      </c>
      <c r="C42">
        <v>1.1447656716417909</v>
      </c>
      <c r="D42" t="s">
        <v>15</v>
      </c>
      <c r="E42" t="s">
        <v>16</v>
      </c>
      <c r="F42">
        <v>80</v>
      </c>
      <c r="G42">
        <v>1</v>
      </c>
      <c r="K42">
        <v>10.064</v>
      </c>
      <c r="L42">
        <v>0.37838400119999999</v>
      </c>
      <c r="M42">
        <v>68.420199999999994</v>
      </c>
      <c r="N42">
        <v>33.374299999999998</v>
      </c>
      <c r="O42">
        <f>N42/M42</f>
        <v>0.48778430931216221</v>
      </c>
      <c r="P42">
        <v>414.53046989440901</v>
      </c>
      <c r="Q42">
        <f>P42*O42</f>
        <v>202.20145894629036</v>
      </c>
      <c r="S42">
        <f>Q42/(K42*L42)</f>
        <v>53.098333564525383</v>
      </c>
    </row>
    <row r="43" spans="2:19" x14ac:dyDescent="0.5">
      <c r="K43">
        <f>0.016*K42</f>
        <v>0.161024</v>
      </c>
      <c r="L43">
        <f>L42*(0.487570331354931/434.963760865692)</f>
        <v>4.2414754847003218E-4</v>
      </c>
      <c r="M43">
        <v>0.103426</v>
      </c>
      <c r="N43">
        <v>22.052600000000002</v>
      </c>
      <c r="O43">
        <f>O42*SQRT((N43/N42)^2+(M43/M42)^2)</f>
        <v>0.3223120906764595</v>
      </c>
      <c r="P43">
        <v>0.476015251287358</v>
      </c>
      <c r="Q43">
        <f>Q42*SQRT((P43/P42)^2+(O43/O42)^2)</f>
        <v>133.60838416026903</v>
      </c>
      <c r="S43">
        <f>S42*(Q43/Q42)</f>
        <v>35.085713951468847</v>
      </c>
    </row>
    <row r="45" spans="2:19" x14ac:dyDescent="0.5">
      <c r="B45" t="s">
        <v>20</v>
      </c>
      <c r="C45">
        <v>1.1522893939393941</v>
      </c>
      <c r="D45" t="s">
        <v>15</v>
      </c>
      <c r="E45" t="s">
        <v>16</v>
      </c>
      <c r="F45">
        <v>80</v>
      </c>
      <c r="G45">
        <v>1</v>
      </c>
      <c r="K45">
        <v>10.064</v>
      </c>
      <c r="L45">
        <v>0.37838400119999999</v>
      </c>
      <c r="M45">
        <v>68.420199999999994</v>
      </c>
      <c r="N45">
        <v>40.5488</v>
      </c>
      <c r="O45">
        <f>N45/M45</f>
        <v>0.59264369294448138</v>
      </c>
      <c r="P45">
        <v>414.53046989440901</v>
      </c>
      <c r="Q45">
        <f>P45*O45</f>
        <v>245.66886851623372</v>
      </c>
      <c r="S45">
        <f>Q45/(K45*L45)</f>
        <v>64.512924856588072</v>
      </c>
    </row>
    <row r="46" spans="2:19" x14ac:dyDescent="0.5">
      <c r="K46">
        <f>0.016*K45</f>
        <v>0.161024</v>
      </c>
      <c r="L46">
        <f>L45*(0.487570331354931/434.963760865692)</f>
        <v>4.2414754847003218E-4</v>
      </c>
      <c r="M46">
        <v>0.103426</v>
      </c>
      <c r="N46">
        <v>22.052600000000002</v>
      </c>
      <c r="O46">
        <f>O45*SQRT((N46/N45)^2+(M46/M45)^2)</f>
        <v>0.32231249227030401</v>
      </c>
      <c r="P46">
        <v>0.476015251287358</v>
      </c>
      <c r="Q46">
        <f>Q45*SQRT((P46/P45)^2+(O46/O45)^2)</f>
        <v>133.60864670128166</v>
      </c>
      <c r="S46">
        <f>S45*(Q46/Q45)</f>
        <v>35.08578289503798</v>
      </c>
    </row>
    <row r="48" spans="2:19" x14ac:dyDescent="0.5">
      <c r="B48" t="s">
        <v>21</v>
      </c>
      <c r="C48">
        <v>1.2420424242424242</v>
      </c>
      <c r="D48" t="s">
        <v>15</v>
      </c>
      <c r="E48" t="s">
        <v>16</v>
      </c>
      <c r="F48">
        <v>80</v>
      </c>
      <c r="G48">
        <v>1</v>
      </c>
      <c r="K48">
        <v>10.064</v>
      </c>
      <c r="L48">
        <v>0.37838400119999999</v>
      </c>
      <c r="M48">
        <v>68.420199999999994</v>
      </c>
      <c r="N48">
        <v>28.109100000000002</v>
      </c>
      <c r="O48">
        <f>N48/M48</f>
        <v>0.41083042727147834</v>
      </c>
      <c r="P48">
        <v>414.53046989440901</v>
      </c>
      <c r="Q48">
        <f>P48*O48</f>
        <v>170.30173006376674</v>
      </c>
      <c r="S48">
        <f>Q48/(K48*L48)</f>
        <v>44.72142840444895</v>
      </c>
    </row>
    <row r="49" spans="2:19" x14ac:dyDescent="0.5">
      <c r="K49">
        <f>0.016*K48</f>
        <v>0.161024</v>
      </c>
      <c r="L49">
        <f>L48*(0.487570331354931/434.963760865692)</f>
        <v>4.2414754847003218E-4</v>
      </c>
      <c r="M49">
        <v>0.103426</v>
      </c>
      <c r="N49">
        <v>22.052600000000002</v>
      </c>
      <c r="O49">
        <f>O48*SQRT((N49/N48)^2+(M49/M48)^2)</f>
        <v>0.32231184555100006</v>
      </c>
      <c r="P49">
        <v>0.476015251287358</v>
      </c>
      <c r="Q49">
        <f>Q48*SQRT((P49/P48)^2+(O49/O48)^2)</f>
        <v>133.60822390999505</v>
      </c>
      <c r="S49">
        <f>S48*(Q49/Q48)</f>
        <v>35.085671869564266</v>
      </c>
    </row>
    <row r="51" spans="2:19" x14ac:dyDescent="0.5">
      <c r="B51" t="s">
        <v>22</v>
      </c>
      <c r="C51">
        <v>1.2028269841269841</v>
      </c>
      <c r="D51" t="s">
        <v>15</v>
      </c>
      <c r="E51" t="s">
        <v>16</v>
      </c>
      <c r="F51">
        <v>80</v>
      </c>
      <c r="G51">
        <v>1</v>
      </c>
      <c r="K51">
        <v>10.064</v>
      </c>
      <c r="L51">
        <v>0.37838400119999999</v>
      </c>
      <c r="M51">
        <v>68.420199999999994</v>
      </c>
      <c r="N51">
        <v>49.650799999999997</v>
      </c>
      <c r="O51">
        <f>N51/M51</f>
        <v>0.72567458148324615</v>
      </c>
      <c r="P51">
        <v>414.53046989440901</v>
      </c>
      <c r="Q51">
        <f>P51*O51</f>
        <v>300.81422525267863</v>
      </c>
      <c r="S51">
        <f>Q51/(K51*L51)</f>
        <v>78.994158383712517</v>
      </c>
    </row>
    <row r="52" spans="2:19" x14ac:dyDescent="0.5">
      <c r="K52">
        <f>0.016*K51</f>
        <v>0.161024</v>
      </c>
      <c r="L52">
        <f>L51*(0.487570331354931/434.963760865692)</f>
        <v>4.2414754847003218E-4</v>
      </c>
      <c r="M52">
        <v>0.103426</v>
      </c>
      <c r="N52">
        <v>22.052600000000002</v>
      </c>
      <c r="O52">
        <f>O51*SQRT((N52/N51)^2+(M52/M51)^2)</f>
        <v>0.32231311393469247</v>
      </c>
      <c r="P52">
        <v>0.476015251287358</v>
      </c>
      <c r="Q52">
        <f>Q51*SQRT((P52/P51)^2+(O52/O51)^2)</f>
        <v>133.60905311251236</v>
      </c>
      <c r="S52">
        <f>S51*(Q52/Q51)</f>
        <v>35.085889619090338</v>
      </c>
    </row>
    <row r="54" spans="2:19" x14ac:dyDescent="0.5">
      <c r="B54" t="s">
        <v>23</v>
      </c>
      <c r="C54">
        <v>1.2525611940298507</v>
      </c>
      <c r="D54" t="s">
        <v>15</v>
      </c>
      <c r="E54" t="s">
        <v>16</v>
      </c>
      <c r="F54">
        <v>80</v>
      </c>
      <c r="G54">
        <v>1</v>
      </c>
      <c r="K54">
        <v>10.064</v>
      </c>
      <c r="L54">
        <v>0.37838400119999999</v>
      </c>
      <c r="M54">
        <v>68.420199999999994</v>
      </c>
      <c r="N54">
        <v>48.641800000000003</v>
      </c>
      <c r="O54">
        <f>N54/M54</f>
        <v>0.71092747463468398</v>
      </c>
      <c r="P54">
        <v>414.53046989440901</v>
      </c>
      <c r="Q54">
        <f>P54*O54</f>
        <v>294.70110012116106</v>
      </c>
      <c r="S54">
        <f>Q54/(K54*L54)</f>
        <v>77.388844757161365</v>
      </c>
    </row>
    <row r="55" spans="2:19" x14ac:dyDescent="0.5">
      <c r="K55">
        <f>0.016*K54</f>
        <v>0.161024</v>
      </c>
      <c r="L55">
        <f>L54*(0.487570331354931/434.963760865692)</f>
        <v>4.2414754847003218E-4</v>
      </c>
      <c r="M55">
        <v>0.103426</v>
      </c>
      <c r="N55">
        <v>22.052600000000002</v>
      </c>
      <c r="O55">
        <f>O54*SQRT((N55/N54)^2+(M55/M54)^2)</f>
        <v>0.32231303883707341</v>
      </c>
      <c r="P55">
        <v>0.476015251287358</v>
      </c>
      <c r="Q55">
        <f>Q54*SQRT((P55/P54)^2+(O55/O54)^2)</f>
        <v>133.609004017693</v>
      </c>
      <c r="S55">
        <f>S54*(Q55/Q54)</f>
        <v>35.085876726734817</v>
      </c>
    </row>
    <row r="57" spans="2:19" x14ac:dyDescent="0.5">
      <c r="B57" t="s">
        <v>24</v>
      </c>
      <c r="C57">
        <v>1.1441895522388061</v>
      </c>
      <c r="D57" t="s">
        <v>15</v>
      </c>
      <c r="E57" t="s">
        <v>16</v>
      </c>
      <c r="F57">
        <v>80</v>
      </c>
      <c r="G57">
        <v>1</v>
      </c>
      <c r="K57">
        <v>10.064</v>
      </c>
      <c r="L57">
        <v>0.37838400119999999</v>
      </c>
      <c r="M57">
        <v>68.420199999999994</v>
      </c>
      <c r="N57">
        <v>53.843699999999998</v>
      </c>
      <c r="O57">
        <f>N57/M57</f>
        <v>0.78695619130023009</v>
      </c>
      <c r="P57">
        <v>414.53046989440901</v>
      </c>
      <c r="Q57">
        <f>P57*O57</f>
        <v>326.21731976599881</v>
      </c>
      <c r="S57">
        <f>Q57/(K57*L57)</f>
        <v>85.665039954343172</v>
      </c>
    </row>
    <row r="58" spans="2:19" x14ac:dyDescent="0.5">
      <c r="K58">
        <f>0.016*K57</f>
        <v>0.161024</v>
      </c>
      <c r="L58">
        <f>L57*(0.487570331354931/434.963760865692)</f>
        <v>4.2414754847003218E-4</v>
      </c>
      <c r="M58">
        <v>0.103426</v>
      </c>
      <c r="N58">
        <v>22.052600000000002</v>
      </c>
      <c r="O58">
        <f>O57*SQRT((N58/N57)^2+(M58/M57)^2)</f>
        <v>0.32231344251814031</v>
      </c>
      <c r="P58">
        <v>0.476015251287358</v>
      </c>
      <c r="Q58">
        <f>Q57*SQRT((P58/P57)^2+(O58/O57)^2)</f>
        <v>133.6092679227738</v>
      </c>
      <c r="S58">
        <f>S57*(Q58/Q57)</f>
        <v>35.085946028509809</v>
      </c>
    </row>
    <row r="62" spans="2:19" x14ac:dyDescent="0.5">
      <c r="B62" t="s">
        <v>14</v>
      </c>
      <c r="C62">
        <f>121.665/97</f>
        <v>1.254278350515464</v>
      </c>
      <c r="D62" t="s">
        <v>26</v>
      </c>
      <c r="E62" t="s">
        <v>16</v>
      </c>
      <c r="F62">
        <v>120</v>
      </c>
      <c r="G62">
        <v>2.5</v>
      </c>
      <c r="K62">
        <v>10.064</v>
      </c>
      <c r="L62">
        <v>0.37837255079999998</v>
      </c>
      <c r="M62">
        <v>27.534700000000001</v>
      </c>
      <c r="N62" s="2">
        <v>21.3186</v>
      </c>
      <c r="O62">
        <f>N62/M62</f>
        <v>0.7742448619378457</v>
      </c>
      <c r="P62">
        <v>411.42510581016501</v>
      </c>
      <c r="Q62">
        <f>P62*O62</f>
        <v>318.54377424575478</v>
      </c>
      <c r="S62">
        <f>Q62/(K62*L62)</f>
        <v>83.652489590231951</v>
      </c>
    </row>
    <row r="63" spans="2:19" x14ac:dyDescent="0.5">
      <c r="K63">
        <f>0.016*K62</f>
        <v>0.161024</v>
      </c>
      <c r="L63">
        <f>L62*(0.487570331354931/434.963760865692)</f>
        <v>4.2413471320460448E-4</v>
      </c>
      <c r="M63">
        <v>4.1697499999999998E-2</v>
      </c>
      <c r="N63" s="2">
        <v>8.8554600000000008</v>
      </c>
      <c r="O63">
        <f>O62*SQRT((N63/N62)^2+(M63/M62)^2)</f>
        <v>0.32161305001793455</v>
      </c>
      <c r="P63">
        <v>0.47425242025575598</v>
      </c>
      <c r="Q63">
        <f>Q62*SQRT((P63/P62)^2+(O63/O62)^2)</f>
        <v>132.32019260575936</v>
      </c>
      <c r="S63">
        <f>S62*(Q63/Q62)</f>
        <v>34.748484916208611</v>
      </c>
    </row>
    <row r="65" spans="2:19" x14ac:dyDescent="0.5">
      <c r="B65" t="s">
        <v>17</v>
      </c>
      <c r="C65">
        <f>120.754/95</f>
        <v>1.2710947368421053</v>
      </c>
      <c r="D65" t="s">
        <v>26</v>
      </c>
      <c r="E65" t="s">
        <v>16</v>
      </c>
      <c r="F65">
        <v>120</v>
      </c>
      <c r="G65">
        <v>2.5</v>
      </c>
      <c r="K65">
        <v>10.064</v>
      </c>
      <c r="L65">
        <v>0.37837255079999998</v>
      </c>
      <c r="M65">
        <v>27.534700000000001</v>
      </c>
      <c r="N65">
        <v>25.754999999999999</v>
      </c>
      <c r="O65">
        <f>N65/M65</f>
        <v>0.93536519373735683</v>
      </c>
      <c r="P65">
        <v>411.42510581016501</v>
      </c>
      <c r="Q65">
        <f>P65*O65</f>
        <v>384.83272380453752</v>
      </c>
      <c r="S65">
        <f>Q65/(K65*L65)</f>
        <v>101.06057008417174</v>
      </c>
    </row>
    <row r="66" spans="2:19" x14ac:dyDescent="0.5">
      <c r="K66">
        <f>0.016*K65</f>
        <v>0.161024</v>
      </c>
      <c r="L66">
        <f>L65*(0.487570331354931/434.963760865692)</f>
        <v>4.2413471320460448E-4</v>
      </c>
      <c r="M66">
        <v>4.1697499999999998E-2</v>
      </c>
      <c r="N66" s="2">
        <v>8.8554600000000008</v>
      </c>
      <c r="O66">
        <f>O65*SQRT((N66/N65)^2+(M66/M65)^2)</f>
        <v>0.32161403208789341</v>
      </c>
      <c r="P66">
        <v>0.47425242025575598</v>
      </c>
      <c r="Q66">
        <f>Q65*SQRT((P66/P65)^2+(O66/O65)^2)</f>
        <v>132.32083075636402</v>
      </c>
      <c r="S66">
        <f>S65*(Q66/Q65)</f>
        <v>34.748652500356002</v>
      </c>
    </row>
    <row r="68" spans="2:19" x14ac:dyDescent="0.5">
      <c r="B68" t="s">
        <v>18</v>
      </c>
      <c r="C68">
        <f>121.613/96</f>
        <v>1.2668020833333333</v>
      </c>
      <c r="D68" t="s">
        <v>26</v>
      </c>
      <c r="E68" t="s">
        <v>16</v>
      </c>
      <c r="F68">
        <v>120</v>
      </c>
      <c r="G68">
        <v>2.5</v>
      </c>
      <c r="K68">
        <v>10.064</v>
      </c>
      <c r="L68">
        <v>0.37837255079999998</v>
      </c>
      <c r="M68">
        <v>27.534700000000001</v>
      </c>
      <c r="N68" s="2">
        <v>21.2545</v>
      </c>
      <c r="O68">
        <f>N68/M68</f>
        <v>0.77191689032384592</v>
      </c>
      <c r="P68">
        <v>411.42510581016501</v>
      </c>
      <c r="Q68">
        <f>P68*O68</f>
        <v>317.58598827814183</v>
      </c>
      <c r="S68">
        <f>Q68/(K68*L68)</f>
        <v>83.400966292138548</v>
      </c>
    </row>
    <row r="69" spans="2:19" x14ac:dyDescent="0.5">
      <c r="K69">
        <f>0.016*K68</f>
        <v>0.161024</v>
      </c>
      <c r="L69">
        <f>L68*(0.487570331354931/434.963760865692)</f>
        <v>4.2413471320460448E-4</v>
      </c>
      <c r="M69">
        <v>4.1697499999999998E-2</v>
      </c>
      <c r="N69" s="2">
        <v>8.8554600000000008</v>
      </c>
      <c r="O69">
        <f>O68*SQRT((N69/N68)^2+(M69/M68)^2)</f>
        <v>0.32161303718493167</v>
      </c>
      <c r="P69">
        <v>0.47425242025575598</v>
      </c>
      <c r="Q69">
        <f>Q68*SQRT((P69/P68)^2+(O69/O68)^2)</f>
        <v>132.32018426684641</v>
      </c>
      <c r="S69">
        <f>S68*(Q69/Q68)</f>
        <v>34.748482726334302</v>
      </c>
    </row>
    <row r="71" spans="2:19" x14ac:dyDescent="0.5">
      <c r="B71" t="s">
        <v>19</v>
      </c>
      <c r="C71">
        <f>122.101/97</f>
        <v>1.2587731958762887</v>
      </c>
      <c r="D71" t="s">
        <v>26</v>
      </c>
      <c r="E71" t="s">
        <v>16</v>
      </c>
      <c r="F71">
        <v>120</v>
      </c>
      <c r="G71">
        <v>2.5</v>
      </c>
      <c r="K71">
        <v>10.064</v>
      </c>
      <c r="L71">
        <v>0.37837255079999998</v>
      </c>
      <c r="M71">
        <v>27.534700000000001</v>
      </c>
      <c r="N71" s="2">
        <v>21.5945</v>
      </c>
      <c r="O71">
        <f>N71/M71</f>
        <v>0.78426494568671523</v>
      </c>
      <c r="P71">
        <v>411.42510581016501</v>
      </c>
      <c r="Q71">
        <f>P71*O71</f>
        <v>322.66628826236013</v>
      </c>
      <c r="S71">
        <f>Q71/(K71*L71)</f>
        <v>84.735099230543454</v>
      </c>
    </row>
    <row r="72" spans="2:19" x14ac:dyDescent="0.5">
      <c r="K72">
        <f>0.016*K71</f>
        <v>0.161024</v>
      </c>
      <c r="L72">
        <f>L71*(0.487570331354931/434.963760865692)</f>
        <v>4.2413471320460448E-4</v>
      </c>
      <c r="M72">
        <v>4.1697499999999998E-2</v>
      </c>
      <c r="N72" s="2">
        <v>8.8554600000000008</v>
      </c>
      <c r="O72">
        <f>O71*SQRT((N72/N71)^2+(M72/M71)^2)</f>
        <v>0.32161310569502499</v>
      </c>
      <c r="P72">
        <v>0.47425242025575598</v>
      </c>
      <c r="Q72">
        <f>Q71*SQRT((P72/P71)^2+(O72/O71)^2)</f>
        <v>132.32022878485051</v>
      </c>
      <c r="S72">
        <f>S71*(Q72/Q71)</f>
        <v>34.748494417166697</v>
      </c>
    </row>
    <row r="74" spans="2:19" x14ac:dyDescent="0.5">
      <c r="B74" t="s">
        <v>20</v>
      </c>
      <c r="C74">
        <f>121.481/96</f>
        <v>1.2654270833333332</v>
      </c>
      <c r="D74" t="s">
        <v>26</v>
      </c>
      <c r="E74" t="s">
        <v>16</v>
      </c>
      <c r="F74">
        <v>120</v>
      </c>
      <c r="G74">
        <v>2.5</v>
      </c>
      <c r="K74">
        <v>10.064</v>
      </c>
      <c r="L74">
        <v>0.37837255079999998</v>
      </c>
      <c r="M74">
        <v>27.534700000000001</v>
      </c>
      <c r="N74" s="2">
        <v>21.540900000000001</v>
      </c>
      <c r="O74">
        <f>N74/M74</f>
        <v>0.7823183110765688</v>
      </c>
      <c r="P74">
        <v>411.42510581016501</v>
      </c>
      <c r="Q74">
        <f>P74*O74</f>
        <v>321.86539391190689</v>
      </c>
      <c r="S74">
        <f>Q74/(K74*L74)</f>
        <v>84.524777096724321</v>
      </c>
    </row>
    <row r="75" spans="2:19" x14ac:dyDescent="0.5">
      <c r="K75">
        <f>0.016*K74</f>
        <v>0.161024</v>
      </c>
      <c r="L75">
        <f>L74*(0.487570331354931/434.963760865692)</f>
        <v>4.2413471320460448E-4</v>
      </c>
      <c r="M75">
        <v>4.1697499999999998E-2</v>
      </c>
      <c r="N75" s="2">
        <v>8.8554600000000008</v>
      </c>
      <c r="O75">
        <f>O74*SQRT((N75/N74)^2+(M75/M74)^2)</f>
        <v>0.32161309482242195</v>
      </c>
      <c r="P75">
        <v>0.47425242025575598</v>
      </c>
      <c r="Q75">
        <f>Q74*SQRT((P75/P74)^2+(O75/O74)^2)</f>
        <v>132.32022171981035</v>
      </c>
      <c r="S75">
        <f>S74*(Q75/Q74)</f>
        <v>34.74849256182295</v>
      </c>
    </row>
    <row r="77" spans="2:19" x14ac:dyDescent="0.5">
      <c r="B77" t="s">
        <v>21</v>
      </c>
      <c r="C77">
        <f>120.961/96</f>
        <v>1.2600104166666666</v>
      </c>
      <c r="D77" t="s">
        <v>26</v>
      </c>
      <c r="E77" t="s">
        <v>16</v>
      </c>
      <c r="F77">
        <v>120</v>
      </c>
      <c r="G77">
        <v>2.5</v>
      </c>
      <c r="K77">
        <v>10.064</v>
      </c>
      <c r="L77">
        <v>0.37837255079999998</v>
      </c>
      <c r="M77">
        <v>27.534700000000001</v>
      </c>
      <c r="N77" s="2">
        <v>24.186800000000002</v>
      </c>
      <c r="O77">
        <f>N77/M77</f>
        <v>0.87841160426661635</v>
      </c>
      <c r="P77">
        <v>411.42510581016501</v>
      </c>
      <c r="Q77">
        <f>P77*O77</f>
        <v>361.40058723026942</v>
      </c>
      <c r="S77">
        <f>Q77/(K77*L77)</f>
        <v>94.90707810179947</v>
      </c>
    </row>
    <row r="78" spans="2:19" x14ac:dyDescent="0.5">
      <c r="K78">
        <f>0.016*K77</f>
        <v>0.161024</v>
      </c>
      <c r="L78">
        <f>L77*(0.487570331354931/434.963760865692)</f>
        <v>4.2413471320460448E-4</v>
      </c>
      <c r="M78">
        <v>4.1697499999999998E-2</v>
      </c>
      <c r="N78" s="2">
        <v>8.8554600000000008</v>
      </c>
      <c r="O78">
        <f>O77*SQRT((N78/N77)^2+(M78/M77)^2)</f>
        <v>0.32161366378973844</v>
      </c>
      <c r="P78">
        <v>0.47425242025575598</v>
      </c>
      <c r="Q78">
        <f>Q77*SQRT((P78/P77)^2+(O78/O77)^2)</f>
        <v>132.32059143577567</v>
      </c>
      <c r="S78">
        <f>S77*(Q78/Q77)</f>
        <v>34.748589652594895</v>
      </c>
    </row>
    <row r="80" spans="2:19" x14ac:dyDescent="0.5">
      <c r="B80" t="s">
        <v>22</v>
      </c>
      <c r="C80">
        <f>120.754/94</f>
        <v>1.2846170212765957</v>
      </c>
      <c r="D80" t="s">
        <v>26</v>
      </c>
      <c r="E80" t="s">
        <v>16</v>
      </c>
      <c r="F80">
        <v>120</v>
      </c>
      <c r="G80">
        <v>2.5</v>
      </c>
      <c r="K80">
        <v>10.064</v>
      </c>
      <c r="L80">
        <v>0.37837255079999998</v>
      </c>
      <c r="M80">
        <v>27.534700000000001</v>
      </c>
      <c r="N80" s="2">
        <v>25.7547</v>
      </c>
      <c r="O80">
        <f>N80/M80</f>
        <v>0.93535429839438955</v>
      </c>
      <c r="P80">
        <v>411.42510581016501</v>
      </c>
      <c r="Q80">
        <f>P80*O80</f>
        <v>384.82824118690439</v>
      </c>
      <c r="S80">
        <f>Q80/(K80*L80)</f>
        <v>101.05939290804962</v>
      </c>
    </row>
    <row r="81" spans="2:19" x14ac:dyDescent="0.5">
      <c r="K81">
        <f>0.016*K80</f>
        <v>0.161024</v>
      </c>
      <c r="L81">
        <f>L80*(0.487570331354931/434.963760865692)</f>
        <v>4.2413471320460448E-4</v>
      </c>
      <c r="M81">
        <v>4.1697499999999998E-2</v>
      </c>
      <c r="N81" s="2">
        <v>8.8554600000000008</v>
      </c>
      <c r="O81">
        <f>O80*SQRT((N81/N80)^2+(M81/M80)^2)</f>
        <v>0.32161403201522532</v>
      </c>
      <c r="P81">
        <v>0.47425242025575598</v>
      </c>
      <c r="Q81">
        <f>Q80*SQRT((P81/P80)^2+(O81/O80)^2)</f>
        <v>132.32083070914422</v>
      </c>
      <c r="S81">
        <f>S80*(Q81/Q80)</f>
        <v>34.748652487955653</v>
      </c>
    </row>
    <row r="83" spans="2:19" x14ac:dyDescent="0.5">
      <c r="B83" t="s">
        <v>23</v>
      </c>
      <c r="C83">
        <f>121.809/97</f>
        <v>1.2557628865979382</v>
      </c>
      <c r="D83" t="s">
        <v>26</v>
      </c>
      <c r="E83" t="s">
        <v>16</v>
      </c>
      <c r="F83">
        <v>120</v>
      </c>
      <c r="G83">
        <v>2.5</v>
      </c>
      <c r="K83">
        <v>10.064</v>
      </c>
      <c r="L83">
        <v>0.37837255079999998</v>
      </c>
      <c r="M83">
        <v>27.534700000000001</v>
      </c>
      <c r="N83" s="2">
        <v>24.713899999999999</v>
      </c>
      <c r="O83">
        <f>N83/M83</f>
        <v>0.89755472186005292</v>
      </c>
      <c r="P83">
        <v>411.42510581016501</v>
      </c>
      <c r="Q83">
        <f>P83*O83</f>
        <v>369.2765464116855</v>
      </c>
      <c r="S83">
        <f>Q83/(K83*L83)</f>
        <v>96.975376548367777</v>
      </c>
    </row>
    <row r="84" spans="2:19" x14ac:dyDescent="0.5">
      <c r="K84">
        <f>0.016*K83</f>
        <v>0.161024</v>
      </c>
      <c r="L84">
        <f>L83*(0.487570331354931/434.963760865692)</f>
        <v>4.2413471320460448E-4</v>
      </c>
      <c r="M84">
        <v>4.1697499999999998E-2</v>
      </c>
      <c r="N84" s="2">
        <v>8.8554600000000008</v>
      </c>
      <c r="O84">
        <f>O83*SQRT((N84/N83)^2+(M84/M83)^2)</f>
        <v>0.32161378500077403</v>
      </c>
      <c r="P84">
        <v>0.47425242025575598</v>
      </c>
      <c r="Q84">
        <f>Q83*SQRT((P84/P83)^2+(O84/O83)^2)</f>
        <v>132.32067019887131</v>
      </c>
      <c r="S84">
        <f>S83*(Q84/Q83)</f>
        <v>34.748610336499503</v>
      </c>
    </row>
    <row r="86" spans="2:19" x14ac:dyDescent="0.5">
      <c r="B86" t="s">
        <v>24</v>
      </c>
      <c r="C86">
        <f>121.667/97</f>
        <v>1.2542989690721649</v>
      </c>
      <c r="D86" t="s">
        <v>26</v>
      </c>
      <c r="E86" t="s">
        <v>16</v>
      </c>
      <c r="F86">
        <v>120</v>
      </c>
      <c r="G86">
        <v>2.5</v>
      </c>
      <c r="K86">
        <v>10.064</v>
      </c>
      <c r="L86">
        <v>0.37837255079999998</v>
      </c>
      <c r="M86">
        <v>27.534700000000001</v>
      </c>
      <c r="N86" s="2">
        <v>20.962499999999999</v>
      </c>
      <c r="O86">
        <f>N86/M86</f>
        <v>0.76131208983573451</v>
      </c>
      <c r="P86">
        <v>411.42510581016501</v>
      </c>
      <c r="Q86">
        <f>P86*O86</f>
        <v>313.22290711522493</v>
      </c>
      <c r="S86">
        <f>Q86/(K86*L86)</f>
        <v>82.255181533273159</v>
      </c>
    </row>
    <row r="87" spans="2:19" x14ac:dyDescent="0.5">
      <c r="K87">
        <f>0.016*K86</f>
        <v>0.161024</v>
      </c>
      <c r="L87">
        <f>L86*(0.487570331354931/434.963760865692)</f>
        <v>4.2413471320460448E-4</v>
      </c>
      <c r="M87">
        <v>4.1697499999999998E-2</v>
      </c>
      <c r="N87" s="2">
        <v>8.8554600000000008</v>
      </c>
      <c r="O87">
        <f>O86*SQRT((N87/N86)^2+(M87/M86)^2)</f>
        <v>0.32161297921467058</v>
      </c>
      <c r="P87">
        <v>0.47425242025575598</v>
      </c>
      <c r="Q87">
        <f>Q86*SQRT((P87/P86)^2+(O87/O86)^2)</f>
        <v>132.32014659764337</v>
      </c>
      <c r="S87">
        <f>S86*(Q87/Q86)</f>
        <v>34.748472834059299</v>
      </c>
    </row>
    <row r="90" spans="2:19" x14ac:dyDescent="0.5">
      <c r="H90" s="1" t="s">
        <v>30</v>
      </c>
    </row>
    <row r="91" spans="2:19" x14ac:dyDescent="0.5">
      <c r="B91" t="s">
        <v>28</v>
      </c>
      <c r="C91">
        <f>170.151/172</f>
        <v>0.98925000000000007</v>
      </c>
      <c r="D91" t="s">
        <v>15</v>
      </c>
      <c r="E91" t="s">
        <v>16</v>
      </c>
      <c r="F91">
        <v>200</v>
      </c>
      <c r="G91">
        <v>2.5</v>
      </c>
      <c r="H91">
        <v>1</v>
      </c>
      <c r="K91">
        <v>10.064</v>
      </c>
      <c r="L91">
        <f>275.290824435398/1149.53</f>
        <v>0.23948120052142877</v>
      </c>
      <c r="M91" s="2">
        <v>17.943899999999999</v>
      </c>
      <c r="N91" s="2">
        <v>19.042200000000001</v>
      </c>
      <c r="O91">
        <f>N91/M91</f>
        <v>1.0612074298229484</v>
      </c>
      <c r="P91">
        <v>262.562951922416</v>
      </c>
      <c r="Q91">
        <f>P91*O91</f>
        <v>278.63375537631345</v>
      </c>
      <c r="S91">
        <f>Q91/(K91*L91)</f>
        <v>115.60900772170697</v>
      </c>
    </row>
    <row r="92" spans="2:19" x14ac:dyDescent="0.5">
      <c r="K92">
        <f>0.016*K91</f>
        <v>0.161024</v>
      </c>
      <c r="L92">
        <f>L91*(0.487570331354931/434.963760865692)</f>
        <v>2.6844518738553951E-4</v>
      </c>
      <c r="M92" s="2">
        <v>3.3966299999999998E-2</v>
      </c>
      <c r="N92" s="2">
        <v>6.6642400000000004</v>
      </c>
      <c r="O92">
        <f>O91*SQRT((N92/N91)^2+(M92/M91)^2)</f>
        <v>0.37139849639650752</v>
      </c>
      <c r="P92">
        <v>0.38003872529951399</v>
      </c>
      <c r="Q92">
        <f>Q91*SQRT((P92/P91)^2+(O92/O91)^2)</f>
        <v>97.516319524183473</v>
      </c>
      <c r="S92">
        <f>S91*(Q92/Q91)</f>
        <v>40.460872810036243</v>
      </c>
    </row>
    <row r="94" spans="2:19" x14ac:dyDescent="0.5">
      <c r="B94" t="s">
        <v>28</v>
      </c>
      <c r="C94">
        <f>166.711/172</f>
        <v>0.96925000000000006</v>
      </c>
      <c r="D94" t="s">
        <v>15</v>
      </c>
      <c r="E94" t="s">
        <v>16</v>
      </c>
      <c r="F94">
        <v>200</v>
      </c>
      <c r="G94">
        <v>2.5</v>
      </c>
      <c r="H94">
        <v>1.5</v>
      </c>
      <c r="K94">
        <v>10.064</v>
      </c>
      <c r="L94">
        <f>333.55619985089/1149.53</f>
        <v>0.29016745961470342</v>
      </c>
      <c r="M94" s="2">
        <v>21.555299999999999</v>
      </c>
      <c r="N94" s="2">
        <v>18.377199999999998</v>
      </c>
      <c r="O94">
        <f>N94/M94</f>
        <v>0.85256062314140835</v>
      </c>
      <c r="P94">
        <v>317.44659686088499</v>
      </c>
      <c r="Q94">
        <f>P94*O94</f>
        <v>270.64246843383557</v>
      </c>
      <c r="S94">
        <f>Q94/(K94*L94)</f>
        <v>92.677990844434163</v>
      </c>
    </row>
    <row r="95" spans="2:19" x14ac:dyDescent="0.5">
      <c r="K95">
        <f>0.016*K94</f>
        <v>0.161024</v>
      </c>
      <c r="L95">
        <f>L94*(0.487570331354931/434.963760865692)</f>
        <v>3.2526168191847305E-4</v>
      </c>
      <c r="M95" s="2">
        <v>3.7145699999999997E-2</v>
      </c>
      <c r="N95" s="2">
        <v>7.3719099999999997</v>
      </c>
      <c r="O95">
        <f>O94*SQRT((N95/N94)^2+(M95/M94)^2)</f>
        <v>0.34200303512236824</v>
      </c>
      <c r="P95">
        <v>0.417701920082856</v>
      </c>
      <c r="Q95">
        <f>Q94*SQRT((P95/P94)^2+(O95/O94)^2)</f>
        <v>108.56828366791612</v>
      </c>
      <c r="S95">
        <f>S94*(Q95/Q94)</f>
        <v>37.177795702195603</v>
      </c>
    </row>
    <row r="97" spans="2:19" x14ac:dyDescent="0.5">
      <c r="B97" t="s">
        <v>28</v>
      </c>
      <c r="C97">
        <f>173.474/172</f>
        <v>1.0085697674418603</v>
      </c>
      <c r="D97" t="s">
        <v>15</v>
      </c>
      <c r="E97" t="s">
        <v>16</v>
      </c>
      <c r="F97">
        <v>200</v>
      </c>
      <c r="G97">
        <v>2.5</v>
      </c>
      <c r="H97">
        <v>2</v>
      </c>
      <c r="K97">
        <v>10.064</v>
      </c>
      <c r="L97">
        <f>372.245214650142/1149.53</f>
        <v>0.32382383639412804</v>
      </c>
      <c r="M97" s="2">
        <v>23.9102</v>
      </c>
      <c r="N97" s="2">
        <v>16.472100000000001</v>
      </c>
      <c r="O97">
        <f>N97/M97</f>
        <v>0.68891519100634879</v>
      </c>
      <c r="P97">
        <v>353.62598872184702</v>
      </c>
      <c r="Q97">
        <f>P97*O97</f>
        <v>243.61831556512018</v>
      </c>
      <c r="S97">
        <f>Q97/(K97*L97)</f>
        <v>74.753321494261456</v>
      </c>
    </row>
    <row r="98" spans="2:19" x14ac:dyDescent="0.5">
      <c r="K98">
        <f>0.016*K97</f>
        <v>0.161024</v>
      </c>
      <c r="L98">
        <f>L97*(0.487570331354931/434.963760865692)</f>
        <v>3.629886197808149E-4</v>
      </c>
      <c r="M98" s="2">
        <v>3.9059400000000001E-2</v>
      </c>
      <c r="N98" s="2">
        <v>7.8381600000000002</v>
      </c>
      <c r="O98">
        <f>O97*SQRT((N98/N97)^2+(M98/M97)^2)</f>
        <v>0.32781851213547286</v>
      </c>
      <c r="P98">
        <v>0.44056222341356899</v>
      </c>
      <c r="Q98">
        <f>Q97*SQRT((P98/P97)^2+(O98/O97)^2)</f>
        <v>115.92554279268523</v>
      </c>
      <c r="S98">
        <f>S97*(Q98/Q97)</f>
        <v>35.57129663948421</v>
      </c>
    </row>
    <row r="100" spans="2:19" x14ac:dyDescent="0.5">
      <c r="B100" t="s">
        <v>28</v>
      </c>
      <c r="C100">
        <f>172.375/172</f>
        <v>1.0021802325581395</v>
      </c>
      <c r="D100" t="s">
        <v>15</v>
      </c>
      <c r="E100" t="s">
        <v>16</v>
      </c>
      <c r="F100">
        <v>200</v>
      </c>
      <c r="G100">
        <v>2.5</v>
      </c>
      <c r="H100">
        <v>2.5</v>
      </c>
      <c r="K100">
        <v>10.064</v>
      </c>
      <c r="L100">
        <f>396.88081083351/1149.53</f>
        <v>0.34525485270807199</v>
      </c>
      <c r="M100" s="2">
        <v>25.369</v>
      </c>
      <c r="N100" s="2">
        <v>17.178100000000001</v>
      </c>
      <c r="O100">
        <f>N100/M100</f>
        <v>0.67712956758248255</v>
      </c>
      <c r="P100">
        <v>376.541725635528</v>
      </c>
      <c r="Q100">
        <f>P100*O100</f>
        <v>254.96753585634684</v>
      </c>
      <c r="S100">
        <f>Q100/(K100*L100)</f>
        <v>73.379452510747072</v>
      </c>
    </row>
    <row r="101" spans="2:19" x14ac:dyDescent="0.5">
      <c r="K101">
        <f>0.016*K100</f>
        <v>0.161024</v>
      </c>
      <c r="L101">
        <f>L100*(0.487570331354931/434.963760865692)</f>
        <v>3.8701160437306249E-4</v>
      </c>
      <c r="M101" s="2">
        <v>4.0142499999999998E-2</v>
      </c>
      <c r="N101" s="2">
        <v>8.1479599999999994</v>
      </c>
      <c r="O101">
        <f>O100*SQRT((N101/N100)^2+(M101/M100)^2)</f>
        <v>0.32117960262672873</v>
      </c>
      <c r="P101">
        <v>0.45433447213187</v>
      </c>
      <c r="Q101">
        <f>Q100*SQRT((P101/P100)^2+(O101/O100)^2)</f>
        <v>120.93791310598698</v>
      </c>
      <c r="S101">
        <f>S100*(Q101/Q100)</f>
        <v>34.805834482824494</v>
      </c>
    </row>
    <row r="103" spans="2:19" x14ac:dyDescent="0.5">
      <c r="B103" t="s">
        <v>28</v>
      </c>
      <c r="C103">
        <f>176.208/172</f>
        <v>1.0244651162790697</v>
      </c>
      <c r="D103" t="s">
        <v>15</v>
      </c>
      <c r="E103" t="s">
        <v>16</v>
      </c>
      <c r="F103">
        <v>200</v>
      </c>
      <c r="G103">
        <v>2.5</v>
      </c>
      <c r="H103">
        <v>3</v>
      </c>
      <c r="K103">
        <v>10.064</v>
      </c>
      <c r="L103">
        <f>412.476635642841/1149.53</f>
        <v>0.35882198432649953</v>
      </c>
      <c r="M103" s="2">
        <v>26.282499999999999</v>
      </c>
      <c r="N103" s="2">
        <v>16.705100000000002</v>
      </c>
      <c r="O103">
        <f>N103/M103</f>
        <v>0.63559783125653957</v>
      </c>
      <c r="P103">
        <v>390.95185017585698</v>
      </c>
      <c r="Q103">
        <f>P103*O103</f>
        <v>248.48814809750627</v>
      </c>
      <c r="S103">
        <f>Q103/(K103*L103)</f>
        <v>68.810705052599943</v>
      </c>
    </row>
    <row r="104" spans="2:19" x14ac:dyDescent="0.5">
      <c r="K104">
        <f>0.016*K103</f>
        <v>0.161024</v>
      </c>
      <c r="L104">
        <f>L103*(0.487570331354931/434.963760865692)</f>
        <v>4.0221960893318317E-4</v>
      </c>
      <c r="M104" s="2">
        <v>4.08233E-2</v>
      </c>
      <c r="N104" s="2">
        <v>8.3760200000000005</v>
      </c>
      <c r="O104">
        <f>O103*SQRT((N104/N103)^2+(M104/M103)^2)</f>
        <v>0.31869343439439768</v>
      </c>
      <c r="P104">
        <v>0.46272518858294098</v>
      </c>
      <c r="Q104">
        <f>Q103*SQRT((P104/P103)^2+(O104/O103)^2)</f>
        <v>124.5941349389595</v>
      </c>
      <c r="S104">
        <f>S103*(Q104/Q103)</f>
        <v>34.502290496383715</v>
      </c>
    </row>
    <row r="106" spans="2:19" x14ac:dyDescent="0.5">
      <c r="B106" t="s">
        <v>28</v>
      </c>
      <c r="C106">
        <f>178.921/172</f>
        <v>1.0402383720930233</v>
      </c>
      <c r="D106" t="s">
        <v>15</v>
      </c>
      <c r="E106" t="s">
        <v>16</v>
      </c>
      <c r="F106">
        <v>200</v>
      </c>
      <c r="G106">
        <v>2.5</v>
      </c>
      <c r="H106">
        <v>3.5</v>
      </c>
      <c r="K106">
        <v>10.064</v>
      </c>
      <c r="L106">
        <f>422.277336015065/1149.53</f>
        <v>0.36734781694698265</v>
      </c>
      <c r="M106" s="2">
        <v>26.837900000000001</v>
      </c>
      <c r="N106" s="2">
        <v>17.8934</v>
      </c>
      <c r="O106">
        <f>N106/M106</f>
        <v>0.66672131575123239</v>
      </c>
      <c r="P106">
        <v>399.92635607719399</v>
      </c>
      <c r="Q106">
        <f>P106*O106</f>
        <v>266.63942632738264</v>
      </c>
      <c r="S106">
        <f>Q106/(K106*L106)</f>
        <v>72.123413798482929</v>
      </c>
    </row>
    <row r="107" spans="2:19" x14ac:dyDescent="0.5">
      <c r="K107">
        <f>0.016*K106</f>
        <v>0.161024</v>
      </c>
      <c r="L107">
        <f>L106*(0.487570331354931/434.963760865692)</f>
        <v>4.1177659599705307E-4</v>
      </c>
      <c r="M107" s="2">
        <v>4.1216099999999999E-2</v>
      </c>
      <c r="N107" s="2">
        <v>8.5389599999999994</v>
      </c>
      <c r="O107">
        <f>O106*SQRT((N107/N106)^2+(M107/M106)^2)</f>
        <v>0.31816961150851969</v>
      </c>
      <c r="P107">
        <v>0.46783460124036702</v>
      </c>
      <c r="Q107">
        <f>Q106*SQRT((P107/P106)^2+(O107/O106)^2)</f>
        <v>127.24479564482498</v>
      </c>
      <c r="S107">
        <f>S106*(Q107/Q106)</f>
        <v>34.41849983103058</v>
      </c>
    </row>
    <row r="109" spans="2:19" x14ac:dyDescent="0.5">
      <c r="B109" t="s">
        <v>28</v>
      </c>
      <c r="C109">
        <f>186.37/172</f>
        <v>1.083546511627907</v>
      </c>
      <c r="D109" t="s">
        <v>15</v>
      </c>
      <c r="E109" t="s">
        <v>16</v>
      </c>
      <c r="F109">
        <v>200</v>
      </c>
      <c r="G109">
        <v>2.5</v>
      </c>
      <c r="H109">
        <v>4</v>
      </c>
      <c r="K109">
        <v>10.064</v>
      </c>
      <c r="L109">
        <f>428.429379170141/1149.53</f>
        <v>0.37269960694383009</v>
      </c>
      <c r="M109" s="2">
        <v>27.180700000000002</v>
      </c>
      <c r="N109" s="2">
        <v>21.436499999999999</v>
      </c>
      <c r="O109">
        <f>N109/M109</f>
        <v>0.78866622272421227</v>
      </c>
      <c r="P109">
        <v>405.53284502029402</v>
      </c>
      <c r="Q109">
        <f>P109*O109</f>
        <v>319.83005707275868</v>
      </c>
      <c r="S109">
        <f>Q109/(K109*L109)</f>
        <v>85.26871392332032</v>
      </c>
    </row>
    <row r="110" spans="2:19" x14ac:dyDescent="0.5">
      <c r="K110">
        <f>0.016*K109</f>
        <v>0.161024</v>
      </c>
      <c r="L110">
        <f>L109*(0.487570331354931/434.963760865692)</f>
        <v>4.1777565673928958E-4</v>
      </c>
      <c r="M110" s="2">
        <v>4.1450399999999998E-2</v>
      </c>
      <c r="N110" s="2">
        <v>8.6755200000000006</v>
      </c>
      <c r="O110">
        <f>O109*SQRT((N110/N109)^2+(M110/M109)^2)</f>
        <v>0.31918168372951972</v>
      </c>
      <c r="P110">
        <v>0.47099186449744701</v>
      </c>
      <c r="Q110">
        <f>Q109*SQRT((P110/P109)^2+(O110/O109)^2)</f>
        <v>129.43918927039829</v>
      </c>
      <c r="S110">
        <f>S109*(Q110/Q109)</f>
        <v>34.509305664955853</v>
      </c>
    </row>
    <row r="112" spans="2:19" x14ac:dyDescent="0.5">
      <c r="B112" t="s">
        <v>28</v>
      </c>
      <c r="C112">
        <f>184.272/172</f>
        <v>1.0713488372093023</v>
      </c>
      <c r="D112" t="s">
        <v>15</v>
      </c>
      <c r="E112" t="s">
        <v>16</v>
      </c>
      <c r="F112">
        <v>200</v>
      </c>
      <c r="G112">
        <v>2.5</v>
      </c>
      <c r="H112">
        <v>4.5</v>
      </c>
      <c r="K112">
        <v>10.064</v>
      </c>
      <c r="L112">
        <f>432.397948205307/1149.53</f>
        <v>0.37615194749620018</v>
      </c>
      <c r="M112" s="2">
        <v>27.396599999999999</v>
      </c>
      <c r="N112" s="2">
        <v>20.828800000000001</v>
      </c>
      <c r="O112">
        <f>N112/M112</f>
        <v>0.76026952249549218</v>
      </c>
      <c r="P112">
        <v>409.12146639823902</v>
      </c>
      <c r="Q112">
        <f>P112*O112</f>
        <v>311.04258190124472</v>
      </c>
      <c r="S112">
        <f>Q112/(K112*L112)</f>
        <v>82.164819488255148</v>
      </c>
    </row>
    <row r="113" spans="2:19" x14ac:dyDescent="0.5">
      <c r="K113">
        <f>0.016*K112</f>
        <v>0.161024</v>
      </c>
      <c r="L113">
        <f>L112*(0.487570331354931/434.963760865692)</f>
        <v>4.2164553965486632E-4</v>
      </c>
      <c r="M113" s="2">
        <v>4.1599799999999999E-2</v>
      </c>
      <c r="N113" s="2">
        <v>8.7721400000000003</v>
      </c>
      <c r="O113">
        <f>O112*SQRT((N113/N112)^2+(M113/M112)^2)</f>
        <v>0.32019290765611941</v>
      </c>
      <c r="P113">
        <v>0.47298564040614699</v>
      </c>
      <c r="Q113">
        <f>Q112*SQRT((P113/P112)^2+(O113/O112)^2)</f>
        <v>130.99828546641581</v>
      </c>
      <c r="S113">
        <f>S112*(Q113/Q112)</f>
        <v>34.604427512231567</v>
      </c>
    </row>
    <row r="115" spans="2:19" x14ac:dyDescent="0.5">
      <c r="B115" t="s">
        <v>28</v>
      </c>
      <c r="C115">
        <f>181.647/172</f>
        <v>1.0560872093023255</v>
      </c>
      <c r="D115" t="s">
        <v>15</v>
      </c>
      <c r="E115" t="s">
        <v>16</v>
      </c>
      <c r="F115">
        <v>200</v>
      </c>
      <c r="G115">
        <v>2.5</v>
      </c>
      <c r="H115">
        <v>5</v>
      </c>
      <c r="K115">
        <v>10.064</v>
      </c>
      <c r="L115">
        <f>434.963639420256/1149.53</f>
        <v>0.3783838955227406</v>
      </c>
      <c r="M115" s="2">
        <v>27.534700000000001</v>
      </c>
      <c r="N115" s="2">
        <v>21.657399999999999</v>
      </c>
      <c r="O115">
        <f>N115/M115</f>
        <v>0.78654933592884613</v>
      </c>
      <c r="P115">
        <v>411.42510581016501</v>
      </c>
      <c r="Q115">
        <f>P115*O115</f>
        <v>323.60614375944056</v>
      </c>
      <c r="S115">
        <f>Q115/(K115*L115)</f>
        <v>84.979365892638313</v>
      </c>
    </row>
    <row r="116" spans="2:19" x14ac:dyDescent="0.5">
      <c r="K116">
        <f>0.016*K115</f>
        <v>0.161024</v>
      </c>
      <c r="L116">
        <f>L115*(0.487570331354931/434.963760865692)</f>
        <v>4.2414743001166624E-4</v>
      </c>
      <c r="M116" s="2">
        <v>4.1697499999999998E-2</v>
      </c>
      <c r="N116" s="2">
        <v>8.8554600000000008</v>
      </c>
      <c r="O116">
        <f>O115*SQRT((N116/N115)^2+(M116/M115)^2)</f>
        <v>0.321613118488565</v>
      </c>
      <c r="P116">
        <v>0.47425242025575598</v>
      </c>
      <c r="Q116">
        <f>Q115*SQRT((P116/P115)^2+(O116/O115)^2)</f>
        <v>132.32023709811938</v>
      </c>
      <c r="S116">
        <f>S115*(Q116/Q115)</f>
        <v>34.747454769340131</v>
      </c>
    </row>
    <row r="118" spans="2:19" x14ac:dyDescent="0.5">
      <c r="B118" t="s">
        <v>28</v>
      </c>
      <c r="C118">
        <f>181.869/172</f>
        <v>1.0573779069767442</v>
      </c>
      <c r="D118" t="s">
        <v>15</v>
      </c>
      <c r="E118" t="s">
        <v>16</v>
      </c>
      <c r="F118">
        <v>200</v>
      </c>
      <c r="G118">
        <v>2.5</v>
      </c>
      <c r="H118">
        <v>5.5</v>
      </c>
      <c r="K118">
        <v>10.064</v>
      </c>
      <c r="L118">
        <f>436.619229434614/1149.53</f>
        <v>0.3798241276300871</v>
      </c>
      <c r="M118" s="2">
        <v>27.6248</v>
      </c>
      <c r="N118" s="2">
        <v>24.6478</v>
      </c>
      <c r="O118">
        <f>N118/M118</f>
        <v>0.89223451391503283</v>
      </c>
      <c r="P118">
        <v>412.91294288635203</v>
      </c>
      <c r="Q118">
        <f>P118*O118</f>
        <v>368.41517888543001</v>
      </c>
      <c r="S118">
        <f>Q118/(K118*L118)</f>
        <v>96.37942653794471</v>
      </c>
    </row>
    <row r="119" spans="2:19" x14ac:dyDescent="0.5">
      <c r="K119">
        <f>0.016*K118</f>
        <v>0.161024</v>
      </c>
      <c r="L119">
        <f>L118*(0.487570331354931/434.963760865692)</f>
        <v>4.2576185058870318E-4</v>
      </c>
      <c r="M119" s="2">
        <v>4.1764799999999998E-2</v>
      </c>
      <c r="N119" s="2">
        <v>8.9289299999999994</v>
      </c>
      <c r="O119">
        <f>O118*SQRT((N119/N118)^2+(M119/M118)^2)</f>
        <v>0.32322434039127951</v>
      </c>
      <c r="P119">
        <v>0.47505980260759501</v>
      </c>
      <c r="Q119">
        <f>Q118*SQRT((P119/P118)^2+(O119/O118)^2)</f>
        <v>133.46418667459014</v>
      </c>
      <c r="S119">
        <f>S118*(Q119/Q118)</f>
        <v>34.914961468106085</v>
      </c>
    </row>
    <row r="121" spans="2:19" x14ac:dyDescent="0.5">
      <c r="B121" t="s">
        <v>28</v>
      </c>
      <c r="C121">
        <f>186.068/172</f>
        <v>1.0817906976744187</v>
      </c>
      <c r="D121" t="s">
        <v>15</v>
      </c>
      <c r="E121" t="s">
        <v>16</v>
      </c>
      <c r="F121">
        <v>200</v>
      </c>
      <c r="G121">
        <v>2.5</v>
      </c>
      <c r="H121">
        <v>6</v>
      </c>
      <c r="K121">
        <v>10.064</v>
      </c>
      <c r="L121">
        <f>437.713501431162/1149.53</f>
        <v>0.38077605754626848</v>
      </c>
      <c r="M121" s="2">
        <v>27.683800000000002</v>
      </c>
      <c r="N121" s="2">
        <v>26.46</v>
      </c>
      <c r="O121">
        <f>N121/M121</f>
        <v>0.95579364104638809</v>
      </c>
      <c r="P121">
        <v>413.89666676521301</v>
      </c>
      <c r="Q121">
        <f>P121*O121</f>
        <v>395.59980214448649</v>
      </c>
      <c r="S121">
        <f>Q121/(K121*L121)</f>
        <v>103.23234781805174</v>
      </c>
    </row>
    <row r="122" spans="2:19" x14ac:dyDescent="0.5">
      <c r="K122">
        <f>0.016*K121</f>
        <v>0.161024</v>
      </c>
      <c r="L122">
        <f>L121*(0.487570331354931/434.963760865692)</f>
        <v>4.2682891140254081E-4</v>
      </c>
      <c r="M122" s="2">
        <v>4.1804899999999999E-2</v>
      </c>
      <c r="N122" s="2">
        <v>8.9847099999999998</v>
      </c>
      <c r="O122">
        <f>O121*SQRT((N122/N121)^2+(M122/M121)^2)</f>
        <v>0.32455077871362065</v>
      </c>
      <c r="P122">
        <v>0.47559028502458101</v>
      </c>
      <c r="Q122">
        <f>Q121*SQRT((P122/P121)^2+(O122/O121)^2)</f>
        <v>134.33125461551805</v>
      </c>
      <c r="S122">
        <f>S121*(Q122/Q121)</f>
        <v>35.05393765146426</v>
      </c>
    </row>
    <row r="124" spans="2:19" x14ac:dyDescent="0.5">
      <c r="B124" t="s">
        <v>28</v>
      </c>
      <c r="C124">
        <f>191.35/172</f>
        <v>1.1125</v>
      </c>
      <c r="D124" t="s">
        <v>15</v>
      </c>
      <c r="E124" t="s">
        <v>16</v>
      </c>
      <c r="F124">
        <v>200</v>
      </c>
      <c r="G124">
        <v>2.5</v>
      </c>
      <c r="H124">
        <v>6.5</v>
      </c>
      <c r="K124">
        <v>10.064</v>
      </c>
      <c r="L124">
        <f>438.483575053179/1149.53</f>
        <v>0.38144596056925784</v>
      </c>
      <c r="M124" s="2">
        <v>27.723500000000001</v>
      </c>
      <c r="N124" s="2">
        <v>25.9087</v>
      </c>
      <c r="O124">
        <f>N124/M124</f>
        <v>0.9345392897722149</v>
      </c>
      <c r="P124">
        <v>414.58428812026898</v>
      </c>
      <c r="Q124">
        <f>P124*O124</f>
        <v>387.44530617063549</v>
      </c>
      <c r="S124">
        <f>Q124/(K124*L124)</f>
        <v>100.92685854525223</v>
      </c>
    </row>
    <row r="125" spans="2:19" x14ac:dyDescent="0.5">
      <c r="K125">
        <f>0.016*K124</f>
        <v>0.161024</v>
      </c>
      <c r="L125">
        <f>L124*(0.487570331354931/434.963760865692)</f>
        <v>4.2757983565941339E-4</v>
      </c>
      <c r="M125" s="2">
        <v>4.1832899999999999E-2</v>
      </c>
      <c r="N125" s="2">
        <v>9.0302299999999995</v>
      </c>
      <c r="O125">
        <f>O124*SQRT((N125/N124)^2+(M125/M124)^2)</f>
        <v>0.32572779862939377</v>
      </c>
      <c r="P125">
        <v>0.47596752409960902</v>
      </c>
      <c r="Q125">
        <f>Q124*SQRT((P125/P124)^2+(O125/O124)^2)</f>
        <v>135.04236008879448</v>
      </c>
      <c r="S125">
        <f>S124*(Q125/Q124)</f>
        <v>35.177613348853498</v>
      </c>
    </row>
    <row r="127" spans="2:19" x14ac:dyDescent="0.5">
      <c r="B127" t="s">
        <v>28</v>
      </c>
      <c r="C127">
        <f>192.13/172</f>
        <v>1.1170348837209303</v>
      </c>
      <c r="D127" t="s">
        <v>15</v>
      </c>
      <c r="E127" t="s">
        <v>16</v>
      </c>
      <c r="F127">
        <v>200</v>
      </c>
      <c r="G127">
        <v>2.5</v>
      </c>
      <c r="H127">
        <v>7</v>
      </c>
      <c r="K127">
        <v>10.064</v>
      </c>
      <c r="L127">
        <f>439.014986790819/1149.53</f>
        <v>0.38190824666674122</v>
      </c>
      <c r="M127" s="2">
        <v>27.75</v>
      </c>
      <c r="N127" s="2">
        <v>25.647200000000002</v>
      </c>
      <c r="O127">
        <f>N127/M127</f>
        <v>0.92422342342342345</v>
      </c>
      <c r="P127">
        <v>415.05711627006502</v>
      </c>
      <c r="Q127">
        <f>P127*O127</f>
        <v>383.60550891537338</v>
      </c>
      <c r="S127">
        <f>Q127/(K127*L127)</f>
        <v>99.805660010316373</v>
      </c>
    </row>
    <row r="128" spans="2:19" x14ac:dyDescent="0.5">
      <c r="K128">
        <f>0.016*K127</f>
        <v>0.161024</v>
      </c>
      <c r="L128">
        <f>L127*(0.487570331354931/434.963760865692)</f>
        <v>4.2809803281975193E-4</v>
      </c>
      <c r="M128" s="2">
        <v>4.1846000000000001E-2</v>
      </c>
      <c r="N128" s="2">
        <v>9.0699500000000004</v>
      </c>
      <c r="O128">
        <f>O127*SQRT((N128/N127)^2+(M128/M127)^2)</f>
        <v>0.32684801645102707</v>
      </c>
      <c r="P128">
        <v>0.47621833212186798</v>
      </c>
      <c r="Q128">
        <f>Q127*SQRT((P128/P127)^2+(O128/O127)^2)</f>
        <v>135.66130913895879</v>
      </c>
      <c r="S128">
        <f>S127*(Q128/Q127)</f>
        <v>35.296068960950016</v>
      </c>
    </row>
    <row r="130" spans="2:19" x14ac:dyDescent="0.5">
      <c r="B130" t="s">
        <v>28</v>
      </c>
      <c r="C130">
        <f>190.993/172</f>
        <v>1.1104244186046512</v>
      </c>
      <c r="D130" t="s">
        <v>15</v>
      </c>
      <c r="E130" t="s">
        <v>16</v>
      </c>
      <c r="F130">
        <v>200</v>
      </c>
      <c r="G130">
        <v>2.5</v>
      </c>
      <c r="H130">
        <v>7.5</v>
      </c>
      <c r="K130">
        <v>10.064</v>
      </c>
      <c r="L130">
        <f xml:space="preserve"> 439.373502448071/1149.53</f>
        <v>0.38222012687626333</v>
      </c>
      <c r="M130" s="2">
        <v>27.769600000000001</v>
      </c>
      <c r="N130" s="2">
        <v>24.808700000000002</v>
      </c>
      <c r="O130">
        <f>N130/M130</f>
        <v>0.89337620995621114</v>
      </c>
      <c r="P130">
        <v>415.37810850143399</v>
      </c>
      <c r="Q130">
        <f>P130*O130</f>
        <v>371.08892027179093</v>
      </c>
      <c r="S130">
        <f>Q130/(K130*L130)</f>
        <v>96.4703395756775</v>
      </c>
    </row>
    <row r="131" spans="2:19" x14ac:dyDescent="0.5">
      <c r="K131">
        <f>0.016*K130</f>
        <v>0.161024</v>
      </c>
      <c r="L131">
        <f>L130*(0.487570331354931/434.963760865692)</f>
        <v>4.284476332940468E-4</v>
      </c>
      <c r="M131" s="2">
        <v>4.1860500000000002E-2</v>
      </c>
      <c r="N131" s="2">
        <v>9.1001999999999992</v>
      </c>
      <c r="O131">
        <f>O130*SQRT((N131/N130)^2+(M131/M130)^2)</f>
        <v>0.327706443064399</v>
      </c>
      <c r="P131">
        <v>0.47638937548156701</v>
      </c>
      <c r="Q131">
        <f>Q130*SQRT((P131/P130)^2+(O131/O130)^2)</f>
        <v>136.12274778792954</v>
      </c>
      <c r="S131">
        <f>S130*(Q131/Q130)</f>
        <v>35.387226580243727</v>
      </c>
    </row>
    <row r="133" spans="2:19" x14ac:dyDescent="0.5">
      <c r="B133" t="s">
        <v>28</v>
      </c>
      <c r="C133">
        <f>183.826/172</f>
        <v>1.0687558139534883</v>
      </c>
      <c r="D133" t="s">
        <v>15</v>
      </c>
      <c r="E133" t="s">
        <v>16</v>
      </c>
      <c r="F133">
        <v>200</v>
      </c>
      <c r="G133">
        <v>2.5</v>
      </c>
      <c r="H133">
        <v>8</v>
      </c>
      <c r="K133">
        <v>10.064</v>
      </c>
      <c r="L133">
        <f>439.640341189635/1149.53</f>
        <v>0.38245225543451239</v>
      </c>
      <c r="M133" s="2">
        <v>27.784400000000002</v>
      </c>
      <c r="N133" s="2">
        <v>23.6311</v>
      </c>
      <c r="O133">
        <f>N133/M133</f>
        <v>0.85051683678611012</v>
      </c>
      <c r="P133">
        <v>415.61490702628998</v>
      </c>
      <c r="Q133">
        <f>P133*O133</f>
        <v>353.48747604515341</v>
      </c>
      <c r="S133">
        <f>Q133/(K133*L133)</f>
        <v>91.838795033668589</v>
      </c>
    </row>
    <row r="134" spans="2:19" x14ac:dyDescent="0.5">
      <c r="K134">
        <f>0.016*K133</f>
        <v>0.161024</v>
      </c>
      <c r="L134">
        <f>L133*(0.487570331354931/434.963760865692)</f>
        <v>4.2870783657589532E-4</v>
      </c>
      <c r="M134" s="2">
        <v>4.1873500000000001E-2</v>
      </c>
      <c r="N134" s="2">
        <v>9.1258599999999994</v>
      </c>
      <c r="O134">
        <f>O133*SQRT((N134/N133)^2+(M134/M133)^2)</f>
        <v>0.32845515802591174</v>
      </c>
      <c r="P134">
        <v>0.476518100762096</v>
      </c>
      <c r="Q134">
        <f>Q133*SQRT((P134/P133)^2+(O134/O133)^2)</f>
        <v>136.51146159108285</v>
      </c>
      <c r="S134">
        <f>S133*(Q134/Q133)</f>
        <v>35.466739249366036</v>
      </c>
    </row>
    <row r="136" spans="2:19" x14ac:dyDescent="0.5">
      <c r="B136" t="s">
        <v>28</v>
      </c>
      <c r="C136">
        <f>183.339/172</f>
        <v>1.0659244186046513</v>
      </c>
      <c r="D136" t="s">
        <v>15</v>
      </c>
      <c r="E136" t="s">
        <v>16</v>
      </c>
      <c r="F136">
        <v>200</v>
      </c>
      <c r="G136">
        <v>2.5</v>
      </c>
      <c r="H136">
        <v>8.5</v>
      </c>
      <c r="K136">
        <v>10.064</v>
      </c>
      <c r="L136">
        <f>439.831989622009/1149.53</f>
        <v>0.38261897438258158</v>
      </c>
      <c r="M136" s="2">
        <v>27.7956</v>
      </c>
      <c r="N136" s="2">
        <v>24.1999</v>
      </c>
      <c r="O136">
        <f>N136/M136</f>
        <v>0.87063779878829739</v>
      </c>
      <c r="P136">
        <v>415.78877925872803</v>
      </c>
      <c r="Q136">
        <f>P136*O136</f>
        <v>362.00142753469225</v>
      </c>
      <c r="S136">
        <f>Q136/(K136*L136)</f>
        <v>94.009804993165602</v>
      </c>
    </row>
    <row r="137" spans="2:19" x14ac:dyDescent="0.5">
      <c r="K137">
        <f>0.016*K136</f>
        <v>0.161024</v>
      </c>
      <c r="L137">
        <f>L136*(0.487570331354931/434.963760865692)</f>
        <v>4.2889471930054223E-4</v>
      </c>
      <c r="M137" s="2">
        <v>4.18807E-2</v>
      </c>
      <c r="N137" s="2">
        <v>9.1560500000000005</v>
      </c>
      <c r="O137">
        <f>O136*SQRT((N137/N136)^2+(M137/M136)^2)</f>
        <v>0.32940906490287697</v>
      </c>
      <c r="P137">
        <v>0.47660977106437202</v>
      </c>
      <c r="Q137">
        <f>Q136*SQRT((P137/P136)^2+(O137/O136)^2)</f>
        <v>136.96522155425697</v>
      </c>
      <c r="S137">
        <f>S136*(Q137/Q136)</f>
        <v>35.56912429006222</v>
      </c>
    </row>
    <row r="139" spans="2:19" x14ac:dyDescent="0.5">
      <c r="B139" t="s">
        <v>28</v>
      </c>
      <c r="C139">
        <f>179.325/172</f>
        <v>1.0425872093023256</v>
      </c>
      <c r="D139" t="s">
        <v>15</v>
      </c>
      <c r="E139" t="s">
        <v>16</v>
      </c>
      <c r="F139">
        <v>200</v>
      </c>
      <c r="G139">
        <v>2.5</v>
      </c>
      <c r="H139">
        <v>9</v>
      </c>
      <c r="K139">
        <v>10.064</v>
      </c>
      <c r="L139">
        <f>439.96897982834/1149.53</f>
        <v>0.38273814500564579</v>
      </c>
      <c r="M139" s="2">
        <v>27.803100000000001</v>
      </c>
      <c r="N139" s="2">
        <v>24.015999999999998</v>
      </c>
      <c r="O139">
        <f>N139/M139</f>
        <v>0.86378857033927858</v>
      </c>
      <c r="P139">
        <v>415.91388893127402</v>
      </c>
      <c r="Q139">
        <f>P139*O139</f>
        <v>359.2616635041947</v>
      </c>
      <c r="S139">
        <f>Q139/(K139*L139)</f>
        <v>93.269253481608871</v>
      </c>
    </row>
    <row r="140" spans="2:19" x14ac:dyDescent="0.5">
      <c r="K140">
        <f>0.016*K139</f>
        <v>0.161024</v>
      </c>
      <c r="L140">
        <f>L139*(0.487570331354931/434.963760865692)</f>
        <v>4.2902830298130576E-4</v>
      </c>
      <c r="M140" s="2">
        <v>4.18853E-2</v>
      </c>
      <c r="N140" s="2">
        <v>9.1762200000000007</v>
      </c>
      <c r="O140">
        <f>O139*SQRT((N140/N139)^2+(M140/M139)^2)</f>
        <v>0.33004561811976052</v>
      </c>
      <c r="P140">
        <v>0.47668131621795301</v>
      </c>
      <c r="Q140">
        <f>Q139*SQRT((P140/P139)^2+(O140/O139)^2)</f>
        <v>137.27117409365317</v>
      </c>
      <c r="S140">
        <f>S139*(Q140/Q139)</f>
        <v>35.637478843075918</v>
      </c>
    </row>
    <row r="142" spans="2:19" x14ac:dyDescent="0.5">
      <c r="B142" t="s">
        <v>28</v>
      </c>
      <c r="C142">
        <f>181.484/172</f>
        <v>1.0551395348837209</v>
      </c>
      <c r="D142" t="s">
        <v>15</v>
      </c>
      <c r="E142" t="s">
        <v>16</v>
      </c>
      <c r="F142">
        <v>200</v>
      </c>
      <c r="G142">
        <v>2.5</v>
      </c>
      <c r="H142">
        <v>9.5</v>
      </c>
      <c r="K142">
        <v>10.064</v>
      </c>
      <c r="L142">
        <f>440.065776284598/1149.53</f>
        <v>0.38282235025149236</v>
      </c>
      <c r="M142" s="2">
        <v>27.808700000000002</v>
      </c>
      <c r="N142" s="2">
        <v>23.232700000000001</v>
      </c>
      <c r="O142">
        <f>N142/M142</f>
        <v>0.83544718019900244</v>
      </c>
      <c r="P142">
        <v>416.00273728370598</v>
      </c>
      <c r="Q142">
        <f>P142*O142</f>
        <v>347.54831381873856</v>
      </c>
      <c r="S142">
        <f>Q142/(K142*L142)</f>
        <v>90.208460774048675</v>
      </c>
    </row>
    <row r="143" spans="2:19" x14ac:dyDescent="0.5">
      <c r="K143">
        <f>0.016*K142</f>
        <v>0.161024</v>
      </c>
      <c r="L143">
        <f>L142*(0.487570331354931/434.963760865692)</f>
        <v>4.291226924070766E-4</v>
      </c>
      <c r="M143" s="2">
        <v>4.1889299999999997E-2</v>
      </c>
      <c r="N143" s="2">
        <v>9.1905099999999997</v>
      </c>
      <c r="O143">
        <f>O142*SQRT((N143/N142)^2+(M143/M142)^2)</f>
        <v>0.33049285405257595</v>
      </c>
      <c r="P143">
        <v>0.47672684035776303</v>
      </c>
      <c r="Q143">
        <f>Q142*SQRT((P143/P142)^2+(O143/O142)^2)</f>
        <v>137.48650882196554</v>
      </c>
      <c r="S143">
        <f>S142*(Q143/Q142)</f>
        <v>35.685531607831614</v>
      </c>
    </row>
    <row r="145" spans="2:19" x14ac:dyDescent="0.5">
      <c r="B145" t="s">
        <v>28</v>
      </c>
      <c r="C145">
        <f>183.977/172</f>
        <v>1.0696337209302327</v>
      </c>
      <c r="D145" t="s">
        <v>15</v>
      </c>
      <c r="E145" t="s">
        <v>16</v>
      </c>
      <c r="F145">
        <v>200</v>
      </c>
      <c r="G145">
        <v>2.5</v>
      </c>
      <c r="H145">
        <v>10</v>
      </c>
      <c r="K145">
        <v>10.064</v>
      </c>
      <c r="L145">
        <f>440.134334784543/1149.53</f>
        <v>0.38288199071319845</v>
      </c>
      <c r="M145" s="2">
        <v>27.8127</v>
      </c>
      <c r="N145" s="2">
        <v>22.7257</v>
      </c>
      <c r="O145">
        <f>N145/M145</f>
        <v>0.81709794446421957</v>
      </c>
      <c r="P145">
        <v>416.06692361831603</v>
      </c>
      <c r="Q145">
        <f>P145*O145</f>
        <v>339.96742804807747</v>
      </c>
      <c r="S145">
        <f>Q145/(K145*L145)</f>
        <v>88.227046770079411</v>
      </c>
    </row>
    <row r="146" spans="2:19" x14ac:dyDescent="0.5">
      <c r="K146">
        <f>0.016*K145</f>
        <v>0.161024</v>
      </c>
      <c r="L146">
        <f>L145*(0.487570331354931/434.963760865692)</f>
        <v>4.2918954606775472E-4</v>
      </c>
      <c r="M146" s="2">
        <v>4.1891600000000001E-2</v>
      </c>
      <c r="N146" s="2">
        <v>9.2014300000000002</v>
      </c>
      <c r="O146">
        <f>O145*SQRT((N146/N145)^2+(M146/M145)^2)</f>
        <v>0.33083784268104188</v>
      </c>
      <c r="P146">
        <v>0.47676071276561699</v>
      </c>
      <c r="Q146">
        <f>Q145*SQRT((P146/P145)^2+(O146/O145)^2)</f>
        <v>137.65123465980028</v>
      </c>
      <c r="S146">
        <f>S145*(Q146/Q145)</f>
        <v>35.722721991390067</v>
      </c>
    </row>
    <row r="149" spans="2:19" x14ac:dyDescent="0.5">
      <c r="H149" s="1" t="s">
        <v>29</v>
      </c>
    </row>
    <row r="150" spans="2:19" x14ac:dyDescent="0.5">
      <c r="B150" t="s">
        <v>28</v>
      </c>
      <c r="C150">
        <f>202.637/172</f>
        <v>1.1781220930232559</v>
      </c>
      <c r="D150" t="s">
        <v>15</v>
      </c>
      <c r="E150" t="s">
        <v>16</v>
      </c>
      <c r="F150">
        <v>200</v>
      </c>
      <c r="G150">
        <v>2.5</v>
      </c>
      <c r="H150">
        <v>1</v>
      </c>
      <c r="K150">
        <v>10.064</v>
      </c>
      <c r="L150">
        <f>321.269955478278/1149.53</f>
        <v>0.27947940069269878</v>
      </c>
      <c r="M150" s="2">
        <v>20.382300000000001</v>
      </c>
      <c r="N150" s="2">
        <v>13.3116</v>
      </c>
      <c r="O150">
        <f>N150/M150</f>
        <v>0.65309606864779735</v>
      </c>
      <c r="P150">
        <v>304.06934356689402</v>
      </c>
      <c r="Q150">
        <f>P150*O150</f>
        <v>198.58649287985489</v>
      </c>
      <c r="S150">
        <f>Q150/(K150*L150)</f>
        <v>70.603994860406772</v>
      </c>
    </row>
    <row r="151" spans="2:19" x14ac:dyDescent="0.5">
      <c r="K151">
        <f>0.016*K150</f>
        <v>0.161024</v>
      </c>
      <c r="L151">
        <f>L150*(0.487570331354931/434.963760865692)</f>
        <v>3.1328095869736789E-4</v>
      </c>
      <c r="M151" s="2">
        <v>3.59084E-2</v>
      </c>
      <c r="N151" s="2">
        <v>7.0835800000000004</v>
      </c>
      <c r="O151">
        <f>O150*SQRT((N151/N150)^2+(M151/M150)^2)</f>
        <v>0.34753775680867149</v>
      </c>
      <c r="P151">
        <v>0.40781463250306199</v>
      </c>
      <c r="Q151">
        <f>Q150*SQRT((P151/P150)^2+(O151/O150)^2)</f>
        <v>105.67591321807981</v>
      </c>
      <c r="S151">
        <f>S150*(Q151/Q150)</f>
        <v>37.571244275068096</v>
      </c>
    </row>
    <row r="153" spans="2:19" x14ac:dyDescent="0.5">
      <c r="B153" t="s">
        <v>28</v>
      </c>
      <c r="C153">
        <f>212.538/172</f>
        <v>1.2356860465116279</v>
      </c>
      <c r="D153" t="s">
        <v>15</v>
      </c>
      <c r="E153" t="s">
        <v>16</v>
      </c>
      <c r="F153">
        <v>200</v>
      </c>
      <c r="G153">
        <v>2.5</v>
      </c>
      <c r="H153">
        <v>1.5</v>
      </c>
      <c r="K153">
        <v>10.064</v>
      </c>
      <c r="L153">
        <f>381.235508345535/1149.53</f>
        <v>0.33164467943031933</v>
      </c>
      <c r="M153" s="2">
        <v>24.172899999999998</v>
      </c>
      <c r="N153" s="2">
        <v>17.290500000000002</v>
      </c>
      <c r="O153">
        <f>N153/M153</f>
        <v>0.71528447145356999</v>
      </c>
      <c r="P153">
        <v>360.72872900962801</v>
      </c>
      <c r="Q153">
        <f>P153*O153</f>
        <v>258.02365826776986</v>
      </c>
      <c r="S153">
        <f>Q153/(K153*L153)</f>
        <v>77.306474126189485</v>
      </c>
    </row>
    <row r="154" spans="2:19" x14ac:dyDescent="0.5">
      <c r="K154">
        <f>0.016*K153</f>
        <v>0.161024</v>
      </c>
      <c r="L154">
        <f>L153*(0.487570331354931/434.963760865692)</f>
        <v>3.7175535249215941E-4</v>
      </c>
      <c r="M154" s="2">
        <v>3.9113599999999998E-2</v>
      </c>
      <c r="N154" s="2">
        <v>7.94536</v>
      </c>
      <c r="O154">
        <f>O153*SQRT((N154/N153)^2+(M154/M153)^2)</f>
        <v>0.32869077591159601</v>
      </c>
      <c r="P154">
        <v>0.444090329833568</v>
      </c>
      <c r="Q154">
        <f>Q153*SQRT((P154/P153)^2+(O154/O153)^2)</f>
        <v>118.56863133338418</v>
      </c>
      <c r="S154">
        <f>S153*(Q154/Q153)</f>
        <v>35.524350332400964</v>
      </c>
    </row>
    <row r="156" spans="2:19" x14ac:dyDescent="0.5">
      <c r="B156" t="s">
        <v>28</v>
      </c>
      <c r="C156">
        <f>198.476/172</f>
        <v>1.1539302325581395</v>
      </c>
      <c r="D156" t="s">
        <v>15</v>
      </c>
      <c r="E156" t="s">
        <v>16</v>
      </c>
      <c r="F156">
        <v>200</v>
      </c>
      <c r="G156">
        <v>2.5</v>
      </c>
      <c r="H156">
        <v>2</v>
      </c>
      <c r="K156">
        <v>10.064</v>
      </c>
      <c r="L156">
        <f>407.93419767423/1149.53</f>
        <v>0.3548704232810192</v>
      </c>
      <c r="M156" s="2">
        <v>25.844799999999999</v>
      </c>
      <c r="N156" s="2">
        <v>18.080400000000001</v>
      </c>
      <c r="O156">
        <f>N156/M156</f>
        <v>0.69957593016777075</v>
      </c>
      <c r="P156">
        <v>385.91970348358097</v>
      </c>
      <c r="Q156">
        <f>P156*O156</f>
        <v>269.98013553459646</v>
      </c>
      <c r="S156">
        <f>Q156/(K156*L156)</f>
        <v>75.594705315153661</v>
      </c>
    </row>
    <row r="157" spans="2:19" x14ac:dyDescent="0.5">
      <c r="K157">
        <f>0.016*K156</f>
        <v>0.161024</v>
      </c>
      <c r="L157">
        <f>L156*(0.487570331354931/434.963760865692)</f>
        <v>3.977901274414848E-4</v>
      </c>
      <c r="M157" s="2">
        <v>4.0433299999999998E-2</v>
      </c>
      <c r="N157" s="2">
        <v>8.3490000000000002</v>
      </c>
      <c r="O157">
        <f>O156*SQRT((N157/N156)^2+(M157/M156)^2)</f>
        <v>0.32304556104912285</v>
      </c>
      <c r="P157">
        <v>0.45931938583183701</v>
      </c>
      <c r="Q157">
        <f>Q156*SQRT((P157/P156)^2+(O157/O156)^2)</f>
        <v>124.6700612342345</v>
      </c>
      <c r="S157">
        <f>S156*(Q157/Q156)</f>
        <v>34.907740608258322</v>
      </c>
    </row>
    <row r="159" spans="2:19" x14ac:dyDescent="0.5">
      <c r="B159" t="s">
        <v>28</v>
      </c>
      <c r="C159">
        <f>180.625/172</f>
        <v>1.0501453488372092</v>
      </c>
      <c r="D159" t="s">
        <v>15</v>
      </c>
      <c r="E159" t="s">
        <v>16</v>
      </c>
      <c r="F159">
        <v>200</v>
      </c>
      <c r="G159">
        <v>2.5</v>
      </c>
      <c r="H159">
        <v>2.5</v>
      </c>
      <c r="K159">
        <v>10.064</v>
      </c>
      <c r="L159">
        <f>423.72324956514/1149.53</f>
        <v>0.36860564714721672</v>
      </c>
      <c r="M159" s="2">
        <v>26.832000000000001</v>
      </c>
      <c r="N159" s="2">
        <v>20.873100000000001</v>
      </c>
      <c r="O159">
        <f>N159/M159</f>
        <v>0.77791815742397141</v>
      </c>
      <c r="P159">
        <v>400.803213834762</v>
      </c>
      <c r="Q159">
        <f>P159*O159</f>
        <v>311.79209759594409</v>
      </c>
      <c r="S159">
        <f>Q159/(K159*L159)</f>
        <v>84.048988494541305</v>
      </c>
    </row>
    <row r="160" spans="2:19" x14ac:dyDescent="0.5">
      <c r="K160">
        <f>0.016*K159</f>
        <v>0.161024</v>
      </c>
      <c r="L160">
        <f>L159*(0.487570331354931/434.963760865692)</f>
        <v>4.1318655411930167E-4</v>
      </c>
      <c r="M160" s="2">
        <v>4.1185600000000003E-2</v>
      </c>
      <c r="N160" s="2">
        <v>8.6281499999999998</v>
      </c>
      <c r="O160">
        <f>O159*SQRT((N160/N159)^2+(M160/M159)^2)</f>
        <v>0.32156415791850412</v>
      </c>
      <c r="P160">
        <v>0.46810525235100098</v>
      </c>
      <c r="Q160">
        <f>Q159*SQRT((P160/P159)^2+(O160/O159)^2)</f>
        <v>128.88446237646053</v>
      </c>
      <c r="S160">
        <f>S159*(Q160/Q159)</f>
        <v>34.743050830757134</v>
      </c>
    </row>
    <row r="162" spans="2:19" x14ac:dyDescent="0.5">
      <c r="B162" t="s">
        <v>28</v>
      </c>
      <c r="C162">
        <f>181.647/172</f>
        <v>1.0560872093023255</v>
      </c>
      <c r="D162" t="s">
        <v>15</v>
      </c>
      <c r="E162" t="s">
        <v>16</v>
      </c>
      <c r="F162">
        <v>200</v>
      </c>
      <c r="G162">
        <v>2.5</v>
      </c>
      <c r="H162">
        <v>3</v>
      </c>
      <c r="K162">
        <v>10.064</v>
      </c>
      <c r="L162">
        <f>434.963639420256/1149.53</f>
        <v>0.3783838955227406</v>
      </c>
      <c r="M162" s="2">
        <v>27.534700000000001</v>
      </c>
      <c r="N162" s="2">
        <v>21.657399999999999</v>
      </c>
      <c r="O162">
        <f>N162/M162</f>
        <v>0.78654933592884613</v>
      </c>
      <c r="P162">
        <v>411.42510581016501</v>
      </c>
      <c r="Q162">
        <f>P162*O162</f>
        <v>323.60614375944056</v>
      </c>
      <c r="S162">
        <f>Q162/(K162*L162)</f>
        <v>84.979365892638313</v>
      </c>
    </row>
    <row r="163" spans="2:19" x14ac:dyDescent="0.5">
      <c r="K163">
        <f>0.016*K162</f>
        <v>0.161024</v>
      </c>
      <c r="L163">
        <f>L162*(0.487570331354931/434.963760865692)</f>
        <v>4.2414743001166624E-4</v>
      </c>
      <c r="M163" s="2">
        <v>4.1697499999999998E-2</v>
      </c>
      <c r="N163" s="2">
        <v>8.8554600000000008</v>
      </c>
      <c r="O163">
        <f>O162*SQRT((N163/N162)^2+(M163/M162)^2)</f>
        <v>0.321613118488565</v>
      </c>
      <c r="P163">
        <v>0.47425242025575598</v>
      </c>
      <c r="Q163">
        <f>Q162*SQRT((P163/P162)^2+(O163/O162)^2)</f>
        <v>132.32023709811938</v>
      </c>
      <c r="S163">
        <f>S162*(Q163/Q162)</f>
        <v>34.747454769340131</v>
      </c>
    </row>
    <row r="165" spans="2:19" x14ac:dyDescent="0.5">
      <c r="B165" t="s">
        <v>28</v>
      </c>
      <c r="C165">
        <f>175.864/172</f>
        <v>1.0224651162790699</v>
      </c>
      <c r="D165" t="s">
        <v>15</v>
      </c>
      <c r="E165" t="s">
        <v>16</v>
      </c>
      <c r="F165">
        <v>200</v>
      </c>
      <c r="G165">
        <v>2.5</v>
      </c>
      <c r="H165">
        <v>3.5</v>
      </c>
      <c r="K165">
        <v>10.064</v>
      </c>
      <c r="L165">
        <f>442.678329751317/1149.53</f>
        <v>0.3850950647232495</v>
      </c>
      <c r="M165" s="2">
        <v>28.016400000000001</v>
      </c>
      <c r="N165" s="2">
        <v>20.1084</v>
      </c>
      <c r="O165">
        <f>N165/M165</f>
        <v>0.71773675418683336</v>
      </c>
      <c r="P165">
        <v>418.69396257400501</v>
      </c>
      <c r="Q165">
        <f>P165*O165</f>
        <v>300.51204569548986</v>
      </c>
      <c r="S165">
        <f>Q165/(K165*L165)</f>
        <v>77.539554944585205</v>
      </c>
    </row>
    <row r="166" spans="2:19" x14ac:dyDescent="0.5">
      <c r="K166">
        <f>0.016*K165</f>
        <v>0.161024</v>
      </c>
      <c r="L166">
        <f>L165*(0.487570331354931/434.963760865692)</f>
        <v>4.3167027969541613E-4</v>
      </c>
      <c r="M166" s="2">
        <v>4.2054000000000001E-2</v>
      </c>
      <c r="N166" s="2">
        <v>9.0309699999999999</v>
      </c>
      <c r="O166">
        <f>O165*SQRT((N166/N165)^2+(M166/M165)^2)</f>
        <v>0.32234764068546562</v>
      </c>
      <c r="P166">
        <v>0.47839954033937998</v>
      </c>
      <c r="Q166">
        <f>Q165*SQRT((P166/P165)^2+(O166/O165)^2)</f>
        <v>134.96544778220667</v>
      </c>
      <c r="S166">
        <f>S165*(Q166/Q165)</f>
        <v>34.824430181189314</v>
      </c>
    </row>
    <row r="168" spans="2:19" x14ac:dyDescent="0.5">
      <c r="B168" t="s">
        <v>28</v>
      </c>
      <c r="C168">
        <f>173.935/172</f>
        <v>1.01125</v>
      </c>
      <c r="D168" t="s">
        <v>15</v>
      </c>
      <c r="E168" t="s">
        <v>16</v>
      </c>
      <c r="F168">
        <v>200</v>
      </c>
      <c r="G168">
        <v>2.5</v>
      </c>
      <c r="H168">
        <v>4</v>
      </c>
      <c r="K168">
        <v>10.064</v>
      </c>
      <c r="L168">
        <f>448.210624634116/1149.53</f>
        <v>0.38990772283813041</v>
      </c>
      <c r="M168" s="2">
        <v>28.357700000000001</v>
      </c>
      <c r="N168" s="2">
        <v>21.9893</v>
      </c>
      <c r="O168">
        <f>N168/M168</f>
        <v>0.77542607475218372</v>
      </c>
      <c r="P168">
        <v>423.89331889152498</v>
      </c>
      <c r="Q168">
        <f>P168*O168</f>
        <v>328.69793238173088</v>
      </c>
      <c r="S168">
        <f>Q168/(K168*L168)</f>
        <v>83.765369171503878</v>
      </c>
    </row>
    <row r="169" spans="2:19" x14ac:dyDescent="0.5">
      <c r="K169">
        <f>0.016*K168</f>
        <v>0.161024</v>
      </c>
      <c r="L169">
        <f>L168*(0.487570331354931/434.963760865692)</f>
        <v>4.3706500340090439E-4</v>
      </c>
      <c r="M169" s="2">
        <v>4.2307600000000001E-2</v>
      </c>
      <c r="N169" s="2">
        <v>9.1926500000000004</v>
      </c>
      <c r="O169">
        <f>O168*SQRT((N169/N168)^2+(M169/M168)^2)</f>
        <v>0.32416975068584386</v>
      </c>
      <c r="P169">
        <v>0.48135635147502598</v>
      </c>
      <c r="Q169">
        <f>Q168*SQRT((P169/P168)^2+(O169/O168)^2)</f>
        <v>137.41389843989123</v>
      </c>
      <c r="S169">
        <f>S168*(Q169/Q168)</f>
        <v>35.018552896601022</v>
      </c>
    </row>
    <row r="171" spans="2:19" x14ac:dyDescent="0.5">
      <c r="B171" t="s">
        <v>28</v>
      </c>
      <c r="C171">
        <f>175.938/172</f>
        <v>1.0228953488372092</v>
      </c>
      <c r="D171" t="s">
        <v>15</v>
      </c>
      <c r="E171" t="s">
        <v>16</v>
      </c>
      <c r="F171">
        <v>200</v>
      </c>
      <c r="G171">
        <v>2.5</v>
      </c>
      <c r="H171">
        <v>4.5</v>
      </c>
      <c r="K171">
        <v>10.064</v>
      </c>
      <c r="L171">
        <f>452.212221265176/1149.53</f>
        <v>0.39338879478149857</v>
      </c>
      <c r="M171" s="2">
        <v>28.603200000000001</v>
      </c>
      <c r="N171" s="2">
        <v>20.9679</v>
      </c>
      <c r="O171">
        <f>N171/M171</f>
        <v>0.73306133579459642</v>
      </c>
      <c r="P171">
        <v>427.63977098464898</v>
      </c>
      <c r="Q171">
        <f>P171*O171</f>
        <v>313.48618175690206</v>
      </c>
      <c r="S171">
        <f>Q171/(K171*L171)</f>
        <v>79.1818763177412</v>
      </c>
    </row>
    <row r="172" spans="2:19" x14ac:dyDescent="0.5">
      <c r="K172">
        <f>0.016*K171</f>
        <v>0.161024</v>
      </c>
      <c r="L172">
        <f>L171*(0.487570331354931/434.963760865692)</f>
        <v>4.4096709261753328E-4</v>
      </c>
      <c r="M172" s="2">
        <v>4.2486099999999999E-2</v>
      </c>
      <c r="N172" s="2">
        <v>9.3300900000000002</v>
      </c>
      <c r="O172">
        <f>O171*SQRT((N172/N171)^2+(M172/M171)^2)</f>
        <v>0.32619224361327642</v>
      </c>
      <c r="P172">
        <v>0.48348326335127201</v>
      </c>
      <c r="Q172">
        <f>Q171*SQRT((P172/P171)^2+(O172/O171)^2)</f>
        <v>139.4932266134027</v>
      </c>
      <c r="S172">
        <f>S171*(Q172/Q171)</f>
        <v>35.233882893857128</v>
      </c>
    </row>
    <row r="174" spans="2:19" x14ac:dyDescent="0.5">
      <c r="B174" t="s">
        <v>28</v>
      </c>
      <c r="C174">
        <f>182.5/172</f>
        <v>1.0610465116279071</v>
      </c>
      <c r="D174" t="s">
        <v>15</v>
      </c>
      <c r="E174" t="s">
        <v>16</v>
      </c>
      <c r="F174">
        <v>200</v>
      </c>
      <c r="G174">
        <v>2.5</v>
      </c>
      <c r="H174">
        <v>5</v>
      </c>
      <c r="K174">
        <v>10.064</v>
      </c>
      <c r="L174">
        <f>455.124336066985/1149.53</f>
        <v>0.39592210387461396</v>
      </c>
      <c r="M174" s="2">
        <v>28.778600000000001</v>
      </c>
      <c r="N174" s="2">
        <v>21.542999999999999</v>
      </c>
      <c r="O174">
        <f>N174/M174</f>
        <v>0.74857706768223609</v>
      </c>
      <c r="P174">
        <v>430.351650238037</v>
      </c>
      <c r="Q174">
        <f>P174*O174</f>
        <v>322.15137640740102</v>
      </c>
      <c r="S174">
        <f>Q174/(K174*L174)</f>
        <v>80.849923728213625</v>
      </c>
    </row>
    <row r="175" spans="2:19" x14ac:dyDescent="0.5">
      <c r="K175">
        <f>0.016*K174</f>
        <v>0.161024</v>
      </c>
      <c r="L175">
        <f>L174*(0.487570331354931/434.963760865692)</f>
        <v>4.4380679207087724E-4</v>
      </c>
      <c r="M175" s="2">
        <v>4.2616500000000002E-2</v>
      </c>
      <c r="N175" s="2">
        <v>9.4588699999999992</v>
      </c>
      <c r="O175">
        <f>O174*SQRT((N175/N174)^2+(M175/M174)^2)</f>
        <v>0.32867908087975894</v>
      </c>
      <c r="P175">
        <v>0.48500765542836199</v>
      </c>
      <c r="Q175">
        <f>Q174*SQRT((P175/P174)^2+(O175/O174)^2)</f>
        <v>141.44805081032607</v>
      </c>
      <c r="S175">
        <f>S174*(Q175/Q174)</f>
        <v>35.499038517398738</v>
      </c>
    </row>
    <row r="177" spans="2:19" x14ac:dyDescent="0.5">
      <c r="B177" t="s">
        <v>28</v>
      </c>
      <c r="C177">
        <f>177.777/172</f>
        <v>1.0335872093023255</v>
      </c>
      <c r="D177" t="s">
        <v>15</v>
      </c>
      <c r="E177" t="s">
        <v>16</v>
      </c>
      <c r="F177">
        <v>200</v>
      </c>
      <c r="G177">
        <v>2.5</v>
      </c>
      <c r="H177">
        <v>5.5</v>
      </c>
      <c r="K177">
        <v>10.064</v>
      </c>
      <c r="L177">
        <f>457.351016148293/1149.53</f>
        <v>0.3978591390814446</v>
      </c>
      <c r="M177" s="2">
        <v>28.912299999999998</v>
      </c>
      <c r="N177" s="2">
        <v>22.165600000000001</v>
      </c>
      <c r="O177">
        <f>N177/M177</f>
        <v>0.76664948828007462</v>
      </c>
      <c r="P177">
        <v>432.41094636917097</v>
      </c>
      <c r="Q177">
        <f>P177*O177</f>
        <v>331.50763076062771</v>
      </c>
      <c r="S177">
        <f>Q177/(K177*L177)</f>
        <v>82.792989218927929</v>
      </c>
    </row>
    <row r="178" spans="2:19" x14ac:dyDescent="0.5">
      <c r="K178">
        <f>0.016*K177</f>
        <v>0.161024</v>
      </c>
      <c r="L178">
        <f>L177*(0.487570331354931/434.963760865692)</f>
        <v>4.4597810145941317E-4</v>
      </c>
      <c r="M178" s="2">
        <v>4.2721200000000001E-2</v>
      </c>
      <c r="N178" s="2">
        <v>9.5772700000000004</v>
      </c>
      <c r="O178">
        <f>O177*SQRT((N178/N177)^2+(M178/M177)^2)</f>
        <v>0.33125437971114724</v>
      </c>
      <c r="P178">
        <v>0.48615867563696902</v>
      </c>
      <c r="Q178">
        <f>Q177*SQRT((P178/P177)^2+(O178/O177)^2)</f>
        <v>143.23850472938449</v>
      </c>
      <c r="S178">
        <f>S177*(Q178/Q177)</f>
        <v>35.773366515229448</v>
      </c>
    </row>
    <row r="180" spans="2:19" x14ac:dyDescent="0.5">
      <c r="B180" t="s">
        <v>28</v>
      </c>
      <c r="C180">
        <f>170.564/172</f>
        <v>0.99165116279069765</v>
      </c>
      <c r="D180" t="s">
        <v>15</v>
      </c>
      <c r="E180" t="s">
        <v>16</v>
      </c>
      <c r="F180">
        <v>200</v>
      </c>
      <c r="G180">
        <v>2.5</v>
      </c>
      <c r="H180">
        <v>6</v>
      </c>
      <c r="K180">
        <v>10.064</v>
      </c>
      <c r="L180">
        <f>459.147755201518/1149.53</f>
        <v>0.39942215966657507</v>
      </c>
      <c r="M180" s="2">
        <v>29.0185</v>
      </c>
      <c r="N180" s="2">
        <v>24.1401</v>
      </c>
      <c r="O180">
        <f>N180/M180</f>
        <v>0.83188655512862486</v>
      </c>
      <c r="P180">
        <v>434.07533335685702</v>
      </c>
      <c r="Q180">
        <f>P180*O180</f>
        <v>361.10143373254527</v>
      </c>
      <c r="S180">
        <f>Q180/(K180*L180)</f>
        <v>89.831040298891423</v>
      </c>
    </row>
    <row r="181" spans="2:19" x14ac:dyDescent="0.5">
      <c r="K181">
        <f>0.016*K180</f>
        <v>0.161024</v>
      </c>
      <c r="L181">
        <f>L180*(0.487570331354931/434.963760865692)</f>
        <v>4.4773016113236133E-4</v>
      </c>
      <c r="M181" s="2">
        <v>4.2802699999999999E-2</v>
      </c>
      <c r="N181" s="2">
        <v>9.6899899999999999</v>
      </c>
      <c r="O181">
        <f>O180*SQRT((N181/N180)^2+(M181/M180)^2)</f>
        <v>0.33392681981442623</v>
      </c>
      <c r="P181">
        <v>0.487106868035732</v>
      </c>
      <c r="Q181">
        <f>Q180*SQRT((P181/P180)^2+(O181/O180)^2)</f>
        <v>144.94996203585288</v>
      </c>
      <c r="S181">
        <f>S180*(Q181/Q180)</f>
        <v>36.059136476898253</v>
      </c>
    </row>
    <row r="183" spans="2:19" x14ac:dyDescent="0.5">
      <c r="B183" t="s">
        <v>28</v>
      </c>
      <c r="C183">
        <f>169.059/172</f>
        <v>0.98290116279069761</v>
      </c>
      <c r="D183" t="s">
        <v>15</v>
      </c>
      <c r="E183" t="s">
        <v>16</v>
      </c>
      <c r="F183">
        <v>200</v>
      </c>
      <c r="G183">
        <v>2.5</v>
      </c>
      <c r="H183">
        <v>6.5</v>
      </c>
      <c r="K183">
        <v>10.064</v>
      </c>
      <c r="L183">
        <f>460.502252272782/1149.53</f>
        <v>0.40060046477497935</v>
      </c>
      <c r="M183" s="2">
        <v>29.096800000000002</v>
      </c>
      <c r="N183" s="2">
        <v>22.9147</v>
      </c>
      <c r="O183">
        <f>N183/M183</f>
        <v>0.78753333699925765</v>
      </c>
      <c r="P183">
        <v>435.32529163360499</v>
      </c>
      <c r="Q183">
        <f>P183*O183</f>
        <v>342.83317960038795</v>
      </c>
      <c r="S183">
        <f>Q183/(K183*L183)</f>
        <v>85.035597896569939</v>
      </c>
    </row>
    <row r="184" spans="2:19" x14ac:dyDescent="0.5">
      <c r="K184">
        <f>0.016*K183</f>
        <v>0.161024</v>
      </c>
      <c r="L184">
        <f>L183*(0.487570331354931/434.963760865692)</f>
        <v>4.4905097602277534E-4</v>
      </c>
      <c r="M184" s="2">
        <v>4.2855299999999999E-2</v>
      </c>
      <c r="N184" s="2">
        <v>9.7851400000000002</v>
      </c>
      <c r="O184">
        <f>O183*SQRT((N184/N183)^2+(M184/M183)^2)</f>
        <v>0.336298087880402</v>
      </c>
      <c r="P184">
        <v>0.48780229698463301</v>
      </c>
      <c r="Q184">
        <f>Q183*SQRT((P184/P183)^2+(O184/O183)^2)</f>
        <v>146.39956721253196</v>
      </c>
      <c r="S184">
        <f>S183*(Q184/Q183)</f>
        <v>36.312630954295898</v>
      </c>
    </row>
    <row r="186" spans="2:19" x14ac:dyDescent="0.5">
      <c r="B186" t="s">
        <v>28</v>
      </c>
      <c r="C186">
        <f>167.851/172</f>
        <v>0.97587790697674415</v>
      </c>
      <c r="D186" t="s">
        <v>15</v>
      </c>
      <c r="E186" t="s">
        <v>16</v>
      </c>
      <c r="F186">
        <v>200</v>
      </c>
      <c r="G186">
        <v>2.5</v>
      </c>
      <c r="H186">
        <v>7</v>
      </c>
      <c r="K186">
        <v>10.064</v>
      </c>
      <c r="L186">
        <f>461.594021101498/1149.53</f>
        <v>0.4015502171335224</v>
      </c>
      <c r="M186" s="2">
        <v>29.1616</v>
      </c>
      <c r="N186" s="2">
        <v>23.4773</v>
      </c>
      <c r="O186">
        <f>N186/M186</f>
        <v>0.80507585317678043</v>
      </c>
      <c r="P186">
        <v>436.33875775337202</v>
      </c>
      <c r="Q186">
        <f>P186*O186</f>
        <v>351.2857976723925</v>
      </c>
      <c r="S186">
        <f>Q186/(K186*L186)</f>
        <v>86.92608068386221</v>
      </c>
    </row>
    <row r="187" spans="2:19" x14ac:dyDescent="0.5">
      <c r="K187">
        <f>0.016*K186</f>
        <v>0.161024</v>
      </c>
      <c r="L187">
        <f>L186*(0.487570331354931/434.963760865692)</f>
        <v>4.5011559591487469E-4</v>
      </c>
      <c r="M187" s="2">
        <v>4.2900199999999999E-2</v>
      </c>
      <c r="N187" s="2">
        <v>9.8848900000000004</v>
      </c>
      <c r="O187">
        <f>O186*SQRT((N187/N186)^2+(M187/M186)^2)</f>
        <v>0.33897146719469362</v>
      </c>
      <c r="P187">
        <v>0.48836611547216002</v>
      </c>
      <c r="Q187">
        <f>Q186*SQRT((P187/P186)^2+(O187/O186)^2)</f>
        <v>147.90691148255226</v>
      </c>
      <c r="S187">
        <f>S186*(Q187/Q186)</f>
        <v>36.599737895534147</v>
      </c>
    </row>
    <row r="189" spans="2:19" x14ac:dyDescent="0.5">
      <c r="B189" t="s">
        <v>28</v>
      </c>
      <c r="C189">
        <f>162.439/172</f>
        <v>0.94441279069767436</v>
      </c>
      <c r="D189" t="s">
        <v>15</v>
      </c>
      <c r="E189" t="s">
        <v>16</v>
      </c>
      <c r="F189">
        <v>200</v>
      </c>
      <c r="G189">
        <v>2.5</v>
      </c>
      <c r="H189">
        <v>7.5</v>
      </c>
      <c r="K189">
        <v>10.064</v>
      </c>
      <c r="L189">
        <f>462.471394592612/1149.53</f>
        <v>0.40231346253913514</v>
      </c>
      <c r="M189" s="2">
        <v>29.212800000000001</v>
      </c>
      <c r="N189" s="2">
        <v>24.006399999999999</v>
      </c>
      <c r="O189">
        <f>N189/M189</f>
        <v>0.82177675539489536</v>
      </c>
      <c r="P189">
        <v>437.14984178543</v>
      </c>
      <c r="Q189">
        <f>P189*O189</f>
        <v>359.23957860382251</v>
      </c>
      <c r="S189">
        <f>Q189/(K189*L189)</f>
        <v>88.725608118457103</v>
      </c>
    </row>
    <row r="190" spans="2:19" x14ac:dyDescent="0.5">
      <c r="K190">
        <f>0.016*K189</f>
        <v>0.161024</v>
      </c>
      <c r="L190">
        <f>L189*(0.487570331354931/434.963760865692)</f>
        <v>4.5097115182274864E-4</v>
      </c>
      <c r="M190" s="2">
        <v>4.2934199999999999E-2</v>
      </c>
      <c r="N190" s="2">
        <v>9.9755900000000004</v>
      </c>
      <c r="O190">
        <f>O189*SQRT((N190/N189)^2+(M190/M189)^2)</f>
        <v>0.34148224046450992</v>
      </c>
      <c r="P190">
        <v>0.48882148335943698</v>
      </c>
      <c r="Q190">
        <f>Q189*SQRT((P190/P189)^2+(O190/O189)^2)</f>
        <v>149.27944787086938</v>
      </c>
      <c r="S190">
        <f>S189*(Q190/Q189)</f>
        <v>36.869294422976672</v>
      </c>
    </row>
    <row r="192" spans="2:19" x14ac:dyDescent="0.5">
      <c r="B192" t="s">
        <v>28</v>
      </c>
      <c r="C192">
        <f>161.44/172</f>
        <v>0.93860465116279068</v>
      </c>
      <c r="D192" t="s">
        <v>15</v>
      </c>
      <c r="E192" t="s">
        <v>16</v>
      </c>
      <c r="F192">
        <v>200</v>
      </c>
      <c r="G192">
        <v>2.5</v>
      </c>
      <c r="H192">
        <v>8</v>
      </c>
      <c r="K192">
        <v>10.064</v>
      </c>
      <c r="L192">
        <f>463.216858955282/1149.53</f>
        <v>0.40296195745677105</v>
      </c>
      <c r="M192" s="2">
        <v>29.2562</v>
      </c>
      <c r="N192" s="2">
        <v>25.114699999999999</v>
      </c>
      <c r="O192">
        <f>N192/M192</f>
        <v>0.85844026223501346</v>
      </c>
      <c r="P192">
        <v>437.84510064124999</v>
      </c>
      <c r="Q192">
        <f>P192*O192</f>
        <v>375.86386301279049</v>
      </c>
      <c r="S192">
        <f>Q192/(K192*L192)</f>
        <v>92.682106799010029</v>
      </c>
    </row>
    <row r="193" spans="2:19" x14ac:dyDescent="0.5">
      <c r="K193">
        <f>0.016*K192</f>
        <v>0.161024</v>
      </c>
      <c r="L193">
        <f>L192*(0.487570331354931/434.963760865692)</f>
        <v>4.5169807877694926E-4</v>
      </c>
      <c r="M193" s="2">
        <v>4.2960999999999999E-2</v>
      </c>
      <c r="N193" s="2">
        <v>10.0672</v>
      </c>
      <c r="O193">
        <f>O192*SQRT((N193/N192)^2+(M193/M192)^2)</f>
        <v>0.34410714824658212</v>
      </c>
      <c r="P193">
        <v>0.48920709939289497</v>
      </c>
      <c r="Q193">
        <f>Q192*SQRT((P193/P192)^2+(O193/O192)^2)</f>
        <v>150.66621423128393</v>
      </c>
      <c r="S193">
        <f>S192*(Q193/Q192)</f>
        <v>37.151914649244134</v>
      </c>
    </row>
    <row r="195" spans="2:19" x14ac:dyDescent="0.5">
      <c r="B195" t="s">
        <v>28</v>
      </c>
      <c r="C195">
        <f>160.853/172</f>
        <v>0.93519186046511638</v>
      </c>
      <c r="D195" t="s">
        <v>15</v>
      </c>
      <c r="E195" t="s">
        <v>16</v>
      </c>
      <c r="F195">
        <v>200</v>
      </c>
      <c r="G195">
        <v>2.5</v>
      </c>
      <c r="H195">
        <v>8.5</v>
      </c>
      <c r="K195">
        <v>10.064</v>
      </c>
      <c r="L195">
        <f>463.825976412016/1149.53</f>
        <v>0.40349184137170496</v>
      </c>
      <c r="M195" s="2">
        <v>29.291499999999999</v>
      </c>
      <c r="N195" s="2">
        <v>25.278300000000002</v>
      </c>
      <c r="O195">
        <f>N195/M195</f>
        <v>0.86299097007664349</v>
      </c>
      <c r="P195">
        <v>438.41053342819202</v>
      </c>
      <c r="Q195">
        <f>P195*O195</f>
        <v>378.34433153501419</v>
      </c>
      <c r="S195">
        <f>Q195/(K195*L195)</f>
        <v>93.171233641056716</v>
      </c>
    </row>
    <row r="196" spans="2:19" x14ac:dyDescent="0.5">
      <c r="K196">
        <f>0.016*K195</f>
        <v>0.161024</v>
      </c>
      <c r="L196">
        <f>L195*(0.487570331354931/434.963760865692)</f>
        <v>4.5229204935387681E-4</v>
      </c>
      <c r="M196" s="2">
        <v>4.2984899999999999E-2</v>
      </c>
      <c r="N196" s="2">
        <v>10.1496</v>
      </c>
      <c r="O196">
        <f>O195*SQRT((N196/N195)^2+(M196/M195)^2)</f>
        <v>0.34650556611100575</v>
      </c>
      <c r="P196">
        <v>0.48951483146539698</v>
      </c>
      <c r="Q196">
        <f>Q195*SQRT((P196/P195)^2+(O196/O195)^2)</f>
        <v>151.91227745865737</v>
      </c>
      <c r="S196">
        <f>S195*(Q196/Q195)</f>
        <v>37.409981110647927</v>
      </c>
    </row>
    <row r="198" spans="2:19" x14ac:dyDescent="0.5">
      <c r="B198" t="s">
        <v>28</v>
      </c>
      <c r="C198">
        <f>163.367/172</f>
        <v>0.94980813953488363</v>
      </c>
      <c r="D198" t="s">
        <v>15</v>
      </c>
      <c r="E198" t="s">
        <v>16</v>
      </c>
      <c r="F198">
        <v>200</v>
      </c>
      <c r="G198">
        <v>2.5</v>
      </c>
      <c r="H198">
        <v>9</v>
      </c>
      <c r="K198">
        <v>10.064</v>
      </c>
      <c r="L198">
        <f>464.382017687269/1149.53</f>
        <v>0.40397555321502615</v>
      </c>
      <c r="M198" s="2">
        <v>29.3231</v>
      </c>
      <c r="N198" s="2">
        <v>25.3201</v>
      </c>
      <c r="O198">
        <f>N198/M198</f>
        <v>0.86348646630131198</v>
      </c>
      <c r="P198">
        <v>438.92128968238802</v>
      </c>
      <c r="Q198">
        <f>P198*O198</f>
        <v>379.00259341225973</v>
      </c>
      <c r="S198">
        <f>Q198/(K198*L198)</f>
        <v>93.221582108647553</v>
      </c>
    </row>
    <row r="199" spans="2:19" x14ac:dyDescent="0.5">
      <c r="K199">
        <f>0.016*K198</f>
        <v>0.161024</v>
      </c>
      <c r="L199">
        <f>L198*(0.487570331354931/434.963760865692)</f>
        <v>4.5283426359089515E-4</v>
      </c>
      <c r="M199" s="2">
        <v>4.3007200000000002E-2</v>
      </c>
      <c r="N199" s="2">
        <v>10.2303</v>
      </c>
      <c r="O199">
        <f>O198*SQRT((N199/N198)^2+(M199/M198)^2)</f>
        <v>0.34888423809653596</v>
      </c>
      <c r="P199">
        <v>0.48980038647552898</v>
      </c>
      <c r="Q199">
        <f>Q198*SQRT((P199/P198)^2+(O199/O198)^2)</f>
        <v>153.13330378581975</v>
      </c>
      <c r="S199">
        <f>S198*(Q199/Q198)</f>
        <v>37.665517599533388</v>
      </c>
    </row>
    <row r="201" spans="2:19" x14ac:dyDescent="0.5">
      <c r="B201" t="s">
        <v>28</v>
      </c>
      <c r="C201">
        <f>161.502/172</f>
        <v>0.93896511627906987</v>
      </c>
      <c r="D201" t="s">
        <v>15</v>
      </c>
      <c r="E201" t="s">
        <v>16</v>
      </c>
      <c r="F201">
        <v>200</v>
      </c>
      <c r="G201">
        <v>2.5</v>
      </c>
      <c r="H201">
        <v>9.5</v>
      </c>
      <c r="K201">
        <v>10.064</v>
      </c>
      <c r="L201">
        <f>464.824464963666/1149.53</f>
        <v>0.40436044728164205</v>
      </c>
      <c r="M201" s="2">
        <v>29.346900000000002</v>
      </c>
      <c r="N201" s="2">
        <v>25.296900000000001</v>
      </c>
      <c r="O201">
        <f>N201/M201</f>
        <v>0.86199564519591509</v>
      </c>
      <c r="P201">
        <v>439.31320905685402</v>
      </c>
      <c r="Q201">
        <f>P201*O201</f>
        <v>378.6860730840508</v>
      </c>
      <c r="S201">
        <f>Q201/(K201*L201)</f>
        <v>93.055069329466789</v>
      </c>
    </row>
    <row r="202" spans="2:19" x14ac:dyDescent="0.5">
      <c r="K202">
        <f>0.016*K201</f>
        <v>0.161024</v>
      </c>
      <c r="L202">
        <f>L201*(0.487570331354931/434.963760865692)</f>
        <v>4.5326570856282333E-4</v>
      </c>
      <c r="M202" s="2">
        <v>4.3027500000000003E-2</v>
      </c>
      <c r="N202" s="2">
        <v>10.3032</v>
      </c>
      <c r="O202">
        <f>O201*SQRT((N202/N201)^2+(M202/M201)^2)</f>
        <v>0.35108535338694613</v>
      </c>
      <c r="P202">
        <v>0.49001829538380798</v>
      </c>
      <c r="Q202">
        <f>Q201*SQRT((P202/P201)^2+(O202/O201)^2)</f>
        <v>154.23701163418457</v>
      </c>
      <c r="S202">
        <f>S201*(Q202/Q201)</f>
        <v>37.900881048781585</v>
      </c>
    </row>
    <row r="204" spans="2:19" x14ac:dyDescent="0.5">
      <c r="B204" t="s">
        <v>28</v>
      </c>
      <c r="C204">
        <f>161.154/172</f>
        <v>0.93694186046511629</v>
      </c>
      <c r="D204" t="s">
        <v>15</v>
      </c>
      <c r="E204" t="s">
        <v>16</v>
      </c>
      <c r="F204">
        <v>200</v>
      </c>
      <c r="G204">
        <v>2.5</v>
      </c>
      <c r="H204">
        <v>10</v>
      </c>
      <c r="K204">
        <v>10.064</v>
      </c>
      <c r="L204">
        <f>465.252522276151/1149.53</f>
        <v>0.40473282322005605</v>
      </c>
      <c r="M204" s="2">
        <v>29.3705</v>
      </c>
      <c r="N204" s="2">
        <v>24.855799999999999</v>
      </c>
      <c r="O204">
        <f>N204/M204</f>
        <v>0.84628453720569952</v>
      </c>
      <c r="P204">
        <v>439.70294713973999</v>
      </c>
      <c r="Q204">
        <f>P204*O204</f>
        <v>372.11380512813702</v>
      </c>
      <c r="S204">
        <f>Q204/(K204*L204)</f>
        <v>91.355926778558469</v>
      </c>
    </row>
    <row r="205" spans="2:19" x14ac:dyDescent="0.5">
      <c r="K205">
        <f>0.016*K204</f>
        <v>0.161024</v>
      </c>
      <c r="L205">
        <f>L204*(0.487570331354931/434.963760865692)</f>
        <v>4.5368312140503286E-4</v>
      </c>
      <c r="M205" s="2">
        <v>4.30438E-2</v>
      </c>
      <c r="N205" s="2">
        <v>10.372400000000001</v>
      </c>
      <c r="O205">
        <f>O204*SQRT((N205/N204)^2+(M205/M204)^2)</f>
        <v>0.35315925725306241</v>
      </c>
      <c r="P205">
        <v>0.490231593645858</v>
      </c>
      <c r="Q205">
        <f>Q204*SQRT((P205/P204)^2+(O205/O204)^2)</f>
        <v>155.28572043424217</v>
      </c>
      <c r="S205">
        <f>S204*(Q205/Q204)</f>
        <v>38.12347381431146</v>
      </c>
    </row>
  </sheetData>
  <mergeCells count="2">
    <mergeCell ref="M2:N2"/>
    <mergeCell ref="T2:V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Broxton Theo</dc:creator>
  <cp:keywords/>
  <dc:description/>
  <cp:lastModifiedBy>Broxton Theo</cp:lastModifiedBy>
  <cp:revision/>
  <dcterms:created xsi:type="dcterms:W3CDTF">2024-11-07T15:14:32Z</dcterms:created>
  <dcterms:modified xsi:type="dcterms:W3CDTF">2024-11-24T16:15:33Z</dcterms:modified>
  <cp:category/>
  <cp:contentStatus/>
</cp:coreProperties>
</file>