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d679a80baeebce9/Documents/TU-Delft/AE4893 Physics of Planetary interiors/Assignment 1/"/>
    </mc:Choice>
  </mc:AlternateContent>
  <xr:revisionPtr revIDLastSave="1980" documentId="11_F25DC773A252ABDACC104884E99D47E45ADE58EE" xr6:coauthVersionLast="47" xr6:coauthVersionMax="47" xr10:uidLastSave="{B5033B73-2323-4299-BE7E-67F6BA708634}"/>
  <bookViews>
    <workbookView xWindow="-108" yWindow="-108" windowWidth="23256" windowHeight="12456" firstSheet="1" activeTab="2" xr2:uid="{00000000-000D-0000-FFFF-FFFF00000000}"/>
  </bookViews>
  <sheets>
    <sheet name="Misc" sheetId="1" r:id="rId1"/>
    <sheet name="Model 1" sheetId="3" r:id="rId2"/>
    <sheet name="Model 2" sheetId="4" r:id="rId3"/>
    <sheet name="Comparis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15" i="4" l="1" a="1"/>
  <c r="CB15" i="4"/>
  <c r="CB16" i="4" a="1"/>
  <c r="CB16" i="4" s="1"/>
  <c r="CB14" i="4" a="1"/>
  <c r="CB14" i="4" s="1"/>
  <c r="CB18" i="4" a="1"/>
  <c r="CB18" i="4" s="1"/>
  <c r="CB10" i="4" a="1"/>
  <c r="CB10" i="4" s="1"/>
  <c r="CB11" i="4" a="1"/>
  <c r="CB11" i="4"/>
  <c r="CB12" i="4" a="1"/>
  <c r="CB12" i="4"/>
  <c r="CB13" i="4" a="1"/>
  <c r="CB13" i="4"/>
  <c r="CB9" i="4" a="1"/>
  <c r="CB9" i="4"/>
  <c r="CB7" i="4" a="1"/>
  <c r="CB7" i="4"/>
  <c r="CB8" i="4" a="1"/>
  <c r="CB8" i="4" s="1"/>
  <c r="CB6" i="4" a="1"/>
  <c r="CB6" i="4" s="1"/>
  <c r="CB3" i="4" a="1"/>
  <c r="CB3" i="4"/>
  <c r="CB4" i="4" a="1"/>
  <c r="CB4" i="4"/>
  <c r="CB5" i="4" a="1"/>
  <c r="CB5" i="4"/>
  <c r="CB17" i="4" a="1"/>
  <c r="CB17" i="4" s="1"/>
  <c r="BD27" i="4"/>
  <c r="BE27" i="4"/>
  <c r="BG27" i="4"/>
  <c r="BH27" i="4"/>
  <c r="BI27" i="4"/>
  <c r="BJ27" i="4"/>
  <c r="BK27" i="4"/>
  <c r="BL27" i="4"/>
  <c r="BO27" i="4"/>
  <c r="BP27" i="4"/>
  <c r="BD28" i="4"/>
  <c r="BE28" i="4"/>
  <c r="BG28" i="4"/>
  <c r="BH28" i="4"/>
  <c r="BI28" i="4"/>
  <c r="BJ28" i="4"/>
  <c r="BK28" i="4"/>
  <c r="BL28" i="4"/>
  <c r="BO28" i="4"/>
  <c r="BP28" i="4"/>
  <c r="BD29" i="4"/>
  <c r="BE29" i="4"/>
  <c r="BG29" i="4"/>
  <c r="BH29" i="4"/>
  <c r="BI29" i="4"/>
  <c r="BJ29" i="4"/>
  <c r="BK29" i="4"/>
  <c r="BL29" i="4"/>
  <c r="BO29" i="4"/>
  <c r="BP29" i="4"/>
  <c r="BD30" i="4"/>
  <c r="BE30" i="4"/>
  <c r="BG30" i="4"/>
  <c r="BH30" i="4"/>
  <c r="BI30" i="4"/>
  <c r="BJ30" i="4"/>
  <c r="BK30" i="4"/>
  <c r="BL30" i="4"/>
  <c r="BO30" i="4"/>
  <c r="BP30" i="4"/>
  <c r="BD4" i="4"/>
  <c r="BE4" i="4"/>
  <c r="BF4" i="4"/>
  <c r="BH4" i="4"/>
  <c r="BI4" i="4"/>
  <c r="BJ4" i="4"/>
  <c r="BK4" i="4"/>
  <c r="BL4" i="4"/>
  <c r="BM4" i="4"/>
  <c r="BD5" i="4"/>
  <c r="BE5" i="4"/>
  <c r="BE37" i="4" s="1"/>
  <c r="BG5" i="4"/>
  <c r="BG37" i="4" s="1"/>
  <c r="BH5" i="4"/>
  <c r="BH37" i="4" s="1"/>
  <c r="BI5" i="4"/>
  <c r="BI37" i="4" s="1"/>
  <c r="BD6" i="4"/>
  <c r="BE6" i="4"/>
  <c r="BF6" i="4"/>
  <c r="BG6" i="4"/>
  <c r="BH6" i="4"/>
  <c r="BI6" i="4"/>
  <c r="BJ6" i="4"/>
  <c r="BK6" i="4"/>
  <c r="BL6" i="4"/>
  <c r="BP6" i="4"/>
  <c r="BD7" i="4"/>
  <c r="BE7" i="4"/>
  <c r="BE38" i="4" s="1"/>
  <c r="BG7" i="4"/>
  <c r="BG38" i="4" s="1"/>
  <c r="BH7" i="4"/>
  <c r="BH38" i="4" s="1"/>
  <c r="BI7" i="4"/>
  <c r="BI38" i="4" s="1"/>
  <c r="BK7" i="4"/>
  <c r="BK38" i="4" s="1"/>
  <c r="BL7" i="4"/>
  <c r="BL38" i="4" s="1"/>
  <c r="BP7" i="4"/>
  <c r="BP38" i="4" s="1"/>
  <c r="BD8" i="4"/>
  <c r="BE8" i="4"/>
  <c r="BE39" i="4" s="1"/>
  <c r="BF8" i="4"/>
  <c r="BF39" i="4" s="1"/>
  <c r="BG8" i="4"/>
  <c r="BG39" i="4" s="1"/>
  <c r="BH8" i="4"/>
  <c r="BH39" i="4" s="1"/>
  <c r="BI8" i="4"/>
  <c r="BI39" i="4" s="1"/>
  <c r="BJ8" i="4"/>
  <c r="BJ39" i="4" s="1"/>
  <c r="BK8" i="4"/>
  <c r="BK39" i="4" s="1"/>
  <c r="BL8" i="4"/>
  <c r="BL39" i="4" s="1"/>
  <c r="BO8" i="4"/>
  <c r="BO39" i="4" s="1"/>
  <c r="BD9" i="4"/>
  <c r="BF9" i="4"/>
  <c r="BG9" i="4"/>
  <c r="BH9" i="4"/>
  <c r="BI9" i="4"/>
  <c r="BJ9" i="4"/>
  <c r="BK9" i="4"/>
  <c r="BL9" i="4"/>
  <c r="BM9" i="4"/>
  <c r="BO9" i="4"/>
  <c r="BD10" i="4"/>
  <c r="BE10" i="4"/>
  <c r="BE41" i="4" s="1"/>
  <c r="BF10" i="4"/>
  <c r="BF41" i="4" s="1"/>
  <c r="BG10" i="4"/>
  <c r="BG41" i="4" s="1"/>
  <c r="BH10" i="4"/>
  <c r="BH41" i="4" s="1"/>
  <c r="BI10" i="4"/>
  <c r="BI41" i="4" s="1"/>
  <c r="BJ10" i="4"/>
  <c r="BJ41" i="4" s="1"/>
  <c r="BK10" i="4"/>
  <c r="BK41" i="4" s="1"/>
  <c r="BL10" i="4"/>
  <c r="BL41" i="4" s="1"/>
  <c r="BO10" i="4"/>
  <c r="BO41" i="4" s="1"/>
  <c r="BD11" i="4"/>
  <c r="BE11" i="4"/>
  <c r="BE40" i="4" s="1"/>
  <c r="BF11" i="4"/>
  <c r="BF40" i="4" s="1"/>
  <c r="BG11" i="4"/>
  <c r="BG40" i="4" s="1"/>
  <c r="BH11" i="4"/>
  <c r="BH40" i="4" s="1"/>
  <c r="BI11" i="4"/>
  <c r="BI40" i="4" s="1"/>
  <c r="BJ11" i="4"/>
  <c r="BJ40" i="4" s="1"/>
  <c r="BK11" i="4"/>
  <c r="BK40" i="4" s="1"/>
  <c r="BL11" i="4"/>
  <c r="BL40" i="4" s="1"/>
  <c r="BO11" i="4"/>
  <c r="BO40" i="4" s="1"/>
  <c r="BD12" i="4"/>
  <c r="BE12" i="4"/>
  <c r="BF12" i="4"/>
  <c r="BG12" i="4"/>
  <c r="BH12" i="4"/>
  <c r="BI12" i="4"/>
  <c r="BJ12" i="4"/>
  <c r="BK12" i="4"/>
  <c r="BL12" i="4"/>
  <c r="BM12" i="4"/>
  <c r="BO12" i="4"/>
  <c r="BD13" i="4"/>
  <c r="BE13" i="4"/>
  <c r="BE42" i="4" s="1"/>
  <c r="BF13" i="4"/>
  <c r="BF42" i="4" s="1"/>
  <c r="BG13" i="4"/>
  <c r="BG42" i="4" s="1"/>
  <c r="BH13" i="4"/>
  <c r="BH42" i="4" s="1"/>
  <c r="BI13" i="4"/>
  <c r="BI42" i="4" s="1"/>
  <c r="BJ13" i="4"/>
  <c r="BJ42" i="4" s="1"/>
  <c r="BK13" i="4"/>
  <c r="BK42" i="4" s="1"/>
  <c r="BL13" i="4"/>
  <c r="BL42" i="4" s="1"/>
  <c r="BD14" i="4"/>
  <c r="BE14" i="4"/>
  <c r="BF14" i="4"/>
  <c r="BG14" i="4"/>
  <c r="BH14" i="4"/>
  <c r="BI14" i="4"/>
  <c r="BJ14" i="4"/>
  <c r="BK14" i="4"/>
  <c r="BL14" i="4"/>
  <c r="BD15" i="4"/>
  <c r="BE15" i="4"/>
  <c r="BE43" i="4" s="1"/>
  <c r="BF15" i="4"/>
  <c r="BF43" i="4" s="1"/>
  <c r="BH15" i="4"/>
  <c r="BH43" i="4" s="1"/>
  <c r="BI15" i="4"/>
  <c r="BI43" i="4" s="1"/>
  <c r="BJ15" i="4"/>
  <c r="BJ43" i="4" s="1"/>
  <c r="BK15" i="4"/>
  <c r="BK43" i="4" s="1"/>
  <c r="BL15" i="4"/>
  <c r="BL43" i="4" s="1"/>
  <c r="BP15" i="4"/>
  <c r="BP43" i="4" s="1"/>
  <c r="BD16" i="4"/>
  <c r="BE16" i="4"/>
  <c r="BG16" i="4"/>
  <c r="BH16" i="4"/>
  <c r="BI16" i="4"/>
  <c r="BJ16" i="4"/>
  <c r="BK16" i="4"/>
  <c r="BL16" i="4"/>
  <c r="BM16" i="4"/>
  <c r="BO16" i="4"/>
  <c r="BP16" i="4"/>
  <c r="BD17" i="4"/>
  <c r="BE17" i="4"/>
  <c r="BF17" i="4"/>
  <c r="BG17" i="4"/>
  <c r="BH17" i="4"/>
  <c r="BI17" i="4"/>
  <c r="BJ17" i="4"/>
  <c r="BK17" i="4"/>
  <c r="BL17" i="4"/>
  <c r="BP17" i="4"/>
  <c r="BD18" i="4"/>
  <c r="BE18" i="4"/>
  <c r="BG18" i="4"/>
  <c r="BH18" i="4"/>
  <c r="BI18" i="4"/>
  <c r="BJ18" i="4"/>
  <c r="BK18" i="4"/>
  <c r="BL18" i="4"/>
  <c r="BM18" i="4"/>
  <c r="BO18" i="4"/>
  <c r="BP18" i="4"/>
  <c r="BD19" i="4"/>
  <c r="BE19" i="4"/>
  <c r="BG19" i="4"/>
  <c r="BH19" i="4"/>
  <c r="BI19" i="4"/>
  <c r="BJ19" i="4"/>
  <c r="BK19" i="4"/>
  <c r="BL19" i="4"/>
  <c r="BO19" i="4"/>
  <c r="BP19" i="4"/>
  <c r="BD20" i="4"/>
  <c r="BE20" i="4"/>
  <c r="BG20" i="4"/>
  <c r="BH20" i="4"/>
  <c r="BI20" i="4"/>
  <c r="BJ20" i="4"/>
  <c r="BK20" i="4"/>
  <c r="BL20" i="4"/>
  <c r="BO20" i="4"/>
  <c r="BP20" i="4"/>
  <c r="BD21" i="4"/>
  <c r="BE21" i="4"/>
  <c r="BG21" i="4"/>
  <c r="BH21" i="4"/>
  <c r="BI21" i="4"/>
  <c r="BJ21" i="4"/>
  <c r="BK21" i="4"/>
  <c r="BL21" i="4"/>
  <c r="BO21" i="4"/>
  <c r="BP21" i="4"/>
  <c r="BD22" i="4"/>
  <c r="BE22" i="4"/>
  <c r="BG22" i="4"/>
  <c r="BH22" i="4"/>
  <c r="BI22" i="4"/>
  <c r="BJ22" i="4"/>
  <c r="BK22" i="4"/>
  <c r="BL22" i="4"/>
  <c r="BO22" i="4"/>
  <c r="BP22" i="4"/>
  <c r="BD23" i="4"/>
  <c r="BE23" i="4"/>
  <c r="BG23" i="4"/>
  <c r="BH23" i="4"/>
  <c r="BI23" i="4"/>
  <c r="BJ23" i="4"/>
  <c r="BK23" i="4"/>
  <c r="BL23" i="4"/>
  <c r="BO23" i="4"/>
  <c r="BP23" i="4"/>
  <c r="BD24" i="4"/>
  <c r="BE24" i="4"/>
  <c r="BG24" i="4"/>
  <c r="BH24" i="4"/>
  <c r="BI24" i="4"/>
  <c r="BJ24" i="4"/>
  <c r="BK24" i="4"/>
  <c r="BL24" i="4"/>
  <c r="BO24" i="4"/>
  <c r="BP24" i="4"/>
  <c r="BD25" i="4"/>
  <c r="BE25" i="4"/>
  <c r="BG25" i="4"/>
  <c r="BH25" i="4"/>
  <c r="BI25" i="4"/>
  <c r="BJ25" i="4"/>
  <c r="BK25" i="4"/>
  <c r="BL25" i="4"/>
  <c r="BO25" i="4"/>
  <c r="BP25" i="4"/>
  <c r="BD26" i="4"/>
  <c r="BE26" i="4"/>
  <c r="BG26" i="4"/>
  <c r="BH26" i="4"/>
  <c r="BI26" i="4"/>
  <c r="BJ26" i="4"/>
  <c r="BK26" i="4"/>
  <c r="BL26" i="4"/>
  <c r="BO26" i="4"/>
  <c r="BP26" i="4"/>
  <c r="AN12" i="4"/>
  <c r="BP12" i="4" s="1"/>
  <c r="M16" i="4"/>
  <c r="BF16" i="4" s="1"/>
  <c r="M7" i="4"/>
  <c r="BF7" i="4" s="1"/>
  <c r="BF38" i="4" s="1"/>
  <c r="M5" i="4"/>
  <c r="BF5" i="4" s="1"/>
  <c r="BF37" i="4" s="1"/>
  <c r="M18" i="4"/>
  <c r="AC18" i="4" s="1"/>
  <c r="M20" i="4"/>
  <c r="BF20" i="4" s="1"/>
  <c r="M21" i="4"/>
  <c r="S21" i="4" s="1"/>
  <c r="M22" i="4"/>
  <c r="S22" i="4" s="1"/>
  <c r="M23" i="4"/>
  <c r="Y23" i="4" s="1"/>
  <c r="M24" i="4"/>
  <c r="S24" i="4" s="1"/>
  <c r="M25" i="4"/>
  <c r="Y25" i="4" s="1"/>
  <c r="M26" i="4"/>
  <c r="Y26" i="4" s="1"/>
  <c r="M27" i="4"/>
  <c r="S27" i="4" s="1"/>
  <c r="M28" i="4"/>
  <c r="Y28" i="4" s="1"/>
  <c r="M29" i="4"/>
  <c r="Y29" i="4" s="1"/>
  <c r="M30" i="4"/>
  <c r="Y30" i="4" s="1"/>
  <c r="M19" i="4"/>
  <c r="Y19" i="4" s="1"/>
  <c r="AM6" i="4"/>
  <c r="BO6" i="4" s="1"/>
  <c r="AK6" i="4"/>
  <c r="BN6" i="4" s="1"/>
  <c r="AK7" i="4"/>
  <c r="BN7" i="4" s="1"/>
  <c r="BN38" i="4" s="1"/>
  <c r="AK8" i="4"/>
  <c r="BN8" i="4" s="1"/>
  <c r="BN39" i="4" s="1"/>
  <c r="AK10" i="4"/>
  <c r="BN10" i="4" s="1"/>
  <c r="BN41" i="4" s="1"/>
  <c r="AK15" i="4"/>
  <c r="BN15" i="4" s="1"/>
  <c r="BN43" i="4" s="1"/>
  <c r="AK16" i="4"/>
  <c r="BN16" i="4" s="1"/>
  <c r="AK17" i="4"/>
  <c r="BN17" i="4" s="1"/>
  <c r="AK18" i="4"/>
  <c r="BN18" i="4" s="1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6" i="4"/>
  <c r="AC47" i="4"/>
  <c r="AC48" i="4"/>
  <c r="AC52" i="4"/>
  <c r="AC53" i="4"/>
  <c r="AC54" i="4"/>
  <c r="AC55" i="4"/>
  <c r="AC56" i="4"/>
  <c r="AC57" i="4"/>
  <c r="AC58" i="4"/>
  <c r="AC59" i="4"/>
  <c r="AC60" i="4"/>
  <c r="AC61" i="4"/>
  <c r="AC62" i="4"/>
  <c r="AC66" i="4"/>
  <c r="AC67" i="4"/>
  <c r="AC68" i="4"/>
  <c r="AC72" i="4"/>
  <c r="AC73" i="4"/>
  <c r="AC74" i="4"/>
  <c r="AC75" i="4"/>
  <c r="AC76" i="4"/>
  <c r="AC77" i="4"/>
  <c r="AC78" i="4"/>
  <c r="AC79" i="4"/>
  <c r="AC80" i="4"/>
  <c r="AC81" i="4"/>
  <c r="AC82" i="4"/>
  <c r="AC86" i="4"/>
  <c r="Z30" i="4"/>
  <c r="AK30" i="4" s="1"/>
  <c r="BN30" i="4" s="1"/>
  <c r="Z29" i="4"/>
  <c r="AK29" i="4" s="1"/>
  <c r="BN29" i="4" s="1"/>
  <c r="Z28" i="4"/>
  <c r="BM28" i="4" s="1"/>
  <c r="Z27" i="4"/>
  <c r="BM27" i="4" s="1"/>
  <c r="Z26" i="4"/>
  <c r="AK26" i="4" s="1"/>
  <c r="BN26" i="4" s="1"/>
  <c r="Z25" i="4"/>
  <c r="AK25" i="4" s="1"/>
  <c r="BN25" i="4" s="1"/>
  <c r="Z24" i="4"/>
  <c r="AK24" i="4" s="1"/>
  <c r="BN24" i="4" s="1"/>
  <c r="Z23" i="4"/>
  <c r="AK23" i="4" s="1"/>
  <c r="BN23" i="4" s="1"/>
  <c r="Z22" i="4"/>
  <c r="AK22" i="4" s="1"/>
  <c r="BN22" i="4" s="1"/>
  <c r="Z21" i="4"/>
  <c r="AK21" i="4" s="1"/>
  <c r="BN21" i="4" s="1"/>
  <c r="Z20" i="4"/>
  <c r="AK20" i="4" s="1"/>
  <c r="BN20" i="4" s="1"/>
  <c r="Z19" i="4"/>
  <c r="AK19" i="4" s="1"/>
  <c r="BN19" i="4" s="1"/>
  <c r="AN11" i="4"/>
  <c r="BP11" i="4" s="1"/>
  <c r="BP40" i="4" s="1"/>
  <c r="AN13" i="4"/>
  <c r="BP13" i="4" s="1"/>
  <c r="BP42" i="4" s="1"/>
  <c r="AN14" i="4"/>
  <c r="BP14" i="4" s="1"/>
  <c r="AN10" i="4"/>
  <c r="BP10" i="4" s="1"/>
  <c r="BP41" i="4" s="1"/>
  <c r="AN9" i="4"/>
  <c r="BP9" i="4" s="1"/>
  <c r="AN8" i="4"/>
  <c r="BP8" i="4" s="1"/>
  <c r="BP39" i="4" s="1"/>
  <c r="AN5" i="4"/>
  <c r="BP5" i="4" s="1"/>
  <c r="BP37" i="4" s="1"/>
  <c r="AN4" i="4"/>
  <c r="BP4" i="4" s="1"/>
  <c r="AN3" i="4"/>
  <c r="BP3" i="4" s="1"/>
  <c r="BK3" i="4"/>
  <c r="BL3" i="4"/>
  <c r="BE3" i="4"/>
  <c r="BF3" i="4"/>
  <c r="BG3" i="4"/>
  <c r="BH3" i="4"/>
  <c r="BI3" i="4"/>
  <c r="BD3" i="4"/>
  <c r="BJ3" i="4"/>
  <c r="BD2" i="4"/>
  <c r="BH2" i="4"/>
  <c r="BK2" i="4"/>
  <c r="BM2" i="4"/>
  <c r="Y4" i="4"/>
  <c r="AJ14" i="4"/>
  <c r="AI14" i="4"/>
  <c r="AH14" i="4"/>
  <c r="AG14" i="4"/>
  <c r="AF14" i="4"/>
  <c r="AG13" i="4"/>
  <c r="AH13" i="4"/>
  <c r="AI13" i="4"/>
  <c r="AJ13" i="4"/>
  <c r="AF13" i="4"/>
  <c r="AJ12" i="4"/>
  <c r="AI12" i="4"/>
  <c r="AK12" i="4" s="1"/>
  <c r="BN12" i="4" s="1"/>
  <c r="AJ11" i="4"/>
  <c r="AI11" i="4"/>
  <c r="AK11" i="4" s="1"/>
  <c r="BN11" i="4" s="1"/>
  <c r="BN40" i="4" s="1"/>
  <c r="AJ9" i="4"/>
  <c r="AI9" i="4"/>
  <c r="AK9" i="4" s="1"/>
  <c r="BN9" i="4" s="1"/>
  <c r="AJ5" i="4"/>
  <c r="AI5" i="4"/>
  <c r="AH5" i="4"/>
  <c r="AG5" i="4"/>
  <c r="AJ4" i="4"/>
  <c r="AI4" i="4"/>
  <c r="AH4" i="4"/>
  <c r="AG4" i="4"/>
  <c r="AJ3" i="4"/>
  <c r="AI3" i="4"/>
  <c r="AH3" i="4"/>
  <c r="AG3" i="4"/>
  <c r="AL15" i="4"/>
  <c r="AM5" i="4"/>
  <c r="BO5" i="4" s="1"/>
  <c r="BO37" i="4" s="1"/>
  <c r="AM4" i="4"/>
  <c r="BO4" i="4" s="1"/>
  <c r="AM3" i="4"/>
  <c r="BO3" i="4" s="1"/>
  <c r="AM14" i="4"/>
  <c r="BO14" i="4" s="1"/>
  <c r="AM7" i="4"/>
  <c r="BO7" i="4" s="1"/>
  <c r="BO38" i="4" s="1"/>
  <c r="AM17" i="4"/>
  <c r="BO17" i="4" s="1"/>
  <c r="AM13" i="4"/>
  <c r="BO13" i="4" s="1"/>
  <c r="BO42" i="4" s="1"/>
  <c r="Y15" i="4"/>
  <c r="Y6" i="4"/>
  <c r="Y14" i="4"/>
  <c r="Y10" i="4"/>
  <c r="Y8" i="4"/>
  <c r="Y3" i="4"/>
  <c r="Y13" i="4"/>
  <c r="Y11" i="4"/>
  <c r="X5" i="4"/>
  <c r="BL5" i="4" s="1"/>
  <c r="BL37" i="4" s="1"/>
  <c r="W5" i="4"/>
  <c r="BK5" i="4" s="1"/>
  <c r="BK37" i="4" s="1"/>
  <c r="T5" i="4"/>
  <c r="BJ5" i="4" s="1"/>
  <c r="BJ37" i="4" s="1"/>
  <c r="T7" i="4"/>
  <c r="BJ7" i="4" s="1"/>
  <c r="BJ38" i="4" s="1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6" i="4"/>
  <c r="S14" i="4"/>
  <c r="S10" i="4"/>
  <c r="S8" i="4"/>
  <c r="S3" i="4"/>
  <c r="S13" i="4"/>
  <c r="S11" i="4"/>
  <c r="N4" i="4"/>
  <c r="BG4" i="4" s="1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AC43" i="4"/>
  <c r="AC44" i="4"/>
  <c r="AC45" i="4"/>
  <c r="AC49" i="4"/>
  <c r="AC50" i="4"/>
  <c r="AC51" i="4"/>
  <c r="AC63" i="4"/>
  <c r="AC64" i="4"/>
  <c r="AC65" i="4"/>
  <c r="AC69" i="4"/>
  <c r="AC70" i="4"/>
  <c r="AC71" i="4"/>
  <c r="AC83" i="4"/>
  <c r="AC84" i="4"/>
  <c r="AC85" i="4"/>
  <c r="N15" i="4"/>
  <c r="S15" i="4" s="1"/>
  <c r="C9" i="1"/>
  <c r="C10" i="1"/>
  <c r="Z15" i="4"/>
  <c r="BM15" i="4" s="1"/>
  <c r="BM43" i="4" s="1"/>
  <c r="C4" i="1"/>
  <c r="Y17" i="4"/>
  <c r="Z5" i="4"/>
  <c r="BM5" i="4" s="1"/>
  <c r="BM37" i="4" s="1"/>
  <c r="Z7" i="4"/>
  <c r="BM7" i="4" s="1"/>
  <c r="BM38" i="4" s="1"/>
  <c r="L9" i="4"/>
  <c r="BE9" i="4" s="1"/>
  <c r="Z17" i="4"/>
  <c r="BM17" i="4" s="1"/>
  <c r="Z11" i="4"/>
  <c r="AC11" i="4" s="1"/>
  <c r="Z13" i="4"/>
  <c r="AC13" i="4" s="1"/>
  <c r="Z3" i="4"/>
  <c r="AC3" i="4" s="1"/>
  <c r="Z10" i="4"/>
  <c r="AC10" i="4" s="1"/>
  <c r="Z8" i="4"/>
  <c r="AC8" i="4" s="1"/>
  <c r="Z14" i="4"/>
  <c r="AC14" i="4" s="1"/>
  <c r="Z6" i="4"/>
  <c r="AC6" i="4" s="1"/>
  <c r="F7" i="3"/>
  <c r="E7" i="3"/>
  <c r="F6" i="3"/>
  <c r="E6" i="3"/>
  <c r="F5" i="3"/>
  <c r="E5" i="3"/>
  <c r="F4" i="3"/>
  <c r="E4" i="3"/>
  <c r="G24" i="1"/>
  <c r="I4" i="2"/>
  <c r="I5" i="2"/>
  <c r="I6" i="2"/>
  <c r="I7" i="2"/>
  <c r="I8" i="2"/>
  <c r="I9" i="2"/>
  <c r="I10" i="2"/>
  <c r="I11" i="2"/>
  <c r="G4" i="2"/>
  <c r="G5" i="2"/>
  <c r="G6" i="2"/>
  <c r="G7" i="2"/>
  <c r="G8" i="2"/>
  <c r="G9" i="2"/>
  <c r="G10" i="2"/>
  <c r="G11" i="2"/>
  <c r="E4" i="2"/>
  <c r="E5" i="2"/>
  <c r="E6" i="2"/>
  <c r="E7" i="2"/>
  <c r="E8" i="2"/>
  <c r="E9" i="2"/>
  <c r="E10" i="2"/>
  <c r="E11" i="2"/>
  <c r="D11" i="2"/>
  <c r="D10" i="2"/>
  <c r="D9" i="2"/>
  <c r="D8" i="2"/>
  <c r="D7" i="2"/>
  <c r="W56" i="1"/>
  <c r="W49" i="1"/>
  <c r="W42" i="1"/>
  <c r="W35" i="1"/>
  <c r="W28" i="1"/>
  <c r="U27" i="1"/>
  <c r="U34" i="1" s="1"/>
  <c r="U41" i="1" s="1"/>
  <c r="U55" i="1" s="1"/>
  <c r="U48" i="1" s="1"/>
  <c r="U24" i="1"/>
  <c r="U31" i="1" s="1"/>
  <c r="U38" i="1" s="1"/>
  <c r="U52" i="1" s="1"/>
  <c r="U45" i="1" s="1"/>
  <c r="U18" i="1"/>
  <c r="U25" i="1" s="1"/>
  <c r="U32" i="1" s="1"/>
  <c r="U39" i="1" s="1"/>
  <c r="U53" i="1" s="1"/>
  <c r="U46" i="1" s="1"/>
  <c r="D6" i="2"/>
  <c r="D5" i="2"/>
  <c r="D4" i="2"/>
  <c r="F3" i="2"/>
  <c r="D3" i="2"/>
  <c r="BI46" i="4" l="1"/>
  <c r="BH45" i="4"/>
  <c r="BL44" i="4"/>
  <c r="BG45" i="4"/>
  <c r="BG44" i="4"/>
  <c r="BP44" i="4"/>
  <c r="BO44" i="4"/>
  <c r="BP45" i="4"/>
  <c r="BK44" i="4"/>
  <c r="BH46" i="4"/>
  <c r="BG46" i="4"/>
  <c r="BO45" i="4"/>
  <c r="BJ44" i="4"/>
  <c r="BL46" i="4"/>
  <c r="BI44" i="4"/>
  <c r="BK45" i="4"/>
  <c r="BN44" i="4"/>
  <c r="BN46" i="4"/>
  <c r="BN45" i="4"/>
  <c r="BH44" i="4"/>
  <c r="BL45" i="4"/>
  <c r="BJ45" i="4"/>
  <c r="BI45" i="4"/>
  <c r="BP46" i="4"/>
  <c r="BO46" i="4"/>
  <c r="BK46" i="4"/>
  <c r="BJ46" i="4"/>
  <c r="BE45" i="4"/>
  <c r="BE46" i="4"/>
  <c r="BM24" i="4"/>
  <c r="BF18" i="4"/>
  <c r="BM19" i="4"/>
  <c r="BF23" i="4"/>
  <c r="BF21" i="4"/>
  <c r="BF30" i="4"/>
  <c r="BE44" i="4"/>
  <c r="BM29" i="4"/>
  <c r="BF29" i="4"/>
  <c r="BF19" i="4"/>
  <c r="BM14" i="4"/>
  <c r="BM25" i="4"/>
  <c r="BM20" i="4"/>
  <c r="BM10" i="4"/>
  <c r="BM41" i="4" s="1"/>
  <c r="BM8" i="4"/>
  <c r="BM39" i="4" s="1"/>
  <c r="BM30" i="4"/>
  <c r="Y24" i="4"/>
  <c r="BG15" i="4"/>
  <c r="BG43" i="4" s="1"/>
  <c r="Y22" i="4"/>
  <c r="BF25" i="4"/>
  <c r="BF27" i="4"/>
  <c r="BF26" i="4"/>
  <c r="BM22" i="4"/>
  <c r="BF22" i="4"/>
  <c r="BM23" i="4"/>
  <c r="BM26" i="4"/>
  <c r="BM21" i="4"/>
  <c r="BM11" i="4"/>
  <c r="BM40" i="4" s="1"/>
  <c r="BM6" i="4"/>
  <c r="BF28" i="4"/>
  <c r="BF24" i="4"/>
  <c r="BM13" i="4"/>
  <c r="BM42" i="4" s="1"/>
  <c r="AC7" i="4"/>
  <c r="AK3" i="4"/>
  <c r="BN3" i="4" s="1"/>
  <c r="S7" i="4"/>
  <c r="Y7" i="4"/>
  <c r="AC27" i="4"/>
  <c r="AC23" i="4"/>
  <c r="AC28" i="4"/>
  <c r="S23" i="4"/>
  <c r="AC20" i="4"/>
  <c r="Y27" i="4"/>
  <c r="AK28" i="4"/>
  <c r="BN28" i="4" s="1"/>
  <c r="AC29" i="4"/>
  <c r="S29" i="4"/>
  <c r="S28" i="4"/>
  <c r="AM15" i="4"/>
  <c r="BO15" i="4" s="1"/>
  <c r="BO43" i="4" s="1"/>
  <c r="Y20" i="4"/>
  <c r="S30" i="4"/>
  <c r="AC30" i="4"/>
  <c r="AC5" i="4"/>
  <c r="AC19" i="4"/>
  <c r="S20" i="4"/>
  <c r="S5" i="4"/>
  <c r="AK27" i="4"/>
  <c r="BN27" i="4" s="1"/>
  <c r="AK5" i="4"/>
  <c r="BN5" i="4" s="1"/>
  <c r="BN37" i="4" s="1"/>
  <c r="AK4" i="4"/>
  <c r="BN4" i="4" s="1"/>
  <c r="S16" i="4"/>
  <c r="AC16" i="4"/>
  <c r="Y16" i="4"/>
  <c r="Y21" i="4"/>
  <c r="AC24" i="4"/>
  <c r="S26" i="4"/>
  <c r="S25" i="4"/>
  <c r="AC25" i="4"/>
  <c r="AC26" i="4"/>
  <c r="S19" i="4"/>
  <c r="AK13" i="4"/>
  <c r="BN13" i="4" s="1"/>
  <c r="BN42" i="4" s="1"/>
  <c r="AK14" i="4"/>
  <c r="BN14" i="4" s="1"/>
  <c r="AC22" i="4"/>
  <c r="AC12" i="4"/>
  <c r="AC21" i="4"/>
  <c r="BM3" i="4"/>
  <c r="AC4" i="4"/>
  <c r="AC17" i="4"/>
  <c r="Y5" i="4"/>
  <c r="Y12" i="4"/>
  <c r="AC9" i="4"/>
  <c r="AC15" i="4"/>
  <c r="S12" i="4"/>
  <c r="S17" i="4"/>
  <c r="Y9" i="4"/>
  <c r="S9" i="4"/>
  <c r="S4" i="4"/>
  <c r="Y19" i="1"/>
  <c r="V4" i="1"/>
  <c r="V5" i="1"/>
  <c r="I9" i="1"/>
  <c r="I8" i="1"/>
  <c r="H8" i="1"/>
  <c r="H9" i="1"/>
  <c r="H5" i="1"/>
  <c r="BF44" i="4" l="1"/>
  <c r="BF45" i="4"/>
  <c r="BF46" i="4"/>
  <c r="BM44" i="4"/>
  <c r="BM46" i="4"/>
  <c r="BM4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tc={E3B10A92-DB8E-4170-8E74-37B8D0C093D5}</author>
    <author>tc={1CC8DC0F-3359-4336-B7B2-5952B8F39EE5}</author>
    <author>tc={C2F3AA92-BC50-44BE-8D4D-9BD83BCA0B02}</author>
    <author>tc={7E91B8AF-68AC-47B0-A795-63B6EA32BC30}</author>
    <author>tc={FFD5AB3D-82A9-41E0-8E77-7DE52B9EB1CF}</author>
    <author>tc={E6DD188C-D63D-4948-8A66-112010C126AB}</author>
    <author>tc={CEFA502C-A25B-4A1A-B54A-D27D2DE69D11}</author>
    <author>tc={840DFC3E-6954-4DEA-B2E5-D584D1737C6C}</author>
    <author>tc={A0BB71AD-DA9B-4B21-AA48-32AE51263C81}</author>
    <author>tc={F2B0829F-DD79-49D7-878B-377444A9D276}</author>
    <author>tc={00800C2E-3B9C-4FCC-B04E-F849935BC5C9}</author>
    <author>tc={60341D0E-D1E2-4F81-AB43-EA0DAFAC801F}</author>
    <author>tc={F145C767-43A3-44D9-88CA-0C57BC49F687}</author>
  </authors>
  <commentList>
    <comment ref="U26" authorId="0" shapeId="0" xr:uid="{E3B10A92-DB8E-4170-8E74-37B8D0C093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26" authorId="1" shapeId="0" xr:uid="{1CC8DC0F-3359-4336-B7B2-5952B8F39E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33" authorId="2" shapeId="0" xr:uid="{C2F3AA92-BC50-44BE-8D4D-9BD83BCA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33" authorId="3" shapeId="0" xr:uid="{7E91B8AF-68AC-47B0-A795-63B6EA32BC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34" authorId="4" shapeId="0" xr:uid="{FFD5AB3D-82A9-41E0-8E77-7DE52B9EB1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40" authorId="5" shapeId="0" xr:uid="{E6DD188C-D63D-4948-8A66-112010C126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40" authorId="6" shapeId="0" xr:uid="{CEFA502C-A25B-4A1A-B54A-D27D2DE69D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41" authorId="7" shapeId="0" xr:uid="{840DFC3E-6954-4DEA-B2E5-D584D1737C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47" authorId="8" shapeId="0" xr:uid="{A0BB71AD-DA9B-4B21-AA48-32AE51263C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47" authorId="9" shapeId="0" xr:uid="{F2B0829F-DD79-49D7-878B-377444A9D276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W48" authorId="10" shapeId="0" xr:uid="{00800C2E-3B9C-4FCC-B04E-F849935BC5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  <comment ref="U54" authorId="11" shapeId="0" xr:uid="{60341D0E-D1E2-4F81-AB43-EA0DAFAC80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xs=0.05 on Fig3</t>
      </text>
    </comment>
    <comment ref="W55" authorId="12" shapeId="0" xr:uid="{F145C767-43A3-44D9-88CA-0C57BC49F6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from Fig2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tc={91E93BB4-D24B-44A9-BC8E-33A4A5980A66}</author>
    <author>tc={2D35EE36-F1FC-4502-AC03-5730947D8553}</author>
    <author>tc={86A23C69-04FB-40BC-A21E-D5C4BEDA53A8}</author>
    <author>tc={A2578296-FC2C-46E2-9A8E-907DD0DC960C}</author>
    <author>tc={8191273A-7E0A-4D69-9236-58AD91178CBE}</author>
  </authors>
  <commentList>
    <comment ref="AF6" authorId="0" shapeId="0" xr:uid="{91E93BB4-D24B-44A9-BC8E-33A4A5980A66}">
      <text>
        <t>[Threaded comment]
Your version of Excel allows you to read this threaded comment; however, any edits to it will get removed if the file is opened in a newer version of Excel. Learn more: https://go.microsoft.com/fwlink/?linkid=870924
Comment:
    298-1809</t>
      </text>
    </comment>
    <comment ref="AF8" authorId="1" shapeId="0" xr:uid="{2D35EE36-F1FC-4502-AC03-5730947D8553}">
      <text>
        <t>[Threaded comment]
Your version of Excel allows you to read this threaded comment; however, any edits to it will get removed if the file is opened in a newer version of Excel. Learn more: https://go.microsoft.com/fwlink/?linkid=870924
Comment:
    598-1463</t>
      </text>
    </comment>
    <comment ref="AF10" authorId="2" shapeId="0" xr:uid="{86A23C69-04FB-40BC-A21E-D5C4BEDA53A8}">
      <text>
        <t>[Threaded comment]
Your version of Excel allows you to read this threaded comment; however, any edits to it will get removed if the file is opened in a newer version of Excel. Learn more: https://go.microsoft.com/fwlink/?linkid=870924
Comment:
    598-1463</t>
      </text>
    </comment>
    <comment ref="AT15" authorId="3" shapeId="0" xr:uid="{A2578296-FC2C-46E2-9A8E-907DD0DC9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Fused silica</t>
      </text>
    </comment>
    <comment ref="AF17" authorId="4" shapeId="0" xr:uid="{8191273A-7E0A-4D69-9236-58AD91178CBE}">
      <text>
        <t>[Threaded comment]
Your version of Excel allows you to read this threaded comment; however, any edits to it will get removed if the file is opened in a newer version of Excel. Learn more: https://go.microsoft.com/fwlink/?linkid=870924
Comment:
    298-1809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<sst xmlns="http://schemas.openxmlformats.org/spreadsheetml/2006/main" count="392" uniqueCount="199">
  <si>
    <t>Planet</t>
  </si>
  <si>
    <t>Radius [km]</t>
  </si>
  <si>
    <t>Mass [kg]</t>
  </si>
  <si>
    <t>Density [kg/m3]</t>
  </si>
  <si>
    <t>Mercury</t>
  </si>
  <si>
    <t>I/MR2</t>
  </si>
  <si>
    <t>gravity [m/s2]</t>
  </si>
  <si>
    <t>temperature [K]</t>
  </si>
  <si>
    <t>composition</t>
  </si>
  <si>
    <t>Moment of Inertia [kgm4]</t>
  </si>
  <si>
    <t>Source 1</t>
  </si>
  <si>
    <t>Source 2</t>
  </si>
  <si>
    <t>Source 3</t>
  </si>
  <si>
    <t>value</t>
  </si>
  <si>
    <t>uncertainty</t>
  </si>
  <si>
    <t>C20</t>
  </si>
  <si>
    <t>C22</t>
  </si>
  <si>
    <t>Rotation period [days]</t>
  </si>
  <si>
    <t>pressure [GPa]</t>
  </si>
  <si>
    <t>Composition</t>
  </si>
  <si>
    <t>Fe-S or Fe-Si</t>
  </si>
  <si>
    <t>Source 4</t>
  </si>
  <si>
    <t>https://www.sciencedirect.com/science/article/pii/S0032063301000939</t>
  </si>
  <si>
    <t>https://agupubs.onlinelibrary.wiley.com/doi/full/10.1002/2015JE004908</t>
  </si>
  <si>
    <t>https://www.sciencedirect.com/science/article/pii/S001910350800448X</t>
  </si>
  <si>
    <t>https://agupubs.onlinelibrary.wiley.com/doi/10.1029/2007GL030793</t>
  </si>
  <si>
    <t>unc.</t>
  </si>
  <si>
    <t>Layer</t>
  </si>
  <si>
    <t>Silicate shell</t>
  </si>
  <si>
    <t>mantle</t>
  </si>
  <si>
    <t>core</t>
  </si>
  <si>
    <t>see Fig2 for 6 models</t>
  </si>
  <si>
    <t>Model</t>
  </si>
  <si>
    <t>Mass</t>
  </si>
  <si>
    <t>homogeneous</t>
  </si>
  <si>
    <t>Density</t>
  </si>
  <si>
    <t>1915-2080</t>
  </si>
  <si>
    <t>2880-3680</t>
  </si>
  <si>
    <t>&lt;14wt%Fe-Si</t>
  </si>
  <si>
    <t>8000-3350</t>
  </si>
  <si>
    <t>surface</t>
  </si>
  <si>
    <t>silicate shell</t>
  </si>
  <si>
    <t>outer core</t>
  </si>
  <si>
    <t>inner core</t>
  </si>
  <si>
    <t>1850+-3%</t>
  </si>
  <si>
    <t>S1 simple</t>
  </si>
  <si>
    <t>S1 complex</t>
  </si>
  <si>
    <t>8000-5450-3590</t>
  </si>
  <si>
    <t>dM</t>
  </si>
  <si>
    <t>layer</t>
  </si>
  <si>
    <t>CMB</t>
  </si>
  <si>
    <t>1985-2090</t>
  </si>
  <si>
    <t>1274-1300-1380-1454-1543-1960</t>
  </si>
  <si>
    <t>S8.9%-Si25%-S2.8%/Si8.5%-S8.9%/Si25%</t>
  </si>
  <si>
    <t>dependin on pressure and comp</t>
  </si>
  <si>
    <t>2900 or 3300</t>
  </si>
  <si>
    <t>1828-2200</t>
  </si>
  <si>
    <t>FC</t>
  </si>
  <si>
    <t>EC</t>
  </si>
  <si>
    <t>MC</t>
  </si>
  <si>
    <t>MA</t>
  </si>
  <si>
    <t>TS</t>
  </si>
  <si>
    <t>S3 FC</t>
  </si>
  <si>
    <t>8000-3700-3400-2900</t>
  </si>
  <si>
    <t>S3 MA</t>
  </si>
  <si>
    <t>8000-3420-3320-2900</t>
  </si>
  <si>
    <t>S3 TS</t>
  </si>
  <si>
    <t>8000-3520-3360-2900</t>
  </si>
  <si>
    <t>S3 MC</t>
  </si>
  <si>
    <t>8000-3390-3280-2900</t>
  </si>
  <si>
    <t>S3 EC</t>
  </si>
  <si>
    <t>8000-3250-3090-2900</t>
  </si>
  <si>
    <t>error</t>
  </si>
  <si>
    <t>reference</t>
  </si>
  <si>
    <t>Rp</t>
  </si>
  <si>
    <t>density_mantle</t>
  </si>
  <si>
    <t>density_core</t>
  </si>
  <si>
    <t>radius_mantle/core</t>
  </si>
  <si>
    <t>model</t>
  </si>
  <si>
    <t>D_MOI [%]</t>
  </si>
  <si>
    <t>D_M [%]</t>
  </si>
  <si>
    <t>material</t>
  </si>
  <si>
    <t>a [1/K]</t>
  </si>
  <si>
    <t>K [GPa]</t>
  </si>
  <si>
    <t>rho_0 [kg/m3]</t>
  </si>
  <si>
    <t>Fe,sol</t>
  </si>
  <si>
    <t>Fe-Si(17wt%), sol</t>
  </si>
  <si>
    <t>Fe-S(V), sol</t>
  </si>
  <si>
    <t>Fe-3S, sol</t>
  </si>
  <si>
    <t>Fe,liq</t>
  </si>
  <si>
    <t>Fe-Si(17wt%), liq</t>
  </si>
  <si>
    <t>Fe-S,liq</t>
  </si>
  <si>
    <t>sulfur fraction X_s</t>
  </si>
  <si>
    <t>y-Fe</t>
  </si>
  <si>
    <t>T</t>
  </si>
  <si>
    <t>p</t>
  </si>
  <si>
    <t>Fe-S(10wt%)</t>
  </si>
  <si>
    <t>Cp [J/Kkg]</t>
  </si>
  <si>
    <t>R_min</t>
  </si>
  <si>
    <t>R_max</t>
  </si>
  <si>
    <t>Silicate Shell</t>
  </si>
  <si>
    <t>rho_0</t>
  </si>
  <si>
    <t>Rp-ts</t>
  </si>
  <si>
    <t>Mantle</t>
  </si>
  <si>
    <t>R_CMB</t>
  </si>
  <si>
    <t>Inner Core</t>
  </si>
  <si>
    <t>R_ICB</t>
  </si>
  <si>
    <t>Outer Core</t>
  </si>
  <si>
    <t>state</t>
  </si>
  <si>
    <t>sol</t>
  </si>
  <si>
    <t>liq</t>
  </si>
  <si>
    <t>thermal</t>
  </si>
  <si>
    <t>iso</t>
  </si>
  <si>
    <t>adia</t>
  </si>
  <si>
    <t>conv</t>
  </si>
  <si>
    <t>Tss</t>
  </si>
  <si>
    <t>C</t>
  </si>
  <si>
    <t>T0C</t>
  </si>
  <si>
    <t>Tsn</t>
  </si>
  <si>
    <t>k</t>
  </si>
  <si>
    <t>dK/dp [-]</t>
  </si>
  <si>
    <t>dK/dT</t>
  </si>
  <si>
    <t>K_0 [Gpa]</t>
  </si>
  <si>
    <t>T_ref [K]</t>
  </si>
  <si>
    <t>p_ref [Gpa]</t>
  </si>
  <si>
    <t>dK/dXs</t>
  </si>
  <si>
    <t>dK/dXs^2</t>
  </si>
  <si>
    <t>drho/dp</t>
  </si>
  <si>
    <t>drho/dT</t>
  </si>
  <si>
    <t>drho/dXs</t>
  </si>
  <si>
    <t>drho/dXs^2</t>
  </si>
  <si>
    <t>rho [kg/m3]</t>
  </si>
  <si>
    <t>a_0</t>
  </si>
  <si>
    <t>da/dT</t>
  </si>
  <si>
    <t>da/dp</t>
  </si>
  <si>
    <t>https://www.sciencedirect.com/science/article/pii/S0012821X14001344#:~:text=The%20values%20for%20the%20electrical,Earth's%20centre%20pressure%E2%80%93temperature%20conditions.</t>
  </si>
  <si>
    <t>k [W/mK]</t>
  </si>
  <si>
    <t>https://www.pnas.org/doi/full/10.1073/pnas.2119001119</t>
  </si>
  <si>
    <t>https://agupubs.onlinelibrary.wiley.com/doi/full/10.1029/2019JE005979</t>
  </si>
  <si>
    <t>https://www.researchgate.net/publication/343646279_Reconciliation_of_Experiments_and_Theory_on_Transport_Properties_of_Iron_and_the_Geodynamo</t>
  </si>
  <si>
    <t>ⲕ [Wm2/J]</t>
  </si>
  <si>
    <t>https://webbook.nist.gov/cgi/cbook.cgi?ID=C7439896&amp;Units=SI&amp;Mask=2#Thermo-Condensed</t>
  </si>
  <si>
    <t>Cp_A</t>
  </si>
  <si>
    <t>Cp_B</t>
  </si>
  <si>
    <t>Cp_C</t>
  </si>
  <si>
    <t>Cp_D</t>
  </si>
  <si>
    <t>Cp_E</t>
  </si>
  <si>
    <t>Mw [g/mol]</t>
  </si>
  <si>
    <t>Si,sol</t>
  </si>
  <si>
    <t>source main</t>
  </si>
  <si>
    <t>source k</t>
  </si>
  <si>
    <t>source Cp</t>
  </si>
  <si>
    <t>https://webbook.nist.gov/cgi/cbook.cgi?ID=C1317960&amp;Units=SI&amp;Mask=2#Thermo-Condensed</t>
  </si>
  <si>
    <t>https://webbook.nist.gov/cgi/cbook.cgi?ID=C7440213&amp;Units=SI&amp;Mask=2#Thermo-Condensed</t>
  </si>
  <si>
    <t>T_ref</t>
  </si>
  <si>
    <t>p_ref</t>
  </si>
  <si>
    <t>drho/dXs2</t>
  </si>
  <si>
    <t>K_0</t>
  </si>
  <si>
    <t>dK/dXs2</t>
  </si>
  <si>
    <t>Fe3S,sol</t>
  </si>
  <si>
    <t>FeS,liq</t>
  </si>
  <si>
    <t>FeSi,liq</t>
  </si>
  <si>
    <t>FeSV,sol</t>
  </si>
  <si>
    <t>visc [mPas]</t>
  </si>
  <si>
    <t>ICB</t>
  </si>
  <si>
    <t>mcB</t>
  </si>
  <si>
    <t>surf</t>
  </si>
  <si>
    <t>R</t>
  </si>
  <si>
    <t>(NASA) 93.15-703.15</t>
  </si>
  <si>
    <t>CMB=OLB</t>
  </si>
  <si>
    <t>(1,P14) 2400
(2,P4) 0-CMB</t>
  </si>
  <si>
    <t>(1,P14) 1915-1965,1973-2025,2025-2080
(2,P4) 1700-2200 (2,P4) 1750-2300</t>
  </si>
  <si>
    <t>(1,P16) 1650-2250
(2,P4) 1600-2000</t>
  </si>
  <si>
    <t>(3,P1) 2438-2440</t>
  </si>
  <si>
    <t>(3,P4) surf-100km</t>
  </si>
  <si>
    <t>crust</t>
  </si>
  <si>
    <t>ol</t>
  </si>
  <si>
    <t>opx</t>
  </si>
  <si>
    <t>Capx</t>
  </si>
  <si>
    <t>gt</t>
  </si>
  <si>
    <t>an</t>
  </si>
  <si>
    <t>sp</t>
  </si>
  <si>
    <t>ky</t>
  </si>
  <si>
    <t>coe</t>
  </si>
  <si>
    <t>cor</t>
  </si>
  <si>
    <t>q</t>
  </si>
  <si>
    <t>per</t>
  </si>
  <si>
    <t>merw</t>
  </si>
  <si>
    <t>y=a*Ks/rho*Cp</t>
  </si>
  <si>
    <t>assumed STP if not specified</t>
  </si>
  <si>
    <t>visc</t>
  </si>
  <si>
    <t>Cp</t>
  </si>
  <si>
    <t>M</t>
  </si>
  <si>
    <t>MOI</t>
  </si>
  <si>
    <t>Im/I</t>
  </si>
  <si>
    <t>variables</t>
  </si>
  <si>
    <t>constraints</t>
  </si>
  <si>
    <t>XS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</si>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</sst>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11" fontId="0" fillId="0" borderId="0" xfId="0" applyNumberFormat="1"/>
    <xf numFmtId="3" fontId="0" fillId="0" borderId="0" xfId="0" applyNumberFormat="1"/>
    <xf numFmtId="0" fontId="2" fillId="2" borderId="1" xfId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1" applyAlignment="1"/>
    <xf numFmtId="0" fontId="2" fillId="0" borderId="0" xfId="1" applyNumberForma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53"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numFmt numFmtId="164" formatCode="0.00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font>
        <b val="0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éo Huegens" id="{03F2EC2F-3DA1-4A05-96ED-691ABB818168}" userId="1d679a80baeebce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65FC31-6702-4566-ADE5-ADE5FFA75DDD}" name="material" displayName="material" ref="K2:AT86" totalsRowShown="0" headerRowDxfId="52" dataDxfId="51">
  <autoFilter ref="K2:AT86" xr:uid="{BF65FC31-6702-4566-ADE5-ADE5FFA75DDD}"/>
  <sortState xmlns:xlrd2="http://schemas.microsoft.com/office/spreadsheetml/2017/richdata2" ref="K3:AR86">
    <sortCondition ref="K2:K86"/>
  </sortState>
  <tableColumns count="36">
    <tableColumn id="1" xr3:uid="{1B98692B-634C-4F51-A900-B7024BCBC09D}" name="material" dataDxfId="50"/>
    <tableColumn id="4" xr3:uid="{841F6F3C-254E-4482-8C84-0609DC01F73E}" name="T_ref [K]" dataDxfId="49"/>
    <tableColumn id="18" xr3:uid="{1245EB64-DE04-4BCF-BDD4-70AE4F53C61E}" name="p_ref [Gpa]" dataDxfId="48"/>
    <tableColumn id="2" xr3:uid="{36153623-9E05-422D-BAE5-513029D35D9F}" name="rho_0 [kg/m3]" dataDxfId="47"/>
    <tableColumn id="21" xr3:uid="{74B1D8BB-18BE-4045-AE06-2CD8402662D7}" name="drho/dp" dataDxfId="46"/>
    <tableColumn id="22" xr3:uid="{187C089E-B5BE-4083-B3EC-CF93D102BA04}" name="drho/dT" dataDxfId="45"/>
    <tableColumn id="23" xr3:uid="{90AB4800-EDD3-45D3-98C3-6A06ACC9A83D}" name="drho/dXs" dataDxfId="44"/>
    <tableColumn id="24" xr3:uid="{29159357-3C41-433F-B839-3486FF59618E}" name="drho/dXs^2" dataDxfId="43"/>
    <tableColumn id="25" xr3:uid="{BB23D41A-2852-4F92-B87B-88516AA7779E}" name="rho [kg/m3]" dataDxfId="42">
      <calculatedColumnFormula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calculatedColumnFormula>
    </tableColumn>
    <tableColumn id="15" xr3:uid="{ACB2119A-B979-4157-8D48-9B5BA7F384F5}" name="K_0 [Gpa]" dataDxfId="41"/>
    <tableColumn id="16" xr3:uid="{F8861770-DC2F-4760-B573-DC21F4F56BA0}" name="dK/dT" dataDxfId="40"/>
    <tableColumn id="17" xr3:uid="{B375691A-C57D-4D60-93CD-8DEA4647B824}" name="dK/dp [-]" dataDxfId="39"/>
    <tableColumn id="19" xr3:uid="{CED06CE3-CE9C-4B07-920C-4AD340B51B66}" name="dK/dXs" dataDxfId="38"/>
    <tableColumn id="20" xr3:uid="{EDE04AD8-D6DE-49EC-88ED-A5CEC27FDBFC}" name="dK/dXs^2" dataDxfId="37"/>
    <tableColumn id="5" xr3:uid="{C5DC8E3B-A1FE-4832-9988-B9954304A047}" name="K [GPa]" dataDxfId="36"/>
    <tableColumn id="26" xr3:uid="{E7874313-8A3A-4121-B7BD-423BC0F1E6D9}" name="a_0" dataDxfId="35"/>
    <tableColumn id="28" xr3:uid="{C3F791C5-85E9-4B7B-89F6-90914A9134A2}" name="da/dp" dataDxfId="34"/>
    <tableColumn id="27" xr3:uid="{A03E8929-A300-4EEB-8082-31CA7F90D5AD}" name="da/dT" dataDxfId="33"/>
    <tableColumn id="6" xr3:uid="{351AC9EE-C208-480F-8EF6-F47B750BB2B4}" name="a [1/K]" dataDxfId="32"/>
    <tableColumn id="8" xr3:uid="{10930BA0-188A-4653-94E8-896E5C8DB898}" name="y=a*Ks/rho*Cp" dataDxfId="31"/>
    <tableColumn id="35" xr3:uid="{15F7EA3B-DABA-48BE-A9DB-9FD76AD697E2}" name="Mw [g/mol]" dataDxfId="30"/>
    <tableColumn id="30" xr3:uid="{3D81A94E-9420-4E21-8908-6C324D35572A}" name="Cp_A" dataDxfId="29"/>
    <tableColumn id="31" xr3:uid="{6DC3A222-69E0-474E-8C9A-440E489B39FB}" name="Cp_B" dataDxfId="28"/>
    <tableColumn id="32" xr3:uid="{1E190450-7CA0-4F87-9518-B09781635525}" name="Cp_C" dataDxfId="27"/>
    <tableColumn id="33" xr3:uid="{A75928C8-D65F-488E-8518-8C3D1BB6290B}" name="Cp_D" dataDxfId="26"/>
    <tableColumn id="34" xr3:uid="{DD6B6747-F9FE-4A30-A2AB-36852AE00F17}" name="Cp_E" dataDxfId="25"/>
    <tableColumn id="7" xr3:uid="{63E9A5AC-C005-4F17-B383-8AF4DB590C85}" name="Cp [J/Kkg]" dataDxfId="24">
      <calculatedColumnFormula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'[Gpa']]]*1000000000)/(N2*material[[#This Row],[y=a*Ks/rho*Cp]]),
material[[#This Row],[Cp_A]])),
0)</calculatedColumnFormula>
    </tableColumn>
    <tableColumn id="29" xr3:uid="{F590E008-C03B-4B97-A6CE-B2876E29A856}" name="ⲕ [Wm2/J]" dataDxfId="23"/>
    <tableColumn id="13" xr3:uid="{CA958B19-34DB-4FEB-BF9E-312F11D6B9AA}" name="k [W/mK]" dataDxfId="22"/>
    <tableColumn id="3" xr3:uid="{8A5458BA-9BA0-4126-9202-B6C4DBE74AC2}" name="visc [mPas]" dataDxfId="21"/>
    <tableColumn id="9" xr3:uid="{B3920B6E-0E8E-4E6F-89C3-F92C9938E5F0}" name="sulfur fraction X_s" dataDxfId="20"/>
    <tableColumn id="10" xr3:uid="{8BAA66F5-461E-4E7F-8B1B-C20AB501D511}" name="T" dataDxfId="19"/>
    <tableColumn id="11" xr3:uid="{498C9E02-2F3F-4139-9A6D-12BA40CBC396}" name="p" dataDxfId="18"/>
    <tableColumn id="12" xr3:uid="{D1E7BAD6-ABD4-4ECB-9E22-128C5696B294}" name="source main" dataDxfId="17"/>
    <tableColumn id="36" xr3:uid="{F2AB54F3-414C-4546-A79A-57DA57508A40}" name="source k" dataDxfId="16"/>
    <tableColumn id="37" xr3:uid="{154CCA94-450A-4F15-908D-443EAF09A6F6}" name="source Cp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F1A08-01C1-40CD-AC6F-3944D8A44656}" name="MatExport" displayName="MatExport" ref="BD36:BP46" totalsRowShown="0" headerRowDxfId="14" dataDxfId="13">
  <autoFilter ref="BD36:BP46" xr:uid="{0E3F1A08-01C1-40CD-AC6F-3944D8A44656}"/>
  <tableColumns count="13">
    <tableColumn id="1" xr3:uid="{A2D25CE6-A07A-48AF-8F72-50E07A739867}" name="material" dataDxfId="12"/>
    <tableColumn id="2" xr3:uid="{87075347-C55C-46BC-9E21-72D6C258C86C}" name="T_ref" dataDxfId="11"/>
    <tableColumn id="3" xr3:uid="{F3C4C693-D2B6-4FAB-8352-E744699BD2AA}" name="p_ref" dataDxfId="10"/>
    <tableColumn id="4" xr3:uid="{A4B46884-73B0-4BE7-A5E0-84AFC2592ED6}" name="rho_0" dataDxfId="9"/>
    <tableColumn id="7" xr3:uid="{149DA2E8-A7BC-4D2C-9CFD-DCC1668FEF19}" name="drho/dXs" dataDxfId="8"/>
    <tableColumn id="8" xr3:uid="{92CA4F6E-DBED-46A8-8E9C-EC51E330CE51}" name="drho/dXs2" dataDxfId="7"/>
    <tableColumn id="9" xr3:uid="{1C3A1AB5-200D-4DC8-88FA-BD2E5EF2E16B}" name="K_0" dataDxfId="6"/>
    <tableColumn id="12" xr3:uid="{DDB69104-9DEF-494A-B067-34974528BD4C}" name="dK/dXs" dataDxfId="5"/>
    <tableColumn id="13" xr3:uid="{AE7842B3-2500-4557-B64E-703873BE8F6A}" name="dK/dXs2" dataDxfId="4"/>
    <tableColumn id="14" xr3:uid="{4CD84630-7BDD-4F29-A885-16D0F45422E4}" name="a_0" dataDxfId="3"/>
    <tableColumn id="6" xr3:uid="{C4C09237-48D4-4289-ABB3-A163F2D1DFAA}" name="Cp" dataDxfId="2"/>
    <tableColumn id="23" xr3:uid="{A561CE3F-A508-421F-879B-B9BEEB375564}" name="k" dataDxfId="1"/>
    <tableColumn id="5" xr3:uid="{B9B4E150-DE22-41D8-9FCF-B8A1B0C3A315}" name="visc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CAB21-40BD-4BB7-864D-B6CBE1B9C792}" name="Table3" displayName="Table3" ref="BT2:CB18" totalsRowShown="0">
  <autoFilter ref="BT2:CB18" xr:uid="{024CAB21-40BD-4BB7-864D-B6CBE1B9C792}"/>
  <sortState xmlns:xlrd2="http://schemas.microsoft.com/office/spreadsheetml/2017/richdata2" ref="BT3:CB18">
    <sortCondition ref="CB2:CB18"/>
  </sortState>
  <tableColumns count="9">
    <tableColumn id="1" xr3:uid="{909CBAB4-B3FB-414F-887F-6770287A395C}" name="core"/>
    <tableColumn id="2" xr3:uid="{99395A69-8834-4EB8-828E-1BCEE816D80B}" name="mantle"/>
    <tableColumn id="3" xr3:uid="{9D07D291-81BD-4C77-B926-2F035DE5B408}" name="R_ICB"/>
    <tableColumn id="4" xr3:uid="{EF2D6691-D542-460E-A8D2-4883B6435F4A}" name="R_CMB"/>
    <tableColumn id="5" xr3:uid="{C42D8B4C-3140-4999-8677-F1B620F2CE72}" name="XS"/>
    <tableColumn id="6" xr3:uid="{F0504773-5DF3-460C-B2FB-52E75DBB4F14}" name="M"/>
    <tableColumn id="7" xr3:uid="{65301E90-C7C2-4397-8523-4F879F36E9D8}" name="MOI"/>
    <tableColumn id="8" xr3:uid="{46DAE80A-CC77-49E5-BC08-83E237D19549}" name="Im/I"/>
    <tableColumn id="9" xr3:uid="{7B70BC7C-B8B8-44E1-AA2D-5E87FF494EE5}" name="err">
      <calculatedColumnFormula array="1">SUM(ABS(BY3:CA3))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6" dT="2024-04-30T15:19:22.86" personId="{03F2EC2F-3DA1-4A05-96ED-691ABB818168}" id="{E3B10A92-DB8E-4170-8E74-37B8D0C093D5}">
    <text>Read from xs=0.05 on Fig3</text>
  </threadedComment>
  <threadedComment ref="W26" dT="2024-04-30T15:24:13.23" personId="{03F2EC2F-3DA1-4A05-96ED-691ABB818168}" id="{1CC8DC0F-3359-4336-B7B2-5952B8F39EE5}">
    <text>Read from Fig2</text>
  </threadedComment>
  <threadedComment ref="U33" dT="2024-04-30T15:19:22.86" personId="{03F2EC2F-3DA1-4A05-96ED-691ABB818168}" id="{C2F3AA92-BC50-44BE-8D4D-9BD83BCA0B02}">
    <text>Read from xs=0.05 on Fig3</text>
  </threadedComment>
  <threadedComment ref="W33" dT="2024-04-30T15:24:13.23" personId="{03F2EC2F-3DA1-4A05-96ED-691ABB818168}" id="{7E91B8AF-68AC-47B0-A795-63B6EA32BC30}">
    <text>Read from Fig2</text>
  </threadedComment>
  <threadedComment ref="W34" dT="2024-04-30T15:24:13.23" personId="{03F2EC2F-3DA1-4A05-96ED-691ABB818168}" id="{FFD5AB3D-82A9-41E0-8E77-7DE52B9EB1CF}">
    <text>Read from Fig2</text>
  </threadedComment>
  <threadedComment ref="U40" dT="2024-04-30T15:19:22.86" personId="{03F2EC2F-3DA1-4A05-96ED-691ABB818168}" id="{E6DD188C-D63D-4948-8A66-112010C126AB}">
    <text>Read from xs=0.05 on Fig3</text>
  </threadedComment>
  <threadedComment ref="W40" dT="2024-04-30T15:24:13.23" personId="{03F2EC2F-3DA1-4A05-96ED-691ABB818168}" id="{CEFA502C-A25B-4A1A-B54A-D27D2DE69D11}">
    <text>Read from Fig2</text>
  </threadedComment>
  <threadedComment ref="W41" dT="2024-04-30T15:24:13.23" personId="{03F2EC2F-3DA1-4A05-96ED-691ABB818168}" id="{840DFC3E-6954-4DEA-B2E5-D584D1737C6C}">
    <text>Read from Fig2</text>
  </threadedComment>
  <threadedComment ref="U47" dT="2024-04-30T15:19:22.86" personId="{03F2EC2F-3DA1-4A05-96ED-691ABB818168}" id="{A0BB71AD-DA9B-4B21-AA48-32AE51263C81}">
    <text>Read from xs=0.05 on Fig3</text>
  </threadedComment>
  <threadedComment ref="W47" dT="2024-04-30T15:24:13.23" personId="{03F2EC2F-3DA1-4A05-96ED-691ABB818168}" id="{F2B0829F-DD79-49D7-878B-377444A9D276}">
    <text>Read from Fig2</text>
  </threadedComment>
  <threadedComment ref="W48" dT="2024-04-30T15:24:13.23" personId="{03F2EC2F-3DA1-4A05-96ED-691ABB818168}" id="{00800C2E-3B9C-4FCC-B04E-F849935BC5C9}">
    <text>Read from Fig2</text>
  </threadedComment>
  <threadedComment ref="U54" dT="2024-04-30T15:19:22.86" personId="{03F2EC2F-3DA1-4A05-96ED-691ABB818168}" id="{60341D0E-D1E2-4F81-AB43-EA0DAFAC801F}">
    <text>Read from xs=0.05 on Fig3</text>
  </threadedComment>
  <threadedComment ref="W55" dT="2024-04-30T15:24:13.23" personId="{03F2EC2F-3DA1-4A05-96ED-691ABB818168}" id="{F145C767-43A3-44D9-88CA-0C57BC49F687}">
    <text>Read from Fig2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F6" dT="2024-05-05T09:37:38.06" personId="{03F2EC2F-3DA1-4A05-96ED-691ABB818168}" id="{91E93BB4-D24B-44A9-BC8E-33A4A5980A66}">
    <text>298-1809</text>
  </threadedComment>
  <threadedComment ref="AF8" dT="2024-05-05T09:49:03.80" personId="{03F2EC2F-3DA1-4A05-96ED-691ABB818168}" id="{2D35EE36-F1FC-4502-AC03-5730947D8553}">
    <text>598-1463</text>
  </threadedComment>
  <threadedComment ref="AF10" dT="2024-05-05T09:49:03.80" personId="{03F2EC2F-3DA1-4A05-96ED-691ABB818168}" id="{86A23C69-04FB-40BC-A21E-D5C4BEDA53A8}">
    <text>598-1463</text>
  </threadedComment>
  <threadedComment ref="AT15" dT="2024-05-05T09:28:58.23" personId="{03F2EC2F-3DA1-4A05-96ED-691ABB818168}" id="{A2578296-FC2C-46E2-9A8E-907DD0DC960C}">
    <text>Fused silica</text>
  </threadedComment>
  <threadedComment ref="AF17" dT="2024-05-05T09:37:38.06" personId="{03F2EC2F-3DA1-4A05-96ED-691ABB818168}" id="{8191273A-7E0A-4D69-9236-58AD91178CBE}">
    <text>298-1809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agupubs.onlinelibrary.wiley.com/doi/full/10.1002/2015JE004908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as.org/doi/full/10.1073/pnas.2119001119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56"/>
  <sheetViews>
    <sheetView topLeftCell="O1" zoomScale="124" zoomScaleNormal="100" workbookViewId="0">
      <selection activeCell="C10" sqref="C10"/>
    </sheetView>
  </sheetViews>
  <sheetFormatPr defaultRowHeight="14.4" x14ac:dyDescent="0.3"/>
  <cols>
    <col min="2" max="2" width="19.33203125" customWidth="1"/>
    <col min="3" max="3" width="10.44140625" bestFit="1" customWidth="1"/>
    <col min="7" max="7" width="9" bestFit="1" customWidth="1"/>
    <col min="8" max="8" width="10.44140625" bestFit="1" customWidth="1"/>
    <col min="9" max="9" width="9" bestFit="1" customWidth="1"/>
    <col min="22" max="22" width="10" bestFit="1" customWidth="1"/>
  </cols>
  <sheetData>
    <row r="2" spans="2:35" x14ac:dyDescent="0.3">
      <c r="B2" t="s">
        <v>0</v>
      </c>
      <c r="C2" s="1" t="s">
        <v>4</v>
      </c>
      <c r="G2" t="s">
        <v>10</v>
      </c>
      <c r="H2" s="2" t="s">
        <v>22</v>
      </c>
      <c r="N2" t="s">
        <v>11</v>
      </c>
      <c r="O2" s="6" t="s">
        <v>23</v>
      </c>
      <c r="U2" t="s">
        <v>12</v>
      </c>
      <c r="V2" s="3" t="s">
        <v>24</v>
      </c>
      <c r="AB2" t="s">
        <v>21</v>
      </c>
      <c r="AC2" t="s">
        <v>25</v>
      </c>
    </row>
    <row r="3" spans="2:35" x14ac:dyDescent="0.3">
      <c r="B3" t="s">
        <v>1</v>
      </c>
      <c r="C3">
        <v>2440</v>
      </c>
      <c r="G3" s="1"/>
      <c r="H3" t="s">
        <v>13</v>
      </c>
      <c r="I3" t="s">
        <v>14</v>
      </c>
      <c r="N3" s="1"/>
      <c r="O3" t="s">
        <v>13</v>
      </c>
      <c r="P3" t="s">
        <v>14</v>
      </c>
      <c r="U3" s="1"/>
      <c r="V3" t="s">
        <v>13</v>
      </c>
      <c r="W3" t="s">
        <v>14</v>
      </c>
      <c r="AB3" s="1"/>
      <c r="AC3" t="s">
        <v>13</v>
      </c>
      <c r="AD3" t="s">
        <v>14</v>
      </c>
    </row>
    <row r="4" spans="2:35" x14ac:dyDescent="0.3">
      <c r="B4" t="s">
        <v>2</v>
      </c>
      <c r="C4">
        <f>3302*10^(20)</f>
        <v>3.3019999999999999E+23</v>
      </c>
      <c r="G4" t="s">
        <v>1</v>
      </c>
      <c r="H4">
        <v>2439</v>
      </c>
      <c r="I4">
        <v>1</v>
      </c>
      <c r="N4" t="s">
        <v>1</v>
      </c>
      <c r="U4" t="s">
        <v>1</v>
      </c>
      <c r="V4">
        <f>2439</f>
        <v>2439</v>
      </c>
      <c r="W4">
        <v>1</v>
      </c>
      <c r="AB4" t="s">
        <v>1</v>
      </c>
      <c r="AC4">
        <v>2440</v>
      </c>
    </row>
    <row r="5" spans="2:35" x14ac:dyDescent="0.3">
      <c r="B5" t="s">
        <v>3</v>
      </c>
      <c r="C5">
        <v>5427</v>
      </c>
      <c r="G5" t="s">
        <v>2</v>
      </c>
      <c r="H5">
        <f>3302*10^(20)</f>
        <v>3.3019999999999999E+23</v>
      </c>
      <c r="N5" t="s">
        <v>2</v>
      </c>
      <c r="U5" t="s">
        <v>2</v>
      </c>
      <c r="V5">
        <f>3.302E+23</f>
        <v>3.3019999999999999E+23</v>
      </c>
      <c r="AB5" t="s">
        <v>2</v>
      </c>
    </row>
    <row r="6" spans="2:35" x14ac:dyDescent="0.3">
      <c r="B6" t="s">
        <v>9</v>
      </c>
      <c r="E6" t="s">
        <v>5</v>
      </c>
      <c r="G6" t="s">
        <v>3</v>
      </c>
      <c r="H6">
        <v>5430</v>
      </c>
      <c r="I6">
        <v>10</v>
      </c>
      <c r="N6" t="s">
        <v>3</v>
      </c>
      <c r="U6" t="s">
        <v>3</v>
      </c>
      <c r="V6">
        <v>5434</v>
      </c>
      <c r="AB6" t="s">
        <v>3</v>
      </c>
      <c r="AC6">
        <v>5430</v>
      </c>
      <c r="AD6">
        <v>10</v>
      </c>
    </row>
    <row r="7" spans="2:35" x14ac:dyDescent="0.3">
      <c r="G7" t="s">
        <v>9</v>
      </c>
      <c r="N7" t="s">
        <v>9</v>
      </c>
      <c r="U7" t="s">
        <v>9</v>
      </c>
      <c r="AB7" t="s">
        <v>9</v>
      </c>
    </row>
    <row r="8" spans="2:35" x14ac:dyDescent="0.3">
      <c r="B8" t="s">
        <v>117</v>
      </c>
      <c r="C8">
        <v>273.14999999999998</v>
      </c>
      <c r="G8" t="s">
        <v>15</v>
      </c>
      <c r="H8">
        <f>-0.00006</f>
        <v>-6.0000000000000002E-5</v>
      </c>
      <c r="I8">
        <f>0.00002</f>
        <v>2.0000000000000002E-5</v>
      </c>
      <c r="N8" t="s">
        <v>15</v>
      </c>
      <c r="U8" t="s">
        <v>15</v>
      </c>
      <c r="AB8" t="s">
        <v>15</v>
      </c>
    </row>
    <row r="9" spans="2:35" x14ac:dyDescent="0.3">
      <c r="B9" t="s">
        <v>115</v>
      </c>
      <c r="C9">
        <f>430+C8</f>
        <v>703.15</v>
      </c>
      <c r="D9" t="s">
        <v>116</v>
      </c>
      <c r="G9" t="s">
        <v>16</v>
      </c>
      <c r="H9">
        <f>0.00001</f>
        <v>1.0000000000000001E-5</v>
      </c>
      <c r="I9">
        <f>0.000005</f>
        <v>5.0000000000000004E-6</v>
      </c>
      <c r="N9" t="s">
        <v>16</v>
      </c>
      <c r="U9" t="s">
        <v>16</v>
      </c>
      <c r="AB9" t="s">
        <v>16</v>
      </c>
    </row>
    <row r="10" spans="2:35" x14ac:dyDescent="0.3">
      <c r="B10" t="s">
        <v>118</v>
      </c>
      <c r="C10">
        <f>-180+C8</f>
        <v>93.149999999999977</v>
      </c>
      <c r="G10" t="s">
        <v>17</v>
      </c>
      <c r="H10">
        <v>58.6462</v>
      </c>
      <c r="N10" t="s">
        <v>17</v>
      </c>
      <c r="U10" t="s">
        <v>17</v>
      </c>
      <c r="AB10" t="s">
        <v>17</v>
      </c>
    </row>
    <row r="11" spans="2:35" x14ac:dyDescent="0.3">
      <c r="N11" t="s">
        <v>19</v>
      </c>
      <c r="O11" t="s">
        <v>20</v>
      </c>
    </row>
    <row r="15" spans="2:35" x14ac:dyDescent="0.3">
      <c r="U15" t="s">
        <v>31</v>
      </c>
    </row>
    <row r="16" spans="2:35" x14ac:dyDescent="0.3">
      <c r="F16" t="s">
        <v>49</v>
      </c>
      <c r="G16" s="1" t="s">
        <v>1</v>
      </c>
      <c r="H16" t="s">
        <v>18</v>
      </c>
      <c r="I16" t="s">
        <v>3</v>
      </c>
      <c r="J16" t="s">
        <v>6</v>
      </c>
      <c r="K16" t="s">
        <v>7</v>
      </c>
      <c r="L16" t="s">
        <v>8</v>
      </c>
      <c r="M16" t="s">
        <v>49</v>
      </c>
      <c r="N16" s="1" t="s">
        <v>1</v>
      </c>
      <c r="O16" t="s">
        <v>18</v>
      </c>
      <c r="P16" s="1" t="s">
        <v>3</v>
      </c>
      <c r="Q16" t="s">
        <v>6</v>
      </c>
      <c r="R16" t="s">
        <v>7</v>
      </c>
      <c r="S16" t="s">
        <v>8</v>
      </c>
      <c r="U16" s="1" t="s">
        <v>1</v>
      </c>
      <c r="V16" t="s">
        <v>18</v>
      </c>
      <c r="W16" t="s">
        <v>3</v>
      </c>
      <c r="X16" t="s">
        <v>6</v>
      </c>
      <c r="Y16" t="s">
        <v>7</v>
      </c>
      <c r="Z16" t="s">
        <v>8</v>
      </c>
      <c r="AB16" t="s">
        <v>27</v>
      </c>
      <c r="AC16" s="1" t="s">
        <v>1</v>
      </c>
      <c r="AD16" t="s">
        <v>18</v>
      </c>
      <c r="AE16" t="s">
        <v>3</v>
      </c>
      <c r="AF16" t="s">
        <v>26</v>
      </c>
      <c r="AG16" t="s">
        <v>6</v>
      </c>
      <c r="AH16" t="s">
        <v>7</v>
      </c>
      <c r="AI16" t="s">
        <v>8</v>
      </c>
    </row>
    <row r="17" spans="6:32" x14ac:dyDescent="0.3">
      <c r="F17" t="s">
        <v>40</v>
      </c>
      <c r="G17">
        <v>2440</v>
      </c>
      <c r="H17">
        <v>0</v>
      </c>
      <c r="I17">
        <v>0</v>
      </c>
      <c r="M17" t="s">
        <v>40</v>
      </c>
      <c r="N17">
        <v>0</v>
      </c>
      <c r="O17">
        <v>0</v>
      </c>
      <c r="T17" t="s">
        <v>40</v>
      </c>
      <c r="U17">
        <v>2439</v>
      </c>
      <c r="W17">
        <v>0</v>
      </c>
      <c r="AB17" t="s">
        <v>28</v>
      </c>
      <c r="AC17">
        <v>2400</v>
      </c>
      <c r="AD17">
        <v>0</v>
      </c>
    </row>
    <row r="18" spans="6:32" x14ac:dyDescent="0.3">
      <c r="F18" t="s">
        <v>29</v>
      </c>
      <c r="G18">
        <v>1860</v>
      </c>
      <c r="H18">
        <v>7.5</v>
      </c>
      <c r="I18">
        <v>3350</v>
      </c>
      <c r="M18" t="s">
        <v>29</v>
      </c>
      <c r="N18">
        <v>1860</v>
      </c>
      <c r="O18">
        <v>7.5</v>
      </c>
      <c r="T18" t="s">
        <v>41</v>
      </c>
      <c r="U18" s="7">
        <f>U17-100</f>
        <v>2339</v>
      </c>
      <c r="W18" t="s">
        <v>55</v>
      </c>
      <c r="Y18">
        <v>300</v>
      </c>
      <c r="AB18" t="s">
        <v>29</v>
      </c>
      <c r="AE18" t="s">
        <v>37</v>
      </c>
      <c r="AF18">
        <v>400</v>
      </c>
    </row>
    <row r="19" spans="6:32" x14ac:dyDescent="0.3">
      <c r="F19" t="s">
        <v>30</v>
      </c>
      <c r="G19">
        <v>0</v>
      </c>
      <c r="H19">
        <v>39</v>
      </c>
      <c r="I19">
        <v>8000</v>
      </c>
      <c r="M19" t="s">
        <v>50</v>
      </c>
      <c r="N19" t="s">
        <v>51</v>
      </c>
      <c r="O19">
        <v>39</v>
      </c>
      <c r="T19" t="s">
        <v>29</v>
      </c>
      <c r="U19" t="s">
        <v>56</v>
      </c>
      <c r="Y19">
        <f>AVERAGE(2300,2500)</f>
        <v>2400</v>
      </c>
      <c r="AB19" t="s">
        <v>30</v>
      </c>
      <c r="AC19" t="s">
        <v>36</v>
      </c>
      <c r="AF19" t="s">
        <v>38</v>
      </c>
    </row>
    <row r="20" spans="6:32" x14ac:dyDescent="0.3">
      <c r="M20" t="s">
        <v>43</v>
      </c>
      <c r="N20" t="s">
        <v>52</v>
      </c>
      <c r="S20" t="s">
        <v>53</v>
      </c>
      <c r="T20" t="s">
        <v>50</v>
      </c>
      <c r="U20">
        <v>1790</v>
      </c>
    </row>
    <row r="21" spans="6:32" x14ac:dyDescent="0.3">
      <c r="F21" t="s">
        <v>49</v>
      </c>
      <c r="G21" s="1" t="s">
        <v>1</v>
      </c>
      <c r="H21" t="s">
        <v>18</v>
      </c>
      <c r="I21" t="s">
        <v>3</v>
      </c>
      <c r="P21" t="s">
        <v>54</v>
      </c>
      <c r="T21" t="s">
        <v>43</v>
      </c>
      <c r="U21">
        <v>0</v>
      </c>
      <c r="W21" s="8">
        <v>8000</v>
      </c>
    </row>
    <row r="22" spans="6:32" x14ac:dyDescent="0.3">
      <c r="F22" t="s">
        <v>40</v>
      </c>
      <c r="G22">
        <v>2440</v>
      </c>
      <c r="H22">
        <v>0</v>
      </c>
      <c r="I22">
        <v>0</v>
      </c>
    </row>
    <row r="23" spans="6:32" x14ac:dyDescent="0.3">
      <c r="F23" t="s">
        <v>41</v>
      </c>
      <c r="G23" t="s">
        <v>44</v>
      </c>
      <c r="I23">
        <v>3590</v>
      </c>
      <c r="T23" s="1" t="s">
        <v>57</v>
      </c>
      <c r="U23" s="1" t="s">
        <v>1</v>
      </c>
      <c r="V23" t="s">
        <v>18</v>
      </c>
      <c r="W23" t="s">
        <v>3</v>
      </c>
    </row>
    <row r="24" spans="6:32" x14ac:dyDescent="0.3">
      <c r="F24" t="s">
        <v>42</v>
      </c>
      <c r="G24">
        <f>0.7*G22</f>
        <v>1708</v>
      </c>
      <c r="I24">
        <v>5450</v>
      </c>
      <c r="T24" t="s">
        <v>40</v>
      </c>
      <c r="U24">
        <f>U17</f>
        <v>2439</v>
      </c>
      <c r="W24">
        <v>0</v>
      </c>
    </row>
    <row r="25" spans="6:32" x14ac:dyDescent="0.3">
      <c r="F25" t="s">
        <v>43</v>
      </c>
      <c r="G25">
        <v>0</v>
      </c>
      <c r="I25">
        <v>8000</v>
      </c>
      <c r="T25" t="s">
        <v>41</v>
      </c>
      <c r="U25">
        <f>U18</f>
        <v>2339</v>
      </c>
      <c r="W25">
        <v>2900</v>
      </c>
    </row>
    <row r="26" spans="6:32" x14ac:dyDescent="0.3">
      <c r="T26" t="s">
        <v>29</v>
      </c>
      <c r="U26">
        <v>2040</v>
      </c>
      <c r="W26">
        <v>3400</v>
      </c>
    </row>
    <row r="27" spans="6:32" x14ac:dyDescent="0.3">
      <c r="T27" t="s">
        <v>50</v>
      </c>
      <c r="U27">
        <f>U20</f>
        <v>1790</v>
      </c>
      <c r="W27">
        <v>3700</v>
      </c>
    </row>
    <row r="28" spans="6:32" x14ac:dyDescent="0.3">
      <c r="T28" t="s">
        <v>43</v>
      </c>
      <c r="U28">
        <v>0</v>
      </c>
      <c r="W28">
        <f>W21</f>
        <v>8000</v>
      </c>
    </row>
    <row r="30" spans="6:32" x14ac:dyDescent="0.3">
      <c r="T30" s="1" t="s">
        <v>60</v>
      </c>
      <c r="U30" s="1" t="s">
        <v>1</v>
      </c>
      <c r="V30" t="s">
        <v>18</v>
      </c>
      <c r="W30" t="s">
        <v>3</v>
      </c>
    </row>
    <row r="31" spans="6:32" x14ac:dyDescent="0.3">
      <c r="T31" t="s">
        <v>40</v>
      </c>
      <c r="U31">
        <f>U24</f>
        <v>2439</v>
      </c>
      <c r="W31">
        <v>0</v>
      </c>
    </row>
    <row r="32" spans="6:32" x14ac:dyDescent="0.3">
      <c r="T32" t="s">
        <v>41</v>
      </c>
      <c r="U32">
        <f>U25</f>
        <v>2339</v>
      </c>
      <c r="W32">
        <v>2900</v>
      </c>
    </row>
    <row r="33" spans="20:23" x14ac:dyDescent="0.3">
      <c r="T33" t="s">
        <v>29</v>
      </c>
      <c r="U33">
        <v>2050</v>
      </c>
      <c r="W33">
        <v>3320</v>
      </c>
    </row>
    <row r="34" spans="20:23" x14ac:dyDescent="0.3">
      <c r="T34" t="s">
        <v>50</v>
      </c>
      <c r="U34">
        <f>U27</f>
        <v>1790</v>
      </c>
      <c r="W34">
        <v>3420</v>
      </c>
    </row>
    <row r="35" spans="20:23" x14ac:dyDescent="0.3">
      <c r="T35" t="s">
        <v>43</v>
      </c>
      <c r="U35">
        <v>0</v>
      </c>
      <c r="W35">
        <f>W28</f>
        <v>8000</v>
      </c>
    </row>
    <row r="37" spans="20:23" x14ac:dyDescent="0.3">
      <c r="T37" s="1" t="s">
        <v>61</v>
      </c>
      <c r="U37" s="1" t="s">
        <v>1</v>
      </c>
      <c r="V37" t="s">
        <v>18</v>
      </c>
      <c r="W37" t="s">
        <v>3</v>
      </c>
    </row>
    <row r="38" spans="20:23" x14ac:dyDescent="0.3">
      <c r="T38" t="s">
        <v>40</v>
      </c>
      <c r="U38">
        <f>U31</f>
        <v>2439</v>
      </c>
      <c r="W38">
        <v>0</v>
      </c>
    </row>
    <row r="39" spans="20:23" x14ac:dyDescent="0.3">
      <c r="T39" t="s">
        <v>41</v>
      </c>
      <c r="U39">
        <f>U32</f>
        <v>2339</v>
      </c>
      <c r="W39">
        <v>2900</v>
      </c>
    </row>
    <row r="40" spans="20:23" x14ac:dyDescent="0.3">
      <c r="T40" t="s">
        <v>29</v>
      </c>
      <c r="U40">
        <v>2050</v>
      </c>
      <c r="W40">
        <v>3360</v>
      </c>
    </row>
    <row r="41" spans="20:23" x14ac:dyDescent="0.3">
      <c r="T41" t="s">
        <v>50</v>
      </c>
      <c r="U41">
        <f>U34</f>
        <v>1790</v>
      </c>
      <c r="W41">
        <v>3520</v>
      </c>
    </row>
    <row r="42" spans="20:23" x14ac:dyDescent="0.3">
      <c r="T42" t="s">
        <v>43</v>
      </c>
      <c r="U42">
        <v>0</v>
      </c>
      <c r="W42">
        <f>W35</f>
        <v>8000</v>
      </c>
    </row>
    <row r="44" spans="20:23" x14ac:dyDescent="0.3">
      <c r="T44" s="1" t="s">
        <v>59</v>
      </c>
      <c r="U44" s="1" t="s">
        <v>1</v>
      </c>
      <c r="V44" t="s">
        <v>18</v>
      </c>
      <c r="W44" t="s">
        <v>3</v>
      </c>
    </row>
    <row r="45" spans="20:23" x14ac:dyDescent="0.3">
      <c r="T45" t="s">
        <v>40</v>
      </c>
      <c r="U45">
        <f>U52</f>
        <v>2439</v>
      </c>
      <c r="W45">
        <v>0</v>
      </c>
    </row>
    <row r="46" spans="20:23" x14ac:dyDescent="0.3">
      <c r="T46" t="s">
        <v>41</v>
      </c>
      <c r="U46">
        <f>U53</f>
        <v>2339</v>
      </c>
      <c r="W46">
        <v>2900</v>
      </c>
    </row>
    <row r="47" spans="20:23" x14ac:dyDescent="0.3">
      <c r="T47" t="s">
        <v>29</v>
      </c>
      <c r="U47">
        <v>2070</v>
      </c>
      <c r="W47">
        <v>3280</v>
      </c>
    </row>
    <row r="48" spans="20:23" x14ac:dyDescent="0.3">
      <c r="T48" t="s">
        <v>50</v>
      </c>
      <c r="U48">
        <f>U55</f>
        <v>1790</v>
      </c>
      <c r="W48">
        <v>3390</v>
      </c>
    </row>
    <row r="49" spans="20:23" x14ac:dyDescent="0.3">
      <c r="T49" t="s">
        <v>43</v>
      </c>
      <c r="U49">
        <v>0</v>
      </c>
      <c r="W49">
        <f>W42</f>
        <v>8000</v>
      </c>
    </row>
    <row r="51" spans="20:23" x14ac:dyDescent="0.3">
      <c r="T51" s="1" t="s">
        <v>58</v>
      </c>
      <c r="U51" s="1" t="s">
        <v>1</v>
      </c>
      <c r="V51" t="s">
        <v>18</v>
      </c>
      <c r="W51" t="s">
        <v>3</v>
      </c>
    </row>
    <row r="52" spans="20:23" x14ac:dyDescent="0.3">
      <c r="T52" t="s">
        <v>40</v>
      </c>
      <c r="U52">
        <f>U38</f>
        <v>2439</v>
      </c>
      <c r="W52">
        <v>0</v>
      </c>
    </row>
    <row r="53" spans="20:23" x14ac:dyDescent="0.3">
      <c r="T53" t="s">
        <v>41</v>
      </c>
      <c r="U53">
        <f>U39</f>
        <v>2339</v>
      </c>
      <c r="W53">
        <v>2900</v>
      </c>
    </row>
    <row r="54" spans="20:23" x14ac:dyDescent="0.3">
      <c r="T54" t="s">
        <v>29</v>
      </c>
      <c r="U54">
        <v>2040</v>
      </c>
      <c r="W54">
        <v>3090</v>
      </c>
    </row>
    <row r="55" spans="20:23" x14ac:dyDescent="0.3">
      <c r="T55" t="s">
        <v>50</v>
      </c>
      <c r="U55">
        <f>U41</f>
        <v>1790</v>
      </c>
      <c r="W55">
        <v>3250</v>
      </c>
    </row>
    <row r="56" spans="20:23" x14ac:dyDescent="0.3">
      <c r="T56" t="s">
        <v>43</v>
      </c>
      <c r="U56">
        <v>0</v>
      </c>
      <c r="W56">
        <f>W49</f>
        <v>8000</v>
      </c>
    </row>
  </sheetData>
  <hyperlinks>
    <hyperlink ref="O2" r:id="rId1" xr:uid="{953138A0-7AC4-446F-83F1-43B1904A78A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A6D7-43DA-417B-9730-742F2A1D91E5}">
  <dimension ref="A2:F7"/>
  <sheetViews>
    <sheetView zoomScale="105" workbookViewId="0">
      <selection activeCell="A2" sqref="A2:F7"/>
    </sheetView>
  </sheetViews>
  <sheetFormatPr defaultRowHeight="14.4" x14ac:dyDescent="0.3"/>
  <cols>
    <col min="2" max="4" width="15.77734375" customWidth="1"/>
  </cols>
  <sheetData>
    <row r="2" spans="1:6" x14ac:dyDescent="0.3">
      <c r="A2" t="s">
        <v>78</v>
      </c>
      <c r="B2" t="s">
        <v>77</v>
      </c>
      <c r="C2" t="s">
        <v>75</v>
      </c>
      <c r="D2" t="s">
        <v>76</v>
      </c>
      <c r="E2" t="s">
        <v>80</v>
      </c>
      <c r="F2" t="s">
        <v>79</v>
      </c>
    </row>
    <row r="3" spans="1:6" x14ac:dyDescent="0.3">
      <c r="A3" s="7" t="s">
        <v>73</v>
      </c>
    </row>
    <row r="4" spans="1:6" x14ac:dyDescent="0.3">
      <c r="A4">
        <v>1.1000000000000001</v>
      </c>
      <c r="B4" s="7">
        <v>1200</v>
      </c>
      <c r="C4">
        <v>4585.4558999999999</v>
      </c>
      <c r="D4">
        <v>11655.777599999999</v>
      </c>
      <c r="E4">
        <f>-0.00071321</f>
        <v>-7.1321000000000004E-4</v>
      </c>
      <c r="F4">
        <f>-0.00035636</f>
        <v>-3.5636000000000001E-4</v>
      </c>
    </row>
    <row r="5" spans="1:6" x14ac:dyDescent="0.3">
      <c r="A5">
        <v>1.2</v>
      </c>
      <c r="B5" s="7">
        <v>1790</v>
      </c>
      <c r="C5">
        <v>4045.8422999999998</v>
      </c>
      <c r="D5">
        <v>7542.8224</v>
      </c>
      <c r="E5">
        <f>-0.00067155</f>
        <v>-6.7155000000000003E-4</v>
      </c>
      <c r="F5">
        <f>-0.00041077</f>
        <v>-4.1077000000000003E-4</v>
      </c>
    </row>
    <row r="6" spans="1:6" x14ac:dyDescent="0.3">
      <c r="A6">
        <v>1.3</v>
      </c>
      <c r="B6" s="7">
        <v>1860</v>
      </c>
      <c r="C6">
        <v>3904.4007000000001</v>
      </c>
      <c r="D6">
        <v>7340.5393999999997</v>
      </c>
      <c r="E6">
        <f>-0.00066852</f>
        <v>-6.6852000000000003E-4</v>
      </c>
      <c r="F6">
        <f>-0.00041508</f>
        <v>-4.1508000000000002E-4</v>
      </c>
    </row>
    <row r="7" spans="1:6" x14ac:dyDescent="0.3">
      <c r="A7">
        <v>1.4</v>
      </c>
      <c r="B7" s="7">
        <v>2040</v>
      </c>
      <c r="C7">
        <v>3308.1359000000002</v>
      </c>
      <c r="D7">
        <v>6932.8810000000003</v>
      </c>
      <c r="E7">
        <f>-0.00066181</f>
        <v>-6.6180999999999998E-4</v>
      </c>
      <c r="F7">
        <f>-0.0004249</f>
        <v>-4.2489999999999997E-4</v>
      </c>
    </row>
  </sheetData>
  <conditionalFormatting sqref="E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F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6D7C-4953-4D66-9C7C-7F01610DC01F}">
  <dimension ref="B1:CB87"/>
  <sheetViews>
    <sheetView tabSelected="1" topLeftCell="BR1" zoomScale="86" zoomScaleNormal="115" workbookViewId="0">
      <selection activeCell="CF8" sqref="CF8"/>
    </sheetView>
  </sheetViews>
  <sheetFormatPr defaultRowHeight="14.4" x14ac:dyDescent="0.3"/>
  <cols>
    <col min="2" max="3" width="15.77734375" customWidth="1"/>
    <col min="4" max="5" width="5.21875" customWidth="1"/>
    <col min="6" max="8" width="5.77734375" customWidth="1"/>
    <col min="9" max="9" width="15.77734375" customWidth="1"/>
    <col min="11" max="11" width="10.77734375" customWidth="1"/>
    <col min="12" max="12" width="5.77734375" style="1" customWidth="1"/>
    <col min="13" max="13" width="8.5546875" style="1" customWidth="1"/>
    <col min="14" max="24" width="5.77734375" customWidth="1"/>
    <col min="25" max="25" width="5.77734375" style="1" customWidth="1"/>
    <col min="26" max="28" width="5.77734375" customWidth="1"/>
    <col min="29" max="29" width="11.44140625" style="1" customWidth="1"/>
    <col min="30" max="36" width="5.77734375" customWidth="1"/>
    <col min="37" max="37" width="9.21875" style="1" customWidth="1"/>
    <col min="38" max="39" width="5.77734375" customWidth="1"/>
    <col min="40" max="40" width="5.77734375" style="1" customWidth="1"/>
    <col min="41" max="46" width="5.77734375" customWidth="1"/>
    <col min="56" max="56" width="10" customWidth="1"/>
    <col min="57" max="59" width="10.88671875" bestFit="1" customWidth="1"/>
    <col min="60" max="60" width="11.5546875" bestFit="1" customWidth="1"/>
    <col min="61" max="61" width="11.44140625" customWidth="1"/>
    <col min="62" max="62" width="11.77734375" bestFit="1" customWidth="1"/>
    <col min="63" max="63" width="11.6640625" bestFit="1" customWidth="1"/>
    <col min="64" max="65" width="11" bestFit="1" customWidth="1"/>
    <col min="66" max="66" width="11" customWidth="1"/>
    <col min="67" max="67" width="11" bestFit="1" customWidth="1"/>
    <col min="68" max="68" width="10.21875" bestFit="1" customWidth="1"/>
    <col min="73" max="73" width="9.21875" customWidth="1"/>
    <col min="75" max="75" width="9.21875" customWidth="1"/>
    <col min="79" max="79" width="10.77734375" customWidth="1"/>
  </cols>
  <sheetData>
    <row r="1" spans="2:80" x14ac:dyDescent="0.3">
      <c r="K1">
        <v>1</v>
      </c>
      <c r="L1" s="1">
        <v>2</v>
      </c>
      <c r="M1" s="1">
        <v>3</v>
      </c>
      <c r="N1">
        <v>4</v>
      </c>
      <c r="O1">
        <v>5</v>
      </c>
      <c r="P1">
        <v>6</v>
      </c>
      <c r="Q1">
        <v>7</v>
      </c>
      <c r="R1">
        <v>8</v>
      </c>
      <c r="S1" s="1">
        <v>9</v>
      </c>
      <c r="T1">
        <v>10</v>
      </c>
      <c r="U1">
        <v>11</v>
      </c>
      <c r="V1">
        <v>12</v>
      </c>
      <c r="W1">
        <v>13</v>
      </c>
      <c r="X1">
        <v>14</v>
      </c>
      <c r="Y1" s="1">
        <v>15</v>
      </c>
      <c r="Z1">
        <v>16</v>
      </c>
      <c r="AA1">
        <v>17</v>
      </c>
      <c r="AB1">
        <v>18</v>
      </c>
      <c r="AC1" s="1">
        <v>19</v>
      </c>
      <c r="AE1">
        <v>20</v>
      </c>
      <c r="AF1">
        <v>21</v>
      </c>
      <c r="AG1">
        <v>22</v>
      </c>
      <c r="AH1">
        <v>23</v>
      </c>
      <c r="AI1">
        <v>24</v>
      </c>
      <c r="AJ1">
        <v>25</v>
      </c>
      <c r="AK1" s="1">
        <v>26</v>
      </c>
      <c r="AL1">
        <v>27</v>
      </c>
      <c r="AM1">
        <v>28</v>
      </c>
      <c r="AO1">
        <v>29</v>
      </c>
      <c r="AP1">
        <v>30</v>
      </c>
      <c r="AQ1">
        <v>31</v>
      </c>
      <c r="AR1">
        <v>32</v>
      </c>
      <c r="BT1" s="15" t="s">
        <v>78</v>
      </c>
      <c r="BU1" s="15"/>
      <c r="BV1" s="15" t="s">
        <v>195</v>
      </c>
      <c r="BW1" s="15"/>
      <c r="BX1" s="15"/>
      <c r="BY1" s="15" t="s">
        <v>196</v>
      </c>
      <c r="BZ1" s="15"/>
      <c r="CA1" s="15"/>
    </row>
    <row r="2" spans="2:80" x14ac:dyDescent="0.3">
      <c r="B2" t="s">
        <v>78</v>
      </c>
      <c r="C2" t="s">
        <v>49</v>
      </c>
      <c r="D2" t="s">
        <v>108</v>
      </c>
      <c r="E2" t="s">
        <v>111</v>
      </c>
      <c r="F2" t="s">
        <v>98</v>
      </c>
      <c r="G2" t="s">
        <v>99</v>
      </c>
      <c r="I2" t="s">
        <v>81</v>
      </c>
      <c r="K2" s="1" t="s">
        <v>81</v>
      </c>
      <c r="L2" s="1" t="s">
        <v>123</v>
      </c>
      <c r="M2" s="1" t="s">
        <v>124</v>
      </c>
      <c r="N2" s="1" t="s">
        <v>84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122</v>
      </c>
      <c r="U2" t="s">
        <v>121</v>
      </c>
      <c r="V2" t="s">
        <v>120</v>
      </c>
      <c r="W2" t="s">
        <v>125</v>
      </c>
      <c r="X2" t="s">
        <v>126</v>
      </c>
      <c r="Y2" s="1" t="s">
        <v>83</v>
      </c>
      <c r="Z2" s="1" t="s">
        <v>132</v>
      </c>
      <c r="AA2" s="1" t="s">
        <v>134</v>
      </c>
      <c r="AB2" s="1" t="s">
        <v>133</v>
      </c>
      <c r="AC2" s="1" t="s">
        <v>82</v>
      </c>
      <c r="AD2" s="1" t="s">
        <v>188</v>
      </c>
      <c r="AE2" s="1" t="s">
        <v>147</v>
      </c>
      <c r="AF2" s="1" t="s">
        <v>142</v>
      </c>
      <c r="AG2" s="1" t="s">
        <v>143</v>
      </c>
      <c r="AH2" s="1" t="s">
        <v>144</v>
      </c>
      <c r="AI2" s="1" t="s">
        <v>145</v>
      </c>
      <c r="AJ2" s="1" t="s">
        <v>146</v>
      </c>
      <c r="AK2" s="1" t="s">
        <v>97</v>
      </c>
      <c r="AL2" s="1" t="s">
        <v>140</v>
      </c>
      <c r="AM2" t="s">
        <v>136</v>
      </c>
      <c r="AN2" s="1" t="s">
        <v>163</v>
      </c>
      <c r="AO2" t="s">
        <v>92</v>
      </c>
      <c r="AP2" t="s">
        <v>94</v>
      </c>
      <c r="AQ2" t="s">
        <v>95</v>
      </c>
      <c r="AR2" t="s">
        <v>149</v>
      </c>
      <c r="AS2" t="s">
        <v>150</v>
      </c>
      <c r="AT2" t="s">
        <v>151</v>
      </c>
      <c r="BD2" t="str">
        <f>material[[#Headers],[material]]</f>
        <v>material</v>
      </c>
      <c r="BE2" t="s">
        <v>154</v>
      </c>
      <c r="BF2" t="s">
        <v>155</v>
      </c>
      <c r="BG2" t="s">
        <v>101</v>
      </c>
      <c r="BH2" t="str">
        <f>material[[#Headers],[drho/dXs]]</f>
        <v>drho/dXs</v>
      </c>
      <c r="BI2" t="s">
        <v>156</v>
      </c>
      <c r="BJ2" t="s">
        <v>157</v>
      </c>
      <c r="BK2" t="str">
        <f>material[[#Headers],[dK/dXs]]</f>
        <v>dK/dXs</v>
      </c>
      <c r="BL2" t="s">
        <v>158</v>
      </c>
      <c r="BM2" t="str">
        <f>material[[#Headers],[a_0]]</f>
        <v>a_0</v>
      </c>
      <c r="BN2" t="s">
        <v>191</v>
      </c>
      <c r="BO2" t="s">
        <v>119</v>
      </c>
      <c r="BP2" t="s">
        <v>190</v>
      </c>
      <c r="BT2" t="s">
        <v>30</v>
      </c>
      <c r="BU2" t="s">
        <v>29</v>
      </c>
      <c r="BV2" t="s">
        <v>106</v>
      </c>
      <c r="BW2" t="s">
        <v>104</v>
      </c>
      <c r="BX2" t="s">
        <v>197</v>
      </c>
      <c r="BY2" t="s">
        <v>192</v>
      </c>
      <c r="BZ2" t="s">
        <v>193</v>
      </c>
      <c r="CA2" t="s">
        <v>194</v>
      </c>
      <c r="CB2" t="s">
        <v>198</v>
      </c>
    </row>
    <row r="3" spans="2:80" x14ac:dyDescent="0.3">
      <c r="B3" s="7" t="s">
        <v>73</v>
      </c>
      <c r="C3" s="7"/>
      <c r="D3" s="7"/>
      <c r="E3" s="7"/>
      <c r="F3" s="7"/>
      <c r="G3" s="7"/>
      <c r="H3" s="7"/>
      <c r="K3" t="s">
        <v>89</v>
      </c>
      <c r="L3" s="1">
        <v>1770</v>
      </c>
      <c r="M3" s="1">
        <v>0</v>
      </c>
      <c r="N3">
        <v>7019</v>
      </c>
      <c r="S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T3">
        <v>87</v>
      </c>
      <c r="V3">
        <v>5</v>
      </c>
      <c r="Y3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87</v>
      </c>
      <c r="Z3">
        <f>0.000095</f>
        <v>9.5000000000000005E-5</v>
      </c>
      <c r="AC3" s="1">
        <f>material[[#This Row],[a_0]]+material[[#This Row],[da/dp]]*(material[[#This Row],[p]]-material[[#This Row],[p_ref '[Gpa']]])+material[[#This Row],[da/dT]]*(material[[#This Row],[T]]-material[[#This Row],[T_ref '[K']]])</f>
        <v>9.5000000000000005E-5</v>
      </c>
      <c r="AE3">
        <v>55.844999999999999</v>
      </c>
      <c r="AF3">
        <v>46.024000000000001</v>
      </c>
      <c r="AG3">
        <f>-0.00000001884667</f>
        <v>-1.8846670000000001E-8</v>
      </c>
      <c r="AH3">
        <f>0.00000000609475</f>
        <v>6.0947499999999999E-9</v>
      </c>
      <c r="AI3">
        <f>-0.0000000006640301</f>
        <v>-6.6403009999999996E-10</v>
      </c>
      <c r="AJ3">
        <f>-0.000000008246121</f>
        <v>-8.2461210000000004E-9</v>
      </c>
      <c r="AK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'[Gpa']]]*1000000000)/(N2*material[[#This Row],[y=a*Ks/rho*Cp]]),
material[[#This Row],[Cp_A]])),
0)</f>
        <v>824.13823977079414</v>
      </c>
      <c r="AM3" s="7">
        <f>AVERAGE(90,110)</f>
        <v>100</v>
      </c>
      <c r="AN3" s="8">
        <f>AVERAGE(6.1,6.5,7.1,7.4,6.4,6.7)</f>
        <v>6.7</v>
      </c>
      <c r="AR3">
        <v>3</v>
      </c>
      <c r="AT3" t="s">
        <v>141</v>
      </c>
      <c r="BD3" t="str">
        <f t="shared" ref="BD3:BG3" si="0">K3</f>
        <v>Fe,liq</v>
      </c>
      <c r="BE3" s="10">
        <f t="shared" si="0"/>
        <v>1770</v>
      </c>
      <c r="BF3" s="10">
        <f t="shared" si="0"/>
        <v>0</v>
      </c>
      <c r="BG3" s="10">
        <f t="shared" si="0"/>
        <v>7019</v>
      </c>
      <c r="BH3" s="10">
        <f t="shared" ref="BH3:BH30" si="1">Q3</f>
        <v>0</v>
      </c>
      <c r="BI3" s="10">
        <f t="shared" ref="BI3:BI30" si="2">R3</f>
        <v>0</v>
      </c>
      <c r="BJ3" s="10">
        <f>material[[#This Row],[K_0 '[Gpa']]]</f>
        <v>87</v>
      </c>
      <c r="BK3" s="10">
        <f>material[[#This Row],[dK/dXs]]</f>
        <v>0</v>
      </c>
      <c r="BL3" s="10">
        <f>material[[#This Row],[dK/dXs^2]]</f>
        <v>0</v>
      </c>
      <c r="BM3" s="10">
        <f>material[[#This Row],[a_0]]</f>
        <v>9.5000000000000005E-5</v>
      </c>
      <c r="BN3" s="10">
        <f>material[[#This Row],[Cp '[J/Kkg']]]</f>
        <v>824.13823977079414</v>
      </c>
      <c r="BO3" s="10">
        <f>material[[#This Row],[k '[W/mK']]]*10^3</f>
        <v>100000</v>
      </c>
      <c r="BP3">
        <f>material[[#This Row],[visc '[mPas']]]*10^(-3)</f>
        <v>6.7000000000000002E-3</v>
      </c>
      <c r="BT3" t="s">
        <v>162</v>
      </c>
      <c r="BU3" t="s">
        <v>57</v>
      </c>
      <c r="BV3">
        <v>1083.1701</v>
      </c>
      <c r="BW3">
        <v>2018.0256999999999</v>
      </c>
      <c r="BX3">
        <v>7.5796999999999999</v>
      </c>
      <c r="BY3">
        <v>-2.2308000000000001E-2</v>
      </c>
      <c r="BZ3">
        <v>-2.7403E-2</v>
      </c>
      <c r="CA3">
        <v>5.2226E-3</v>
      </c>
      <c r="CB3" cm="1">
        <f t="array" ref="CB3">SUM(ABS(BY3:CA3))</f>
        <v>5.4933600000000006E-2</v>
      </c>
    </row>
    <row r="4" spans="2:80" x14ac:dyDescent="0.3">
      <c r="C4" t="s">
        <v>100</v>
      </c>
      <c r="D4" t="s">
        <v>109</v>
      </c>
      <c r="E4" t="s">
        <v>113</v>
      </c>
      <c r="F4" t="s">
        <v>74</v>
      </c>
      <c r="G4" t="s">
        <v>102</v>
      </c>
      <c r="I4" s="7" t="s">
        <v>29</v>
      </c>
      <c r="K4" t="s">
        <v>89</v>
      </c>
      <c r="L4" s="1">
        <v>1811</v>
      </c>
      <c r="M4" s="1">
        <v>100000</v>
      </c>
      <c r="N4">
        <f>(0.000000013105*(material[[#This Row],[T]]-material[[#This Row],[T_ref '[K']]])+0.00014247)^(-1)</f>
        <v>8421.9856102796057</v>
      </c>
      <c r="S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8421.9856102796057</v>
      </c>
      <c r="T4">
        <v>85.1</v>
      </c>
      <c r="U4">
        <v>-3.5000000000000003E-2</v>
      </c>
      <c r="Y4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148.48500000000001</v>
      </c>
      <c r="AC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E4">
        <v>55.844999999999999</v>
      </c>
      <c r="AF4">
        <v>46.024000000000001</v>
      </c>
      <c r="AG4">
        <f>-0.00000001884667</f>
        <v>-1.8846670000000001E-8</v>
      </c>
      <c r="AH4">
        <f>0.00000000609475</f>
        <v>6.0947499999999999E-9</v>
      </c>
      <c r="AI4">
        <f>-0.0000000006640301</f>
        <v>-6.6403009999999996E-10</v>
      </c>
      <c r="AJ4">
        <f>-0.000000008246121</f>
        <v>-8.2461210000000004E-9</v>
      </c>
      <c r="AK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'[Gpa']]]*1000000000)/(N3*material[[#This Row],[y=a*Ks/rho*Cp]]),
material[[#This Row],[Cp_A]])),
0)</f>
        <v>824.13823977079414</v>
      </c>
      <c r="AM4" s="7">
        <f>AVERAGE(90,110)</f>
        <v>100</v>
      </c>
      <c r="AN4" s="8">
        <f>AVERAGE(6.1,6.5,7.1,7.4,6.4,6.7)</f>
        <v>6.7</v>
      </c>
      <c r="AP4" s="1"/>
      <c r="AR4">
        <v>4</v>
      </c>
      <c r="AT4" t="s">
        <v>141</v>
      </c>
      <c r="BD4" t="str">
        <f t="shared" ref="BD4:BD27" si="3">K4</f>
        <v>Fe,liq</v>
      </c>
      <c r="BE4" s="10">
        <f t="shared" ref="BE4:BE27" si="4">L4</f>
        <v>1811</v>
      </c>
      <c r="BF4" s="10">
        <f t="shared" ref="BF4:BF27" si="5">M4</f>
        <v>100000</v>
      </c>
      <c r="BG4" s="10">
        <f t="shared" ref="BG4:BG27" si="6">N4</f>
        <v>8421.9856102796057</v>
      </c>
      <c r="BH4" s="10">
        <f t="shared" si="1"/>
        <v>0</v>
      </c>
      <c r="BI4" s="10">
        <f t="shared" si="2"/>
        <v>0</v>
      </c>
      <c r="BJ4" s="10">
        <f>material[[#This Row],[K_0 '[Gpa']]]</f>
        <v>85.1</v>
      </c>
      <c r="BK4" s="10">
        <f>material[[#This Row],[dK/dXs]]</f>
        <v>0</v>
      </c>
      <c r="BL4" s="10">
        <f>material[[#This Row],[dK/dXs^2]]</f>
        <v>0</v>
      </c>
      <c r="BM4" s="10">
        <f>material[[#This Row],[a_0]]</f>
        <v>0</v>
      </c>
      <c r="BN4" s="10">
        <f>material[[#This Row],[Cp '[J/Kkg']]]</f>
        <v>824.13823977079414</v>
      </c>
      <c r="BO4" s="10">
        <f>material[[#This Row],[k '[W/mK']]]*10^3</f>
        <v>100000</v>
      </c>
      <c r="BP4">
        <f>material[[#This Row],[visc '[mPas']]]*10^(-3)</f>
        <v>6.7000000000000002E-3</v>
      </c>
      <c r="BT4" t="s">
        <v>162</v>
      </c>
      <c r="BU4" t="s">
        <v>60</v>
      </c>
      <c r="BV4">
        <v>1153.9611</v>
      </c>
      <c r="BW4">
        <v>2011.8009</v>
      </c>
      <c r="BX4">
        <v>6.4683000000000002</v>
      </c>
      <c r="BY4">
        <v>1.9140000000000001E-2</v>
      </c>
      <c r="BZ4">
        <v>-6.6656000000000007E-2</v>
      </c>
      <c r="CA4">
        <v>-4.8620999999999998E-2</v>
      </c>
      <c r="CB4" cm="1">
        <f t="array" ref="CB4">SUM(ABS(BY4:CA4))</f>
        <v>0.13441700000000001</v>
      </c>
    </row>
    <row r="5" spans="2:80" x14ac:dyDescent="0.3">
      <c r="C5" t="s">
        <v>103</v>
      </c>
      <c r="D5" t="s">
        <v>109</v>
      </c>
      <c r="E5" t="s">
        <v>114</v>
      </c>
      <c r="F5" t="s">
        <v>102</v>
      </c>
      <c r="G5" t="s">
        <v>104</v>
      </c>
      <c r="I5" s="7"/>
      <c r="K5" t="s">
        <v>89</v>
      </c>
      <c r="L5" s="14">
        <v>298</v>
      </c>
      <c r="M5" s="14">
        <f>100000</f>
        <v>100000</v>
      </c>
      <c r="N5">
        <v>7019</v>
      </c>
      <c r="S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T5">
        <f>81.3</f>
        <v>81.3</v>
      </c>
      <c r="V5">
        <v>5.6</v>
      </c>
      <c r="W5">
        <f>-391</f>
        <v>-391</v>
      </c>
      <c r="X5">
        <f>554</f>
        <v>554</v>
      </c>
      <c r="Y5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81.299440000000004</v>
      </c>
      <c r="Z5">
        <f>0.00011</f>
        <v>1.1E-4</v>
      </c>
      <c r="AC5" s="1">
        <f>material[[#This Row],[a_0]]+material[[#This Row],[da/dp]]*(material[[#This Row],[p]]-material[[#This Row],[p_ref '[Gpa']]])+material[[#This Row],[da/dT]]*(material[[#This Row],[T]]-material[[#This Row],[T_ref '[K']]])</f>
        <v>1.1E-4</v>
      </c>
      <c r="AE5">
        <v>55.844999999999999</v>
      </c>
      <c r="AF5">
        <v>46.024000000000001</v>
      </c>
      <c r="AG5">
        <f>-0.00000001884667</f>
        <v>-1.8846670000000001E-8</v>
      </c>
      <c r="AH5">
        <f>0.00000000609475</f>
        <v>6.0947499999999999E-9</v>
      </c>
      <c r="AI5">
        <f>-0.0000000006640301</f>
        <v>-6.6403009999999996E-10</v>
      </c>
      <c r="AJ5">
        <f>-0.000000008246121</f>
        <v>-8.2461210000000004E-9</v>
      </c>
      <c r="AK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'[Gpa']]]*1000000000)/(N4*material[[#This Row],[y=a*Ks/rho*Cp]]),
material[[#This Row],[Cp_A]])),
0)</f>
        <v>824.13823977079414</v>
      </c>
      <c r="AM5" s="7">
        <f>AVERAGE(90,110)</f>
        <v>100</v>
      </c>
      <c r="AN5" s="8">
        <f>AVERAGE(6.1,6.5,7.1,7.4,6.4,6.7)</f>
        <v>6.7</v>
      </c>
      <c r="AO5" s="1">
        <v>0</v>
      </c>
      <c r="AR5">
        <v>5</v>
      </c>
      <c r="AT5" t="s">
        <v>141</v>
      </c>
      <c r="BD5" t="str">
        <f t="shared" si="3"/>
        <v>Fe,liq</v>
      </c>
      <c r="BE5" s="10">
        <f t="shared" si="4"/>
        <v>298</v>
      </c>
      <c r="BF5" s="10">
        <f t="shared" si="5"/>
        <v>100000</v>
      </c>
      <c r="BG5" s="10">
        <f t="shared" si="6"/>
        <v>7019</v>
      </c>
      <c r="BH5" s="10">
        <f t="shared" si="1"/>
        <v>0</v>
      </c>
      <c r="BI5" s="10">
        <f t="shared" si="2"/>
        <v>0</v>
      </c>
      <c r="BJ5" s="10">
        <f>material[[#This Row],[K_0 '[Gpa']]]</f>
        <v>81.3</v>
      </c>
      <c r="BK5" s="10">
        <f>material[[#This Row],[dK/dXs]]</f>
        <v>-391</v>
      </c>
      <c r="BL5" s="10">
        <f>material[[#This Row],[dK/dXs^2]]</f>
        <v>554</v>
      </c>
      <c r="BM5" s="10">
        <f>material[[#This Row],[a_0]]</f>
        <v>1.1E-4</v>
      </c>
      <c r="BN5" s="10">
        <f>material[[#This Row],[Cp '[J/Kkg']]]</f>
        <v>824.13823977079414</v>
      </c>
      <c r="BO5" s="10">
        <f>material[[#This Row],[k '[W/mK']]]*10^3</f>
        <v>100000</v>
      </c>
      <c r="BP5">
        <f>material[[#This Row],[visc '[mPas']]]*10^(-3)</f>
        <v>6.7000000000000002E-3</v>
      </c>
      <c r="BT5" t="s">
        <v>162</v>
      </c>
      <c r="BU5" t="s">
        <v>59</v>
      </c>
      <c r="BV5">
        <v>1182.9277999999999</v>
      </c>
      <c r="BW5">
        <v>2008.9286</v>
      </c>
      <c r="BX5">
        <v>5.9599000000000002</v>
      </c>
      <c r="BY5">
        <v>2.8971E-2</v>
      </c>
      <c r="BZ5">
        <v>-5.9915999999999997E-2</v>
      </c>
      <c r="CA5">
        <v>-5.5476999999999999E-2</v>
      </c>
      <c r="CB5" cm="1">
        <f t="array" ref="CB5">SUM(ABS(BY5:CA5))</f>
        <v>0.14436399999999999</v>
      </c>
    </row>
    <row r="6" spans="2:80" x14ac:dyDescent="0.3">
      <c r="C6" t="s">
        <v>107</v>
      </c>
      <c r="D6" t="s">
        <v>110</v>
      </c>
      <c r="E6" t="s">
        <v>113</v>
      </c>
      <c r="F6" t="s">
        <v>104</v>
      </c>
      <c r="G6" t="s">
        <v>106</v>
      </c>
      <c r="I6" s="7"/>
      <c r="K6" t="s">
        <v>85</v>
      </c>
      <c r="L6" s="1">
        <v>293</v>
      </c>
      <c r="M6" s="1">
        <v>0</v>
      </c>
      <c r="N6">
        <v>8170</v>
      </c>
      <c r="S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8170</v>
      </c>
      <c r="T6">
        <v>165</v>
      </c>
      <c r="V6">
        <v>5.5</v>
      </c>
      <c r="Y6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165</v>
      </c>
      <c r="Z6">
        <f>0.000064</f>
        <v>6.3999999999999997E-5</v>
      </c>
      <c r="AC6" s="1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AE6">
        <v>55.844999999999999</v>
      </c>
      <c r="AF6">
        <v>23.974489999999999</v>
      </c>
      <c r="AG6">
        <v>8.3677499999999991</v>
      </c>
      <c r="AH6">
        <v>2.7700000000000001E-4</v>
      </c>
      <c r="AI6">
        <v>-8.6000000000000003E-5</v>
      </c>
      <c r="AJ6">
        <v>-5.0000000000000004E-6</v>
      </c>
      <c r="AK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'[Gpa']]]*1000000000)/(N5*material[[#This Row],[y=a*Ks/rho*Cp]]),
material[[#This Row],[Cp_A]])),
0)</f>
        <v>429.30414540245317</v>
      </c>
      <c r="AM6">
        <f>232</f>
        <v>232</v>
      </c>
      <c r="AN6" s="14">
        <v>0</v>
      </c>
      <c r="AR6">
        <v>3</v>
      </c>
      <c r="AS6" t="s">
        <v>135</v>
      </c>
      <c r="AT6" t="s">
        <v>141</v>
      </c>
      <c r="BD6" t="str">
        <f t="shared" si="3"/>
        <v>Fe,sol</v>
      </c>
      <c r="BE6" s="10">
        <f t="shared" si="4"/>
        <v>293</v>
      </c>
      <c r="BF6" s="10">
        <f t="shared" si="5"/>
        <v>0</v>
      </c>
      <c r="BG6" s="10">
        <f t="shared" si="6"/>
        <v>8170</v>
      </c>
      <c r="BH6" s="10">
        <f t="shared" si="1"/>
        <v>0</v>
      </c>
      <c r="BI6" s="10">
        <f t="shared" si="2"/>
        <v>0</v>
      </c>
      <c r="BJ6" s="10">
        <f>material[[#This Row],[K_0 '[Gpa']]]</f>
        <v>165</v>
      </c>
      <c r="BK6" s="10">
        <f>material[[#This Row],[dK/dXs]]</f>
        <v>0</v>
      </c>
      <c r="BL6" s="10">
        <f>material[[#This Row],[dK/dXs^2]]</f>
        <v>0</v>
      </c>
      <c r="BM6" s="10">
        <f>material[[#This Row],[a_0]]</f>
        <v>6.3999999999999997E-5</v>
      </c>
      <c r="BN6" s="10">
        <f>material[[#This Row],[Cp '[J/Kkg']]]</f>
        <v>429.30414540245317</v>
      </c>
      <c r="BO6" s="10">
        <f>material[[#This Row],[k '[W/mK']]]*10^3</f>
        <v>232000</v>
      </c>
      <c r="BP6">
        <f>material[[#This Row],[visc '[mPas']]]*10^(-3)</f>
        <v>0</v>
      </c>
      <c r="BT6" t="s">
        <v>162</v>
      </c>
      <c r="BU6" t="s">
        <v>175</v>
      </c>
      <c r="BV6">
        <v>1273.0436999999999</v>
      </c>
      <c r="BW6">
        <v>1999.154</v>
      </c>
      <c r="BX6">
        <v>4.2220000000000004</v>
      </c>
      <c r="BY6">
        <v>8.0482999999999999E-2</v>
      </c>
      <c r="BZ6">
        <v>-6.2115999999999998E-2</v>
      </c>
      <c r="CA6">
        <v>-0.15239</v>
      </c>
      <c r="CB6" cm="1">
        <f t="array" ref="CB6">SUM(ABS(BY6:CA6))</f>
        <v>0.294989</v>
      </c>
    </row>
    <row r="7" spans="2:80" x14ac:dyDescent="0.3">
      <c r="C7" t="s">
        <v>105</v>
      </c>
      <c r="D7" t="s">
        <v>109</v>
      </c>
      <c r="E7" t="s">
        <v>112</v>
      </c>
      <c r="F7" t="s">
        <v>106</v>
      </c>
      <c r="G7">
        <v>0</v>
      </c>
      <c r="I7" s="7"/>
      <c r="K7" t="s">
        <v>85</v>
      </c>
      <c r="L7" s="14">
        <v>298</v>
      </c>
      <c r="M7" s="14">
        <f>100000</f>
        <v>100000</v>
      </c>
      <c r="N7">
        <v>7225</v>
      </c>
      <c r="S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7225</v>
      </c>
      <c r="T7">
        <f>1.27*100000000000/1000000000</f>
        <v>127</v>
      </c>
      <c r="V7">
        <v>5</v>
      </c>
      <c r="Y7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126.9995</v>
      </c>
      <c r="Z7">
        <f>0.000092</f>
        <v>9.2E-5</v>
      </c>
      <c r="AC7" s="1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AE7">
        <v>55.844999999999999</v>
      </c>
      <c r="AF7">
        <v>23.974489999999999</v>
      </c>
      <c r="AG7">
        <v>8.3677499999999991</v>
      </c>
      <c r="AH7">
        <v>2.7700000000000001E-4</v>
      </c>
      <c r="AI7">
        <v>-8.6000000000000003E-5</v>
      </c>
      <c r="AJ7">
        <v>-5.0000000000000004E-6</v>
      </c>
      <c r="AK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'[Gpa']]]*1000000000)/(N6*material[[#This Row],[y=a*Ks/rho*Cp]]),
material[[#This Row],[Cp_A]])),
0)</f>
        <v>429.30414540245317</v>
      </c>
      <c r="AM7">
        <f>232</f>
        <v>232</v>
      </c>
      <c r="AN7" s="14">
        <v>0</v>
      </c>
      <c r="AR7">
        <v>5</v>
      </c>
      <c r="AT7" t="s">
        <v>141</v>
      </c>
      <c r="BD7" t="str">
        <f t="shared" si="3"/>
        <v>Fe,sol</v>
      </c>
      <c r="BE7" s="10">
        <f t="shared" si="4"/>
        <v>298</v>
      </c>
      <c r="BF7" s="10">
        <f t="shared" si="5"/>
        <v>100000</v>
      </c>
      <c r="BG7" s="10">
        <f t="shared" si="6"/>
        <v>7225</v>
      </c>
      <c r="BH7" s="10">
        <f t="shared" si="1"/>
        <v>0</v>
      </c>
      <c r="BI7" s="10">
        <f t="shared" si="2"/>
        <v>0</v>
      </c>
      <c r="BJ7" s="10">
        <f>material[[#This Row],[K_0 '[Gpa']]]</f>
        <v>127</v>
      </c>
      <c r="BK7" s="10">
        <f>material[[#This Row],[dK/dXs]]</f>
        <v>0</v>
      </c>
      <c r="BL7" s="10">
        <f>material[[#This Row],[dK/dXs^2]]</f>
        <v>0</v>
      </c>
      <c r="BM7" s="10">
        <f>material[[#This Row],[a_0]]</f>
        <v>9.2E-5</v>
      </c>
      <c r="BN7" s="10">
        <f>material[[#This Row],[Cp '[J/Kkg']]]</f>
        <v>429.30414540245317</v>
      </c>
      <c r="BO7" s="10">
        <f>material[[#This Row],[k '[W/mK']]]*10^3</f>
        <v>232000</v>
      </c>
      <c r="BP7">
        <f>material[[#This Row],[visc '[mPas']]]*10^(-3)</f>
        <v>0</v>
      </c>
      <c r="BT7" t="s">
        <v>159</v>
      </c>
      <c r="BU7" t="s">
        <v>60</v>
      </c>
      <c r="BV7">
        <v>1733.3875</v>
      </c>
      <c r="BW7">
        <v>2011.9915000000001</v>
      </c>
      <c r="BX7">
        <v>4.7889999999999997</v>
      </c>
      <c r="BY7">
        <v>-0.33296999999999999</v>
      </c>
      <c r="BZ7">
        <v>0.71738000000000002</v>
      </c>
      <c r="CA7">
        <v>0.1641</v>
      </c>
      <c r="CB7" cm="1">
        <f t="array" ref="CB7">SUM(ABS(BY7:CA7))</f>
        <v>1.2144499999999998</v>
      </c>
    </row>
    <row r="8" spans="2:80" x14ac:dyDescent="0.3">
      <c r="K8" t="s">
        <v>88</v>
      </c>
      <c r="L8" s="1">
        <v>293</v>
      </c>
      <c r="M8" s="1">
        <v>0</v>
      </c>
      <c r="N8">
        <v>7033</v>
      </c>
      <c r="S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7033</v>
      </c>
      <c r="T8">
        <v>150</v>
      </c>
      <c r="V8">
        <v>4</v>
      </c>
      <c r="Y8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150</v>
      </c>
      <c r="Z8">
        <f>0.000064</f>
        <v>6.3999999999999997E-5</v>
      </c>
      <c r="AC8" s="1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AE8">
        <v>87.91</v>
      </c>
      <c r="AF8">
        <v>95.827799999999996</v>
      </c>
      <c r="AG8">
        <v>-85.561499999999995</v>
      </c>
      <c r="AH8">
        <v>48.720300000000002</v>
      </c>
      <c r="AI8">
        <v>-1.01E-4</v>
      </c>
      <c r="AJ8">
        <v>7.1000000000000005E-5</v>
      </c>
      <c r="AK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'[Gpa']]]*1000000000)/(N7*material[[#This Row],[y=a*Ks/rho*Cp]]),
material[[#This Row],[Cp_A]])),
0)</f>
        <v>1090.0671140939598</v>
      </c>
      <c r="AM8">
        <v>3.6</v>
      </c>
      <c r="AN8" s="8">
        <f t="shared" ref="AN8:AN14" si="7">AVERAGE(5.7,4.8,4.8,4.7)</f>
        <v>5</v>
      </c>
      <c r="AR8">
        <v>3</v>
      </c>
      <c r="AT8" t="s">
        <v>152</v>
      </c>
      <c r="BD8" t="str">
        <f t="shared" si="3"/>
        <v>Fe-3S, sol</v>
      </c>
      <c r="BE8" s="10">
        <f t="shared" si="4"/>
        <v>293</v>
      </c>
      <c r="BF8" s="10">
        <f t="shared" si="5"/>
        <v>0</v>
      </c>
      <c r="BG8" s="10">
        <f t="shared" si="6"/>
        <v>7033</v>
      </c>
      <c r="BH8" s="10">
        <f t="shared" si="1"/>
        <v>0</v>
      </c>
      <c r="BI8" s="10">
        <f t="shared" si="2"/>
        <v>0</v>
      </c>
      <c r="BJ8" s="10">
        <f>material[[#This Row],[K_0 '[Gpa']]]</f>
        <v>150</v>
      </c>
      <c r="BK8" s="10">
        <f>material[[#This Row],[dK/dXs]]</f>
        <v>0</v>
      </c>
      <c r="BL8" s="10">
        <f>material[[#This Row],[dK/dXs^2]]</f>
        <v>0</v>
      </c>
      <c r="BM8" s="10">
        <f>material[[#This Row],[a_0]]</f>
        <v>6.3999999999999997E-5</v>
      </c>
      <c r="BN8" s="10">
        <f>material[[#This Row],[Cp '[J/Kkg']]]</f>
        <v>1090.0671140939598</v>
      </c>
      <c r="BO8" s="10">
        <f>material[[#This Row],[k '[W/mK']]]*10^3</f>
        <v>3600</v>
      </c>
      <c r="BP8">
        <f>material[[#This Row],[visc '[mPas']]]*10^(-3)</f>
        <v>5.0000000000000001E-3</v>
      </c>
      <c r="BT8" t="s">
        <v>159</v>
      </c>
      <c r="BU8" t="s">
        <v>59</v>
      </c>
      <c r="BV8">
        <v>1782.3855000000001</v>
      </c>
      <c r="BW8">
        <v>2009.0728999999999</v>
      </c>
      <c r="BX8">
        <v>3.9679000000000002</v>
      </c>
      <c r="BY8">
        <v>-0.25722</v>
      </c>
      <c r="BZ8">
        <v>0.89068999999999998</v>
      </c>
      <c r="CA8">
        <v>-0.15251999999999999</v>
      </c>
      <c r="CB8" cm="1">
        <f t="array" ref="CB8">SUM(ABS(BY8:CA8))</f>
        <v>1.30043</v>
      </c>
    </row>
    <row r="9" spans="2:80" x14ac:dyDescent="0.3">
      <c r="K9" t="s">
        <v>96</v>
      </c>
      <c r="L9" s="8">
        <f>AVERAGE(1773,2123)</f>
        <v>1948</v>
      </c>
      <c r="M9" s="1">
        <v>100000</v>
      </c>
      <c r="N9">
        <v>5500</v>
      </c>
      <c r="S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5500</v>
      </c>
      <c r="T9">
        <v>63</v>
      </c>
      <c r="V9">
        <v>4.8</v>
      </c>
      <c r="Y9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62.999519999999997</v>
      </c>
      <c r="AC9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E9">
        <v>87.91</v>
      </c>
      <c r="AF9">
        <v>62.550800000000002</v>
      </c>
      <c r="AG9">
        <v>1.9999999999999999E-6</v>
      </c>
      <c r="AH9">
        <v>-6.72062E-7</v>
      </c>
      <c r="AI9">
        <f>0.00000006411921</f>
        <v>6.4119210000000001E-8</v>
      </c>
      <c r="AJ9">
        <f>-0.0000004303011</f>
        <v>-4.303011E-7</v>
      </c>
      <c r="AK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'[Gpa']]]*1000000000)/(N8*material[[#This Row],[y=a*Ks/rho*Cp]]),
material[[#This Row],[Cp_A]])),
0)</f>
        <v>711.53224889091121</v>
      </c>
      <c r="AM9">
        <v>3.6</v>
      </c>
      <c r="AN9" s="8">
        <f t="shared" si="7"/>
        <v>5</v>
      </c>
      <c r="AO9">
        <v>0.1</v>
      </c>
      <c r="AR9">
        <v>4</v>
      </c>
      <c r="AT9" t="s">
        <v>152</v>
      </c>
      <c r="AV9" s="11"/>
      <c r="BD9" t="str">
        <f t="shared" si="3"/>
        <v>Fe-S(10wt%)</v>
      </c>
      <c r="BE9" s="10">
        <f t="shared" si="4"/>
        <v>1948</v>
      </c>
      <c r="BF9" s="10">
        <f t="shared" si="5"/>
        <v>100000</v>
      </c>
      <c r="BG9" s="10">
        <f t="shared" si="6"/>
        <v>5500</v>
      </c>
      <c r="BH9" s="10">
        <f t="shared" si="1"/>
        <v>0</v>
      </c>
      <c r="BI9" s="10">
        <f t="shared" si="2"/>
        <v>0</v>
      </c>
      <c r="BJ9" s="10">
        <f>material[[#This Row],[K_0 '[Gpa']]]</f>
        <v>63</v>
      </c>
      <c r="BK9" s="10">
        <f>material[[#This Row],[dK/dXs]]</f>
        <v>0</v>
      </c>
      <c r="BL9" s="10">
        <f>material[[#This Row],[dK/dXs^2]]</f>
        <v>0</v>
      </c>
      <c r="BM9" s="10">
        <f>material[[#This Row],[a_0]]</f>
        <v>0</v>
      </c>
      <c r="BN9" s="10">
        <f>material[[#This Row],[Cp '[J/Kkg']]]</f>
        <v>711.53224889091121</v>
      </c>
      <c r="BO9" s="10">
        <f>material[[#This Row],[k '[W/mK']]]*10^3</f>
        <v>3600</v>
      </c>
      <c r="BP9">
        <f>material[[#This Row],[visc '[mPas']]]*10^(-3)</f>
        <v>5.0000000000000001E-3</v>
      </c>
      <c r="BT9" t="s">
        <v>159</v>
      </c>
      <c r="BU9" t="s">
        <v>57</v>
      </c>
      <c r="BV9">
        <v>1498.6759999999999</v>
      </c>
      <c r="BW9">
        <v>2018.0128</v>
      </c>
      <c r="BX9">
        <v>6.5547000000000004</v>
      </c>
      <c r="BY9">
        <v>-0.50280999999999998</v>
      </c>
      <c r="BZ9">
        <v>0.53805000000000003</v>
      </c>
      <c r="CA9">
        <v>0.63790999999999998</v>
      </c>
      <c r="CB9" cm="1">
        <f t="array" ref="CB9">SUM(ABS(BY9:CA9))</f>
        <v>1.6787699999999999</v>
      </c>
    </row>
    <row r="10" spans="2:80" x14ac:dyDescent="0.3">
      <c r="D10" t="s">
        <v>167</v>
      </c>
      <c r="E10" t="s">
        <v>94</v>
      </c>
      <c r="K10" t="s">
        <v>87</v>
      </c>
      <c r="L10" s="1">
        <v>1000</v>
      </c>
      <c r="M10" s="1">
        <v>0</v>
      </c>
      <c r="N10">
        <v>4872</v>
      </c>
      <c r="S1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4872</v>
      </c>
      <c r="T10">
        <v>54.3</v>
      </c>
      <c r="V10">
        <v>4</v>
      </c>
      <c r="Y10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54.3</v>
      </c>
      <c r="Z10">
        <f>0.000104</f>
        <v>1.0399999999999999E-4</v>
      </c>
      <c r="AC10" s="1">
        <f>material[[#This Row],[a_0]]+material[[#This Row],[da/dp]]*(material[[#This Row],[p]]-material[[#This Row],[p_ref '[Gpa']]])+material[[#This Row],[da/dT]]*(material[[#This Row],[T]]-material[[#This Row],[T_ref '[K']]])</f>
        <v>1.0399999999999999E-4</v>
      </c>
      <c r="AE10">
        <v>87.91</v>
      </c>
      <c r="AF10">
        <v>95.827799999999996</v>
      </c>
      <c r="AG10">
        <v>-85.561499999999995</v>
      </c>
      <c r="AH10">
        <v>48.720300000000002</v>
      </c>
      <c r="AI10">
        <v>-1.01E-4</v>
      </c>
      <c r="AJ10">
        <v>7.1000000000000005E-5</v>
      </c>
      <c r="AK1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'[Gpa']]]*1000000000)/(N9*material[[#This Row],[y=a*Ks/rho*Cp]]),
material[[#This Row],[Cp_A]])),
0)</f>
        <v>1090.0671140939598</v>
      </c>
      <c r="AM10">
        <v>3.6</v>
      </c>
      <c r="AN10" s="8">
        <f t="shared" si="7"/>
        <v>5</v>
      </c>
      <c r="AR10">
        <v>3</v>
      </c>
      <c r="AS10" t="s">
        <v>138</v>
      </c>
      <c r="AT10" t="s">
        <v>152</v>
      </c>
      <c r="BD10" t="str">
        <f t="shared" si="3"/>
        <v>Fe-S(V), sol</v>
      </c>
      <c r="BE10" s="10">
        <f t="shared" si="4"/>
        <v>1000</v>
      </c>
      <c r="BF10" s="10">
        <f t="shared" si="5"/>
        <v>0</v>
      </c>
      <c r="BG10" s="10">
        <f t="shared" si="6"/>
        <v>4872</v>
      </c>
      <c r="BH10" s="10">
        <f t="shared" si="1"/>
        <v>0</v>
      </c>
      <c r="BI10" s="10">
        <f t="shared" si="2"/>
        <v>0</v>
      </c>
      <c r="BJ10" s="10">
        <f>material[[#This Row],[K_0 '[Gpa']]]</f>
        <v>54.3</v>
      </c>
      <c r="BK10" s="10">
        <f>material[[#This Row],[dK/dXs]]</f>
        <v>0</v>
      </c>
      <c r="BL10" s="10">
        <f>material[[#This Row],[dK/dXs^2]]</f>
        <v>0</v>
      </c>
      <c r="BM10" s="10">
        <f>material[[#This Row],[a_0]]</f>
        <v>1.0399999999999999E-4</v>
      </c>
      <c r="BN10" s="10">
        <f>material[[#This Row],[Cp '[J/Kkg']]]</f>
        <v>1090.0671140939598</v>
      </c>
      <c r="BO10" s="10">
        <f>material[[#This Row],[k '[W/mK']]]*10^3</f>
        <v>3600</v>
      </c>
      <c r="BP10">
        <f>material[[#This Row],[visc '[mPas']]]*10^(-3)</f>
        <v>5.0000000000000001E-3</v>
      </c>
      <c r="BT10" t="s">
        <v>85</v>
      </c>
      <c r="BU10" t="s">
        <v>57</v>
      </c>
      <c r="BV10">
        <v>1655.4603999999999</v>
      </c>
      <c r="BW10">
        <v>2018.0442</v>
      </c>
      <c r="BX10">
        <v>5.9947999999999997</v>
      </c>
      <c r="BY10">
        <v>-0.96487999999999996</v>
      </c>
      <c r="BZ10">
        <v>1.1155999999999999</v>
      </c>
      <c r="CA10">
        <v>1.2038</v>
      </c>
      <c r="CB10" cm="1">
        <f t="array" ref="CB10">SUM(ABS(BY10:CA10))</f>
        <v>3.2842799999999999</v>
      </c>
    </row>
    <row r="11" spans="2:80" x14ac:dyDescent="0.3">
      <c r="C11" t="s">
        <v>30</v>
      </c>
      <c r="D11">
        <v>0</v>
      </c>
      <c r="K11" t="s">
        <v>91</v>
      </c>
      <c r="L11" s="1">
        <v>1770</v>
      </c>
      <c r="M11" s="1">
        <v>0</v>
      </c>
      <c r="N11">
        <v>7019</v>
      </c>
      <c r="Q11">
        <v>-20012</v>
      </c>
      <c r="R11">
        <v>31524</v>
      </c>
      <c r="S1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7019</v>
      </c>
      <c r="T11">
        <v>85.9</v>
      </c>
      <c r="V11">
        <v>5.0999999999999996</v>
      </c>
      <c r="W11">
        <v>-462.4</v>
      </c>
      <c r="X11">
        <v>780.8</v>
      </c>
      <c r="Y11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85.9</v>
      </c>
      <c r="Z11">
        <f>0.000092</f>
        <v>9.2E-5</v>
      </c>
      <c r="AC11" s="1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AE11">
        <v>87.91</v>
      </c>
      <c r="AF11">
        <v>62.550800000000002</v>
      </c>
      <c r="AG11">
        <v>1.9999999999999999E-6</v>
      </c>
      <c r="AH11">
        <v>-6.72062E-7</v>
      </c>
      <c r="AI11">
        <f>0.00000006411921</f>
        <v>6.4119210000000001E-8</v>
      </c>
      <c r="AJ11">
        <f>-0.0000004303011</f>
        <v>-4.303011E-7</v>
      </c>
      <c r="AK1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'[Gpa']]]*1000000000)/(N10*material[[#This Row],[y=a*Ks/rho*Cp]]),
material[[#This Row],[Cp_A]])),
0)</f>
        <v>711.53224889091121</v>
      </c>
      <c r="AM11">
        <v>3.6</v>
      </c>
      <c r="AN11" s="8">
        <f t="shared" si="7"/>
        <v>5</v>
      </c>
      <c r="AO11" s="1">
        <v>0</v>
      </c>
      <c r="AR11">
        <v>3</v>
      </c>
      <c r="AS11" t="s">
        <v>139</v>
      </c>
      <c r="AT11" t="s">
        <v>152</v>
      </c>
      <c r="BD11" t="str">
        <f t="shared" si="3"/>
        <v>Fe-S,liq</v>
      </c>
      <c r="BE11" s="10">
        <f t="shared" si="4"/>
        <v>1770</v>
      </c>
      <c r="BF11" s="10">
        <f t="shared" si="5"/>
        <v>0</v>
      </c>
      <c r="BG11" s="10">
        <f t="shared" si="6"/>
        <v>7019</v>
      </c>
      <c r="BH11" s="10">
        <f t="shared" si="1"/>
        <v>-20012</v>
      </c>
      <c r="BI11" s="10">
        <f t="shared" si="2"/>
        <v>31524</v>
      </c>
      <c r="BJ11" s="10">
        <f>material[[#This Row],[K_0 '[Gpa']]]</f>
        <v>85.9</v>
      </c>
      <c r="BK11" s="10">
        <f>material[[#This Row],[dK/dXs]]</f>
        <v>-462.4</v>
      </c>
      <c r="BL11" s="10">
        <f>material[[#This Row],[dK/dXs^2]]</f>
        <v>780.8</v>
      </c>
      <c r="BM11" s="10">
        <f>material[[#This Row],[a_0]]</f>
        <v>9.2E-5</v>
      </c>
      <c r="BN11" s="10">
        <f>material[[#This Row],[Cp '[J/Kkg']]]</f>
        <v>711.53224889091121</v>
      </c>
      <c r="BO11" s="10">
        <f>material[[#This Row],[k '[W/mK']]]*10^3</f>
        <v>3600</v>
      </c>
      <c r="BP11">
        <f>material[[#This Row],[visc '[mPas']]]*10^(-3)</f>
        <v>5.0000000000000001E-3</v>
      </c>
      <c r="BT11" t="s">
        <v>85</v>
      </c>
      <c r="BU11" t="s">
        <v>60</v>
      </c>
      <c r="BV11">
        <v>2007.9825000000001</v>
      </c>
      <c r="BW11">
        <v>2012.2234000000001</v>
      </c>
      <c r="BX11">
        <v>3.5514999999999999</v>
      </c>
      <c r="BY11">
        <v>-7.2372000000000001E-3</v>
      </c>
      <c r="BZ11">
        <v>1.9221999999999999</v>
      </c>
      <c r="CA11">
        <v>-1.5531999999999999</v>
      </c>
      <c r="CB11" cm="1">
        <f t="array" ref="CB11">SUM(ABS(BY11:CA11))</f>
        <v>3.4826372000000001</v>
      </c>
    </row>
    <row r="12" spans="2:80" x14ac:dyDescent="0.3">
      <c r="C12" t="s">
        <v>164</v>
      </c>
      <c r="D12" t="s">
        <v>170</v>
      </c>
      <c r="K12" t="s">
        <v>91</v>
      </c>
      <c r="L12" s="1">
        <v>273</v>
      </c>
      <c r="M12" s="1">
        <v>100000</v>
      </c>
      <c r="N12">
        <v>4598</v>
      </c>
      <c r="P12">
        <v>-0.57999999999999996</v>
      </c>
      <c r="S1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4756.34</v>
      </c>
      <c r="Y12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0</v>
      </c>
      <c r="AC1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E12">
        <v>87.91</v>
      </c>
      <c r="AF12">
        <v>62.550800000000002</v>
      </c>
      <c r="AG12">
        <v>1.9999999999999999E-6</v>
      </c>
      <c r="AH12">
        <v>-6.72062E-7</v>
      </c>
      <c r="AI12">
        <f>0.00000006411921</f>
        <v>6.4119210000000001E-8</v>
      </c>
      <c r="AJ12">
        <f>-0.0000004303011</f>
        <v>-4.303011E-7</v>
      </c>
      <c r="AK1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'[Gpa']]]*1000000000)/(N11*material[[#This Row],[y=a*Ks/rho*Cp]]),
material[[#This Row],[Cp_A]])),
0)</f>
        <v>711.53224889091121</v>
      </c>
      <c r="AM12">
        <v>3.6</v>
      </c>
      <c r="AN12" s="8">
        <f>AVERAGE(5.7,4.8,4.8,4.7)</f>
        <v>5</v>
      </c>
      <c r="AP12" s="1">
        <v>0</v>
      </c>
      <c r="AR12">
        <v>4</v>
      </c>
      <c r="AT12" t="s">
        <v>152</v>
      </c>
      <c r="BD12" t="str">
        <f t="shared" si="3"/>
        <v>Fe-S,liq</v>
      </c>
      <c r="BE12" s="10">
        <f t="shared" si="4"/>
        <v>273</v>
      </c>
      <c r="BF12" s="10">
        <f t="shared" si="5"/>
        <v>100000</v>
      </c>
      <c r="BG12" s="10">
        <f t="shared" si="6"/>
        <v>4598</v>
      </c>
      <c r="BH12" s="10">
        <f t="shared" si="1"/>
        <v>0</v>
      </c>
      <c r="BI12" s="10">
        <f t="shared" si="2"/>
        <v>0</v>
      </c>
      <c r="BJ12" s="10">
        <f>material[[#This Row],[K_0 '[Gpa']]]</f>
        <v>0</v>
      </c>
      <c r="BK12" s="10">
        <f>material[[#This Row],[dK/dXs]]</f>
        <v>0</v>
      </c>
      <c r="BL12" s="10">
        <f>material[[#This Row],[dK/dXs^2]]</f>
        <v>0</v>
      </c>
      <c r="BM12" s="10">
        <f>material[[#This Row],[a_0]]</f>
        <v>0</v>
      </c>
      <c r="BN12" s="10">
        <f>material[[#This Row],[Cp '[J/Kkg']]]</f>
        <v>711.53224889091121</v>
      </c>
      <c r="BO12" s="10">
        <f>material[[#This Row],[k '[W/mK']]]*10^3</f>
        <v>3600</v>
      </c>
      <c r="BP12">
        <f>material[[#This Row],[visc '[mPas']]]*10^(-3)</f>
        <v>5.0000000000000001E-3</v>
      </c>
      <c r="BT12" t="s">
        <v>85</v>
      </c>
      <c r="BU12" t="s">
        <v>59</v>
      </c>
      <c r="BV12">
        <v>2009.3345999999999</v>
      </c>
      <c r="BW12">
        <v>2009.3345999999999</v>
      </c>
      <c r="BX12">
        <v>0.74846999999999997</v>
      </c>
      <c r="BY12">
        <v>0.43391000000000002</v>
      </c>
      <c r="BZ12">
        <v>2.4466000000000001</v>
      </c>
      <c r="CA12">
        <v>-2.0243000000000002</v>
      </c>
      <c r="CB12" cm="1">
        <f t="array" ref="CB12">SUM(ABS(BY12:CA12))</f>
        <v>4.9048100000000003</v>
      </c>
    </row>
    <row r="13" spans="2:80" x14ac:dyDescent="0.3">
      <c r="C13" t="s">
        <v>169</v>
      </c>
      <c r="D13" t="s">
        <v>171</v>
      </c>
      <c r="E13" t="s">
        <v>172</v>
      </c>
      <c r="K13" t="s">
        <v>90</v>
      </c>
      <c r="L13" s="1">
        <v>1723</v>
      </c>
      <c r="M13" s="1">
        <v>0</v>
      </c>
      <c r="N13">
        <v>6000</v>
      </c>
      <c r="S1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6000</v>
      </c>
      <c r="T13">
        <v>73</v>
      </c>
      <c r="V13">
        <v>4</v>
      </c>
      <c r="Y13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73</v>
      </c>
      <c r="Z13">
        <f>0.000092</f>
        <v>9.2E-5</v>
      </c>
      <c r="AC13" s="1">
        <f>material[[#This Row],[a_0]]+material[[#This Row],[da/dp]]*(material[[#This Row],[p]]-material[[#This Row],[p_ref '[Gpa']]])+material[[#This Row],[da/dT]]*(material[[#This Row],[T]]-material[[#This Row],[T_ref '[K']]])</f>
        <v>9.2E-5</v>
      </c>
      <c r="AE13">
        <v>83.93</v>
      </c>
      <c r="AF13">
        <f>AVERAGE(VLOOKUP("Fe,sol",material[],AF$1,FALSE),VLOOKUP("Si,sol",material[],AF$1,FALSE))</f>
        <v>27.922499999999999</v>
      </c>
      <c r="AG13">
        <f>AVERAGE(VLOOKUP("Fe,sol",material[],AG$1,FALSE),VLOOKUP("Si,sol",material[],AG$1,FALSE))</f>
        <v>25.585265</v>
      </c>
      <c r="AH13">
        <f>AVERAGE(VLOOKUP("Fe,sol",material[],AH$1,FALSE),VLOOKUP("Si,sol",material[],AH$1,FALSE))</f>
        <v>4.1838749999400839</v>
      </c>
      <c r="AI13">
        <f>AVERAGE(VLOOKUP("Fe,sol",material[],AI$1,FALSE),VLOOKUP("Si,sol",material[],AI$1,FALSE))</f>
        <v>1.3850002676631001E-4</v>
      </c>
      <c r="AJ13">
        <f>AVERAGE(VLOOKUP("Fe,sol",material[],AJ$1,FALSE),VLOOKUP("Si,sol",material[],AJ$1,FALSE))</f>
        <v>-4.3000003478306003E-5</v>
      </c>
      <c r="AK1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'[Gpa']]]*1000000000)/(N12*material[[#This Row],[y=a*Ks/rho*Cp]]),
material[[#This Row],[Cp_A]])),
0)</f>
        <v>332.68795424758724</v>
      </c>
      <c r="AM13" s="7">
        <f>AVERAGE(100,110)</f>
        <v>105</v>
      </c>
      <c r="AN13" s="8">
        <f t="shared" si="7"/>
        <v>5</v>
      </c>
      <c r="AR13">
        <v>3</v>
      </c>
      <c r="AS13" t="s">
        <v>137</v>
      </c>
      <c r="BD13" t="str">
        <f t="shared" si="3"/>
        <v>Fe-Si(17wt%), liq</v>
      </c>
      <c r="BE13" s="10">
        <f t="shared" si="4"/>
        <v>1723</v>
      </c>
      <c r="BF13" s="10">
        <f t="shared" si="5"/>
        <v>0</v>
      </c>
      <c r="BG13" s="10">
        <f t="shared" si="6"/>
        <v>6000</v>
      </c>
      <c r="BH13" s="10">
        <f t="shared" si="1"/>
        <v>0</v>
      </c>
      <c r="BI13" s="10">
        <f t="shared" si="2"/>
        <v>0</v>
      </c>
      <c r="BJ13" s="10">
        <f>material[[#This Row],[K_0 '[Gpa']]]</f>
        <v>73</v>
      </c>
      <c r="BK13" s="10">
        <f>material[[#This Row],[dK/dXs]]</f>
        <v>0</v>
      </c>
      <c r="BL13" s="10">
        <f>material[[#This Row],[dK/dXs^2]]</f>
        <v>0</v>
      </c>
      <c r="BM13" s="10">
        <f>material[[#This Row],[a_0]]</f>
        <v>9.2E-5</v>
      </c>
      <c r="BN13" s="10">
        <f>material[[#This Row],[Cp '[J/Kkg']]]</f>
        <v>332.68795424758724</v>
      </c>
      <c r="BO13" s="10">
        <f>material[[#This Row],[k '[W/mK']]]*10^3</f>
        <v>105000</v>
      </c>
      <c r="BP13">
        <f>material[[#This Row],[visc '[mPas']]]*10^(-3)</f>
        <v>5.0000000000000001E-3</v>
      </c>
      <c r="BT13" t="s">
        <v>159</v>
      </c>
      <c r="BU13" t="s">
        <v>175</v>
      </c>
      <c r="BV13">
        <v>1999.6213</v>
      </c>
      <c r="BW13">
        <v>1999.6213</v>
      </c>
      <c r="BX13">
        <v>0</v>
      </c>
      <c r="BY13">
        <v>1.9919</v>
      </c>
      <c r="BZ13">
        <v>2.2023999999999999</v>
      </c>
      <c r="CA13">
        <v>-5.2622</v>
      </c>
      <c r="CB13" cm="1">
        <f t="array" ref="CB13">SUM(ABS(BY13:CA13))</f>
        <v>9.4565000000000001</v>
      </c>
    </row>
    <row r="14" spans="2:80" x14ac:dyDescent="0.3">
      <c r="C14" t="s">
        <v>165</v>
      </c>
      <c r="D14" t="s">
        <v>174</v>
      </c>
      <c r="K14" t="s">
        <v>86</v>
      </c>
      <c r="L14" s="1">
        <v>300</v>
      </c>
      <c r="M14" s="1">
        <v>0</v>
      </c>
      <c r="N14">
        <v>7147</v>
      </c>
      <c r="S1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7147</v>
      </c>
      <c r="T14">
        <v>141</v>
      </c>
      <c r="V14">
        <v>5.7</v>
      </c>
      <c r="Y14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141</v>
      </c>
      <c r="Z14">
        <f>0.000064</f>
        <v>6.3999999999999997E-5</v>
      </c>
      <c r="AC14" s="1">
        <f>material[[#This Row],[a_0]]+material[[#This Row],[da/dp]]*(material[[#This Row],[p]]-material[[#This Row],[p_ref '[Gpa']]])+material[[#This Row],[da/dT]]*(material[[#This Row],[T]]-material[[#This Row],[T_ref '[K']]])</f>
        <v>6.3999999999999997E-5</v>
      </c>
      <c r="AE14">
        <v>83.93</v>
      </c>
      <c r="AF14">
        <f>AVERAGE(VLOOKUP("Fe,sol",material[],AF$1,FALSE),VLOOKUP("Si,sol",material[],AF$1,FALSE))</f>
        <v>27.922499999999999</v>
      </c>
      <c r="AG14">
        <f>AVERAGE(VLOOKUP("Fe,sol",material[],AG$1,FALSE),VLOOKUP("Si,sol",material[],AG$1,FALSE))</f>
        <v>25.585265</v>
      </c>
      <c r="AH14">
        <f>AVERAGE(VLOOKUP("Fe,sol",material[],AH$1,FALSE),VLOOKUP("Si,sol",material[],AH$1,FALSE))</f>
        <v>4.1838749999400839</v>
      </c>
      <c r="AI14">
        <f>AVERAGE(VLOOKUP("Fe,sol",material[],AI$1,FALSE),VLOOKUP("Si,sol",material[],AI$1,FALSE))</f>
        <v>1.3850002676631001E-4</v>
      </c>
      <c r="AJ14">
        <f>AVERAGE(VLOOKUP("Fe,sol",material[],AJ$1,FALSE),VLOOKUP("Si,sol",material[],AJ$1,FALSE))</f>
        <v>-4.3000003478306003E-5</v>
      </c>
      <c r="AK1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'[Gpa']]]*1000000000)/(N13*material[[#This Row],[y=a*Ks/rho*Cp]]),
material[[#This Row],[Cp_A]])),
0)</f>
        <v>332.68795424758724</v>
      </c>
      <c r="AM14" s="7">
        <f>AVERAGE(100,110)</f>
        <v>105</v>
      </c>
      <c r="AN14" s="8">
        <f t="shared" si="7"/>
        <v>5</v>
      </c>
      <c r="AR14">
        <v>3</v>
      </c>
      <c r="AS14" s="12" t="s">
        <v>137</v>
      </c>
      <c r="BD14" t="str">
        <f t="shared" si="3"/>
        <v>Fe-Si(17wt%), sol</v>
      </c>
      <c r="BE14" s="10">
        <f t="shared" si="4"/>
        <v>300</v>
      </c>
      <c r="BF14" s="10">
        <f t="shared" si="5"/>
        <v>0</v>
      </c>
      <c r="BG14" s="10">
        <f t="shared" si="6"/>
        <v>7147</v>
      </c>
      <c r="BH14" s="10">
        <f t="shared" si="1"/>
        <v>0</v>
      </c>
      <c r="BI14" s="10">
        <f t="shared" si="2"/>
        <v>0</v>
      </c>
      <c r="BJ14" s="10">
        <f>material[[#This Row],[K_0 '[Gpa']]]</f>
        <v>141</v>
      </c>
      <c r="BK14" s="10">
        <f>material[[#This Row],[dK/dXs]]</f>
        <v>0</v>
      </c>
      <c r="BL14" s="10">
        <f>material[[#This Row],[dK/dXs^2]]</f>
        <v>0</v>
      </c>
      <c r="BM14" s="10">
        <f>material[[#This Row],[a_0]]</f>
        <v>6.3999999999999997E-5</v>
      </c>
      <c r="BN14" s="10">
        <f>material[[#This Row],[Cp '[J/Kkg']]]</f>
        <v>332.68795424758724</v>
      </c>
      <c r="BO14" s="10">
        <f>material[[#This Row],[k '[W/mK']]]*10^3</f>
        <v>105000</v>
      </c>
      <c r="BP14">
        <f>material[[#This Row],[visc '[mPas']]]*10^(-3)</f>
        <v>5.0000000000000001E-3</v>
      </c>
      <c r="BT14" t="s">
        <v>89</v>
      </c>
      <c r="BU14" t="s">
        <v>59</v>
      </c>
      <c r="BV14">
        <v>1832.4221</v>
      </c>
      <c r="BW14">
        <v>2000.1612</v>
      </c>
      <c r="BX14">
        <v>0</v>
      </c>
      <c r="BY14">
        <v>-3.9519000000000002</v>
      </c>
      <c r="BZ14">
        <v>5.0327999999999999</v>
      </c>
      <c r="CA14">
        <v>1.5412999999999999</v>
      </c>
      <c r="CB14" cm="1">
        <f t="array" ref="CB14">SUM(ABS(BY14:CA14))</f>
        <v>10.526</v>
      </c>
    </row>
    <row r="15" spans="2:80" x14ac:dyDescent="0.3">
      <c r="C15" t="s">
        <v>166</v>
      </c>
      <c r="D15" t="s">
        <v>173</v>
      </c>
      <c r="E15" t="s">
        <v>168</v>
      </c>
      <c r="K15" t="s">
        <v>29</v>
      </c>
      <c r="L15" s="1">
        <v>440</v>
      </c>
      <c r="M15" s="1">
        <v>0</v>
      </c>
      <c r="N15" s="7">
        <f>AVERAGE(2800,3600)</f>
        <v>3200</v>
      </c>
      <c r="O15" s="7"/>
      <c r="P15" s="7"/>
      <c r="Q15" s="7"/>
      <c r="R15" s="7"/>
      <c r="S1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3200</v>
      </c>
      <c r="T15">
        <v>120</v>
      </c>
      <c r="V15">
        <v>4.25</v>
      </c>
      <c r="Y15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120</v>
      </c>
      <c r="Z15">
        <f>0.00003</f>
        <v>3.0000000000000001E-5</v>
      </c>
      <c r="AC15" s="1">
        <f>material[[#This Row],[a_0]]+material[[#This Row],[da/dp]]*(material[[#This Row],[p]]-material[[#This Row],[p_ref '[Gpa']]])+material[[#This Row],[da/dT]]*(material[[#This Row],[T]]-material[[#This Row],[T_ref '[K']]])</f>
        <v>3.0000000000000001E-5</v>
      </c>
      <c r="AF15">
        <v>422</v>
      </c>
      <c r="AK1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'[Gpa']]]*1000000000)/(N14*material[[#This Row],[y=a*Ks/rho*Cp]]),
material[[#This Row],[Cp_A]])),
0)</f>
        <v>422</v>
      </c>
      <c r="AL15" s="7">
        <f>AVERAGE(0.0000017,0.00000075,0.000001,0.0000003,0.0000014,0.0000004)</f>
        <v>9.2499999999999993E-7</v>
      </c>
      <c r="AM15">
        <f>material[[#This Row],[ⲕ '[Wm2/J']]]*material[[#This Row],[rho '[kg/m3']]]*material[[#This Row],[Cp '[J/Kkg']]]</f>
        <v>1.24912</v>
      </c>
      <c r="AN15" s="14">
        <v>0</v>
      </c>
      <c r="AR15">
        <v>3</v>
      </c>
      <c r="AT15" t="s">
        <v>141</v>
      </c>
      <c r="BD15" t="str">
        <f t="shared" si="3"/>
        <v>mantle</v>
      </c>
      <c r="BE15" s="10">
        <f t="shared" si="4"/>
        <v>440</v>
      </c>
      <c r="BF15" s="10">
        <f t="shared" si="5"/>
        <v>0</v>
      </c>
      <c r="BG15" s="10">
        <f t="shared" si="6"/>
        <v>3200</v>
      </c>
      <c r="BH15" s="10">
        <f t="shared" si="1"/>
        <v>0</v>
      </c>
      <c r="BI15" s="10">
        <f t="shared" si="2"/>
        <v>0</v>
      </c>
      <c r="BJ15" s="10">
        <f>material[[#This Row],[K_0 '[Gpa']]]</f>
        <v>120</v>
      </c>
      <c r="BK15" s="10">
        <f>material[[#This Row],[dK/dXs]]</f>
        <v>0</v>
      </c>
      <c r="BL15" s="10">
        <f>material[[#This Row],[dK/dXs^2]]</f>
        <v>0</v>
      </c>
      <c r="BM15" s="10">
        <f>material[[#This Row],[a_0]]</f>
        <v>3.0000000000000001E-5</v>
      </c>
      <c r="BN15" s="10">
        <f>material[[#This Row],[Cp '[J/Kkg']]]</f>
        <v>422</v>
      </c>
      <c r="BO15" s="10">
        <f>material[[#This Row],[k '[W/mK']]]*10^3</f>
        <v>1249.1200000000001</v>
      </c>
      <c r="BP15">
        <f>material[[#This Row],[visc '[mPas']]]*10^(-3)</f>
        <v>0</v>
      </c>
      <c r="BT15" t="s">
        <v>89</v>
      </c>
      <c r="BU15" t="s">
        <v>57</v>
      </c>
      <c r="BV15">
        <v>2030.0454999999999</v>
      </c>
      <c r="BW15">
        <v>2030.0454999999999</v>
      </c>
      <c r="BX15">
        <v>0</v>
      </c>
      <c r="BY15">
        <v>-1.8929</v>
      </c>
      <c r="BZ15">
        <v>3.5316000000000001</v>
      </c>
      <c r="CA15">
        <v>7.1055999999999999</v>
      </c>
      <c r="CB15" cm="1">
        <f t="array" ref="CB15">SUM(ABS(BY15:CA15))</f>
        <v>12.530100000000001</v>
      </c>
    </row>
    <row r="16" spans="2:80" x14ac:dyDescent="0.3">
      <c r="K16" t="s">
        <v>148</v>
      </c>
      <c r="L16" s="14">
        <v>298</v>
      </c>
      <c r="M16" s="14">
        <f>100000</f>
        <v>100000</v>
      </c>
      <c r="S1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1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1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F16">
        <v>27.19604</v>
      </c>
      <c r="AG16">
        <v>-1.198306E-10</v>
      </c>
      <c r="AH16">
        <v>5.3532620000000002E-11</v>
      </c>
      <c r="AI16">
        <v>-6.9566120000000001E-12</v>
      </c>
      <c r="AJ16">
        <v>-4.2943750000000001E-12</v>
      </c>
      <c r="AK1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'[Gpa']]]*1000000000)/(N15*material[[#This Row],[y=a*Ks/rho*Cp]]),
material[[#This Row],[Cp_A]])),
0)</f>
        <v>27.19604</v>
      </c>
      <c r="AN16" s="14">
        <v>0</v>
      </c>
      <c r="AT16" t="s">
        <v>153</v>
      </c>
      <c r="BD16" t="str">
        <f t="shared" si="3"/>
        <v>Si,sol</v>
      </c>
      <c r="BE16" s="10">
        <f t="shared" si="4"/>
        <v>298</v>
      </c>
      <c r="BF16" s="10">
        <f t="shared" si="5"/>
        <v>100000</v>
      </c>
      <c r="BG16" s="10">
        <f t="shared" si="6"/>
        <v>0</v>
      </c>
      <c r="BH16" s="10">
        <f t="shared" si="1"/>
        <v>0</v>
      </c>
      <c r="BI16" s="10">
        <f t="shared" si="2"/>
        <v>0</v>
      </c>
      <c r="BJ16" s="10">
        <f>material[[#This Row],[K_0 '[Gpa']]]</f>
        <v>0</v>
      </c>
      <c r="BK16" s="10">
        <f>material[[#This Row],[dK/dXs]]</f>
        <v>0</v>
      </c>
      <c r="BL16" s="10">
        <f>material[[#This Row],[dK/dXs^2]]</f>
        <v>0</v>
      </c>
      <c r="BM16" s="10">
        <f>material[[#This Row],[a_0]]</f>
        <v>0</v>
      </c>
      <c r="BN16" s="10">
        <f>material[[#This Row],[Cp '[J/Kkg']]]</f>
        <v>27.19604</v>
      </c>
      <c r="BO16" s="10">
        <f>material[[#This Row],[k '[W/mK']]]*10^3</f>
        <v>0</v>
      </c>
      <c r="BP16">
        <f>material[[#This Row],[visc '[mPas']]]*10^(-3)</f>
        <v>0</v>
      </c>
      <c r="BT16" t="s">
        <v>89</v>
      </c>
      <c r="BU16" t="s">
        <v>60</v>
      </c>
      <c r="BV16">
        <v>2028.8815999999999</v>
      </c>
      <c r="BW16">
        <v>2028.8815999999999</v>
      </c>
      <c r="BX16">
        <v>0</v>
      </c>
      <c r="BY16">
        <v>-1.4634</v>
      </c>
      <c r="BZ16">
        <v>3.9013</v>
      </c>
      <c r="CA16">
        <v>7.4173999999999998</v>
      </c>
      <c r="CB16" cm="1">
        <f t="array" ref="CB16">SUM(ABS(BY16:CA16))</f>
        <v>12.7821</v>
      </c>
    </row>
    <row r="17" spans="2:80" x14ac:dyDescent="0.3">
      <c r="K17" t="s">
        <v>93</v>
      </c>
      <c r="L17" s="1">
        <v>1573</v>
      </c>
      <c r="M17" s="1">
        <v>100000</v>
      </c>
      <c r="N17">
        <v>7413</v>
      </c>
      <c r="S1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7413</v>
      </c>
      <c r="T17">
        <v>103</v>
      </c>
      <c r="U17">
        <v>-0.02</v>
      </c>
      <c r="V17">
        <v>5</v>
      </c>
      <c r="Y17" s="1">
        <f>material[[#This Row],[K_0 '[Gpa']]]+material[[#This Row],[dK/dT]]*(material[[#This Row],[T]]-material[[#This Row],[T_ref '[K']]])+(material[[#This Row],[dK/dp '[-']]]/1000000000)*(material[[#This Row],[p]]-material[[#This Row],[p_ref '[Gpa']]])+material[[#This Row],[dK/dXs]]*material[[#This Row],[sulfur fraction X_s]]+material[[#This Row],[dK/dXs^2]]*material[[#This Row],[sulfur fraction X_s]]^2</f>
        <v>134.45950000000002</v>
      </c>
      <c r="Z17">
        <f>0.000077</f>
        <v>7.7000000000000001E-5</v>
      </c>
      <c r="AC17" s="1">
        <f>material[[#This Row],[a_0]]+material[[#This Row],[da/dp]]*(material[[#This Row],[p]]-material[[#This Row],[p_ref '[Gpa']]])+material[[#This Row],[da/dT]]*(material[[#This Row],[T]]-material[[#This Row],[T_ref '[K']]])</f>
        <v>7.7000000000000001E-5</v>
      </c>
      <c r="AF17">
        <v>23.974489999999999</v>
      </c>
      <c r="AG17">
        <v>8.3677499999999991</v>
      </c>
      <c r="AH17">
        <v>2.7700000000000001E-4</v>
      </c>
      <c r="AI17">
        <v>-8.6000000000000003E-5</v>
      </c>
      <c r="AJ17">
        <v>-5.0000000000000004E-6</v>
      </c>
      <c r="AK1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'[Gpa']]]*1000000000)/(N16*material[[#This Row],[y=a*Ks/rho*Cp]]),
material[[#This Row],[Cp_A]])),
0)</f>
        <v>23.974489999999999</v>
      </c>
      <c r="AM17">
        <f>232</f>
        <v>232</v>
      </c>
      <c r="AN17" s="14">
        <v>0</v>
      </c>
      <c r="AR17">
        <v>4</v>
      </c>
      <c r="BD17" t="str">
        <f t="shared" si="3"/>
        <v>y-Fe</v>
      </c>
      <c r="BE17" s="10">
        <f t="shared" si="4"/>
        <v>1573</v>
      </c>
      <c r="BF17" s="10">
        <f t="shared" si="5"/>
        <v>100000</v>
      </c>
      <c r="BG17" s="10">
        <f t="shared" si="6"/>
        <v>7413</v>
      </c>
      <c r="BH17" s="10">
        <f t="shared" si="1"/>
        <v>0</v>
      </c>
      <c r="BI17" s="10">
        <f t="shared" si="2"/>
        <v>0</v>
      </c>
      <c r="BJ17" s="10">
        <f>material[[#This Row],[K_0 '[Gpa']]]</f>
        <v>103</v>
      </c>
      <c r="BK17" s="10">
        <f>material[[#This Row],[dK/dXs]]</f>
        <v>0</v>
      </c>
      <c r="BL17" s="10">
        <f>material[[#This Row],[dK/dXs^2]]</f>
        <v>0</v>
      </c>
      <c r="BM17" s="10">
        <f>material[[#This Row],[a_0]]</f>
        <v>7.7000000000000001E-5</v>
      </c>
      <c r="BN17" s="10">
        <f>material[[#This Row],[Cp '[J/Kkg']]]</f>
        <v>23.974489999999999</v>
      </c>
      <c r="BO17" s="10">
        <f>material[[#This Row],[k '[W/mK']]]*10^3</f>
        <v>232000</v>
      </c>
      <c r="BP17">
        <f>material[[#This Row],[visc '[mPas']]]*10^(-3)</f>
        <v>0</v>
      </c>
      <c r="BT17" t="s">
        <v>89</v>
      </c>
      <c r="BU17" t="s">
        <v>175</v>
      </c>
      <c r="BV17">
        <v>2033.4405999999999</v>
      </c>
      <c r="BW17">
        <v>2033.4405999999999</v>
      </c>
      <c r="BX17">
        <v>0</v>
      </c>
      <c r="BY17">
        <v>-1.0878000000000001</v>
      </c>
      <c r="BZ17">
        <v>4.5106000000000002</v>
      </c>
      <c r="CA17">
        <v>12.243600000000001</v>
      </c>
      <c r="CB17" cm="1">
        <f t="array" ref="CB17">SUM(ABS(BY17:CA17))</f>
        <v>17.841999999999999</v>
      </c>
    </row>
    <row r="18" spans="2:80" x14ac:dyDescent="0.3">
      <c r="K18" t="s">
        <v>175</v>
      </c>
      <c r="L18" s="1">
        <v>440</v>
      </c>
      <c r="M18" s="1">
        <f>100000</f>
        <v>100000</v>
      </c>
      <c r="N18">
        <v>3200</v>
      </c>
      <c r="S18" s="1">
        <v>6000</v>
      </c>
      <c r="T18">
        <v>120</v>
      </c>
      <c r="U18">
        <v>-1.6E-2</v>
      </c>
      <c r="V18">
        <v>4.25</v>
      </c>
      <c r="Y18" s="1">
        <v>120</v>
      </c>
      <c r="Z18">
        <v>0</v>
      </c>
      <c r="AC18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F18">
        <v>422</v>
      </c>
      <c r="AK1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'[Gpa']]]*1000000000)/(N17*material[[#This Row],[y=a*Ks/rho*Cp]]),
material[[#This Row],[Cp_A]])),
0)</f>
        <v>422</v>
      </c>
      <c r="AL18">
        <v>0</v>
      </c>
      <c r="AM18">
        <v>1.25</v>
      </c>
      <c r="AN18" s="14">
        <v>0</v>
      </c>
      <c r="AR18">
        <v>3</v>
      </c>
      <c r="BD18" t="str">
        <f t="shared" si="3"/>
        <v>crust</v>
      </c>
      <c r="BE18" s="10">
        <f t="shared" si="4"/>
        <v>440</v>
      </c>
      <c r="BF18" s="10">
        <f t="shared" si="5"/>
        <v>100000</v>
      </c>
      <c r="BG18" s="10">
        <f t="shared" si="6"/>
        <v>3200</v>
      </c>
      <c r="BH18" s="10">
        <f t="shared" si="1"/>
        <v>0</v>
      </c>
      <c r="BI18" s="10">
        <f t="shared" si="2"/>
        <v>0</v>
      </c>
      <c r="BJ18" s="10">
        <f>material[[#This Row],[K_0 '[Gpa']]]</f>
        <v>120</v>
      </c>
      <c r="BK18" s="10">
        <f>material[[#This Row],[dK/dXs]]</f>
        <v>0</v>
      </c>
      <c r="BL18" s="10">
        <f>material[[#This Row],[dK/dXs^2]]</f>
        <v>0</v>
      </c>
      <c r="BM18" s="10">
        <f>material[[#This Row],[a_0]]</f>
        <v>0</v>
      </c>
      <c r="BN18" s="10">
        <f>material[[#This Row],[Cp '[J/Kkg']]]</f>
        <v>422</v>
      </c>
      <c r="BO18" s="10">
        <f>material[[#This Row],[k '[W/mK']]]*10^3</f>
        <v>1250</v>
      </c>
      <c r="BP18">
        <f>material[[#This Row],[visc '[mPas']]]*10^(-3)</f>
        <v>0</v>
      </c>
      <c r="BT18" t="s">
        <v>85</v>
      </c>
      <c r="BU18" t="s">
        <v>175</v>
      </c>
      <c r="BV18">
        <v>2240</v>
      </c>
      <c r="BW18">
        <v>2240</v>
      </c>
      <c r="BX18">
        <v>100</v>
      </c>
      <c r="BY18">
        <v>-14.741400000000001</v>
      </c>
      <c r="BZ18">
        <v>-10.9366</v>
      </c>
      <c r="CA18">
        <v>126.03100000000001</v>
      </c>
      <c r="CB18" cm="1">
        <f t="array" ref="CB18">SUM(ABS(BY18:CA18))</f>
        <v>151.709</v>
      </c>
    </row>
    <row r="19" spans="2:80" x14ac:dyDescent="0.3">
      <c r="K19" t="s">
        <v>176</v>
      </c>
      <c r="L19" s="1">
        <v>298</v>
      </c>
      <c r="M19" s="1">
        <f>100000</f>
        <v>100000</v>
      </c>
      <c r="N19">
        <v>3222</v>
      </c>
      <c r="S1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3222</v>
      </c>
      <c r="T19">
        <v>129</v>
      </c>
      <c r="U19">
        <v>-1.2E-2</v>
      </c>
      <c r="V19">
        <v>4.2</v>
      </c>
      <c r="Y1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132.57558</v>
      </c>
      <c r="Z19">
        <f>0.000028321</f>
        <v>2.8320999999999999E-5</v>
      </c>
      <c r="AB19" s="4">
        <v>7.5800000000000007E-9</v>
      </c>
      <c r="AC19" s="1">
        <f>material[[#This Row],[a_0]]+material[[#This Row],[da/dp]]*(material[[#This Row],[p]]-material[[#This Row],[p_ref '[Gpa']]])+material[[#This Row],[da/dT]]*(material[[#This Row],[T]]-material[[#This Row],[T_ref '[K']]])</f>
        <v>2.606216E-5</v>
      </c>
      <c r="AD19">
        <v>1.1399999999999999</v>
      </c>
      <c r="AK1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'[Gpa']]]*1000000000)/(N18*material[[#This Row],[y=a*Ks/rho*Cp]]),
material[[#This Row],[Cp_A]])),
0)</f>
        <v>1001.482730263158</v>
      </c>
      <c r="AM19" s="13">
        <v>1.25</v>
      </c>
      <c r="AN19" s="14">
        <v>0</v>
      </c>
      <c r="AR19">
        <v>3</v>
      </c>
      <c r="BD19" t="str">
        <f t="shared" si="3"/>
        <v>ol</v>
      </c>
      <c r="BE19" s="10">
        <f t="shared" si="4"/>
        <v>298</v>
      </c>
      <c r="BF19" s="10">
        <f t="shared" si="5"/>
        <v>100000</v>
      </c>
      <c r="BG19" s="10">
        <f t="shared" si="6"/>
        <v>3222</v>
      </c>
      <c r="BH19" s="10">
        <f t="shared" si="1"/>
        <v>0</v>
      </c>
      <c r="BI19" s="10">
        <f t="shared" si="2"/>
        <v>0</v>
      </c>
      <c r="BJ19" s="10">
        <f>material[[#This Row],[K_0 '[Gpa']]]</f>
        <v>129</v>
      </c>
      <c r="BK19" s="10">
        <f>material[[#This Row],[dK/dXs]]</f>
        <v>0</v>
      </c>
      <c r="BL19" s="10">
        <f>material[[#This Row],[dK/dXs^2]]</f>
        <v>0</v>
      </c>
      <c r="BM19" s="10">
        <f>material[[#This Row],[a_0]]</f>
        <v>2.8320999999999999E-5</v>
      </c>
      <c r="BN19" s="10">
        <f>material[[#This Row],[Cp '[J/Kkg']]]</f>
        <v>1001.482730263158</v>
      </c>
      <c r="BO19" s="10">
        <f>material[[#This Row],[k '[W/mK']]]*10^3</f>
        <v>1250</v>
      </c>
      <c r="BP19">
        <f>material[[#This Row],[visc '[mPas']]]*10^(-3)</f>
        <v>0</v>
      </c>
    </row>
    <row r="20" spans="2:80" x14ac:dyDescent="0.3">
      <c r="K20" t="s">
        <v>177</v>
      </c>
      <c r="L20" s="1">
        <v>298</v>
      </c>
      <c r="M20" s="1">
        <f t="shared" ref="M20:M30" si="8">100000</f>
        <v>100000</v>
      </c>
      <c r="N20">
        <v>3194</v>
      </c>
      <c r="S2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3194</v>
      </c>
      <c r="T20">
        <v>109</v>
      </c>
      <c r="U20">
        <v>-1.2999999999999999E-2</v>
      </c>
      <c r="V20">
        <v>7</v>
      </c>
      <c r="Y2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112.8733</v>
      </c>
      <c r="Z20">
        <f>0.0000286</f>
        <v>2.8600000000000001E-5</v>
      </c>
      <c r="AB20" s="4">
        <v>7.2E-9</v>
      </c>
      <c r="AC20" s="1">
        <f>material[[#This Row],[a_0]]+material[[#This Row],[da/dp]]*(material[[#This Row],[p]]-material[[#This Row],[p_ref '[Gpa']]])+material[[#This Row],[da/dT]]*(material[[#This Row],[T]]-material[[#This Row],[T_ref '[K']]])</f>
        <v>2.6454400000000002E-5</v>
      </c>
      <c r="AD20">
        <v>1.05</v>
      </c>
      <c r="AK2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'[Gpa']]]*1000000000)/(N19*material[[#This Row],[y=a*Ks/rho*Cp]]),
material[[#This Row],[Cp_A]])),
0)</f>
        <v>921.46256392066437</v>
      </c>
      <c r="AM20" s="13">
        <v>1.25</v>
      </c>
      <c r="AN20" s="14">
        <v>0</v>
      </c>
      <c r="AR20">
        <v>3</v>
      </c>
      <c r="BD20" t="str">
        <f t="shared" si="3"/>
        <v>opx</v>
      </c>
      <c r="BE20" s="10">
        <f t="shared" si="4"/>
        <v>298</v>
      </c>
      <c r="BF20" s="10">
        <f t="shared" si="5"/>
        <v>100000</v>
      </c>
      <c r="BG20" s="10">
        <f t="shared" si="6"/>
        <v>3194</v>
      </c>
      <c r="BH20" s="10">
        <f t="shared" si="1"/>
        <v>0</v>
      </c>
      <c r="BI20" s="10">
        <f t="shared" si="2"/>
        <v>0</v>
      </c>
      <c r="BJ20" s="10">
        <f>material[[#This Row],[K_0 '[Gpa']]]</f>
        <v>109</v>
      </c>
      <c r="BK20" s="10">
        <f>material[[#This Row],[dK/dXs]]</f>
        <v>0</v>
      </c>
      <c r="BL20" s="10">
        <f>material[[#This Row],[dK/dXs^2]]</f>
        <v>0</v>
      </c>
      <c r="BM20" s="10">
        <f>material[[#This Row],[a_0]]</f>
        <v>2.8600000000000001E-5</v>
      </c>
      <c r="BN20" s="10">
        <f>material[[#This Row],[Cp '[J/Kkg']]]</f>
        <v>921.46256392066437</v>
      </c>
      <c r="BO20" s="10">
        <f>material[[#This Row],[k '[W/mK']]]*10^3</f>
        <v>1250</v>
      </c>
      <c r="BP20">
        <f>material[[#This Row],[visc '[mPas']]]*10^(-3)</f>
        <v>0</v>
      </c>
    </row>
    <row r="21" spans="2:80" x14ac:dyDescent="0.3">
      <c r="B21" s="7"/>
      <c r="K21" t="s">
        <v>178</v>
      </c>
      <c r="L21" s="1">
        <v>298</v>
      </c>
      <c r="M21" s="1">
        <f t="shared" si="8"/>
        <v>100000</v>
      </c>
      <c r="N21">
        <v>3277</v>
      </c>
      <c r="S2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3277</v>
      </c>
      <c r="T21">
        <v>105</v>
      </c>
      <c r="U21">
        <v>-2.1000000000000001E-2</v>
      </c>
      <c r="V21">
        <v>6.2</v>
      </c>
      <c r="Y2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111.25738</v>
      </c>
      <c r="Z21">
        <f>0.0000232</f>
        <v>2.3200000000000001E-5</v>
      </c>
      <c r="AB21" s="4">
        <v>1.88E-8</v>
      </c>
      <c r="AC21" s="1">
        <f>material[[#This Row],[a_0]]+material[[#This Row],[da/dp]]*(material[[#This Row],[p]]-material[[#This Row],[p_ref '[Gpa']]])+material[[#This Row],[da/dT]]*(material[[#This Row],[T]]-material[[#This Row],[T_ref '[K']]])</f>
        <v>1.7597600000000002E-5</v>
      </c>
      <c r="AD21">
        <v>1.06</v>
      </c>
      <c r="AK2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'[Gpa']]]*1000000000)/(N20*material[[#This Row],[y=a*Ks/rho*Cp]]),
material[[#This Row],[Cp_A]])),
0)</f>
        <v>719.50945759147453</v>
      </c>
      <c r="AM21" s="13">
        <v>1.25</v>
      </c>
      <c r="AN21" s="14">
        <v>0</v>
      </c>
      <c r="AR21">
        <v>3</v>
      </c>
      <c r="BD21" t="str">
        <f t="shared" si="3"/>
        <v>Capx</v>
      </c>
      <c r="BE21" s="10">
        <f t="shared" si="4"/>
        <v>298</v>
      </c>
      <c r="BF21" s="10">
        <f t="shared" si="5"/>
        <v>100000</v>
      </c>
      <c r="BG21" s="10">
        <f t="shared" si="6"/>
        <v>3277</v>
      </c>
      <c r="BH21" s="10">
        <f t="shared" si="1"/>
        <v>0</v>
      </c>
      <c r="BI21" s="10">
        <f t="shared" si="2"/>
        <v>0</v>
      </c>
      <c r="BJ21" s="10">
        <f>material[[#This Row],[K_0 '[Gpa']]]</f>
        <v>105</v>
      </c>
      <c r="BK21" s="10">
        <f>material[[#This Row],[dK/dXs]]</f>
        <v>0</v>
      </c>
      <c r="BL21" s="10">
        <f>material[[#This Row],[dK/dXs^2]]</f>
        <v>0</v>
      </c>
      <c r="BM21" s="10">
        <f>material[[#This Row],[a_0]]</f>
        <v>2.3200000000000001E-5</v>
      </c>
      <c r="BN21" s="10">
        <f>material[[#This Row],[Cp '[J/Kkg']]]</f>
        <v>719.50945759147453</v>
      </c>
      <c r="BO21" s="10">
        <f>material[[#This Row],[k '[W/mK']]]*10^3</f>
        <v>1250</v>
      </c>
      <c r="BP21">
        <f>material[[#This Row],[visc '[mPas']]]*10^(-3)</f>
        <v>0</v>
      </c>
    </row>
    <row r="22" spans="2:80" x14ac:dyDescent="0.3">
      <c r="C22" s="7"/>
      <c r="K22" t="s">
        <v>179</v>
      </c>
      <c r="L22" s="1">
        <v>298</v>
      </c>
      <c r="M22" s="1">
        <f t="shared" si="8"/>
        <v>100000</v>
      </c>
      <c r="N22">
        <v>3565</v>
      </c>
      <c r="S2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3565</v>
      </c>
      <c r="T22">
        <v>171</v>
      </c>
      <c r="U22">
        <v>-1.0999999999999999E-2</v>
      </c>
      <c r="V22">
        <v>4.4000000000000004</v>
      </c>
      <c r="Y2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174.27755999999999</v>
      </c>
      <c r="Z22">
        <f>0.0000208</f>
        <v>2.0800000000000001E-5</v>
      </c>
      <c r="AB22" s="4">
        <v>1.4300000000000001E-8</v>
      </c>
      <c r="AC22" s="1">
        <f>material[[#This Row],[a_0]]+material[[#This Row],[da/dp]]*(material[[#This Row],[p]]-material[[#This Row],[p_ref '[Gpa']]])+material[[#This Row],[da/dT]]*(material[[#This Row],[T]]-material[[#This Row],[T_ref '[K']]])</f>
        <v>1.6538600000000001E-5</v>
      </c>
      <c r="AD22">
        <v>1.17</v>
      </c>
      <c r="AK2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'[Gpa']]]*1000000000)/(N21*material[[#This Row],[y=a*Ks/rho*Cp]]),
material[[#This Row],[Cp_A]])),
0)</f>
        <v>927.67775404333236</v>
      </c>
      <c r="AM22" s="13">
        <v>1.25</v>
      </c>
      <c r="AN22" s="14">
        <v>0</v>
      </c>
      <c r="AR22">
        <v>3</v>
      </c>
      <c r="BD22" t="str">
        <f t="shared" si="3"/>
        <v>gt</v>
      </c>
      <c r="BE22" s="10">
        <f t="shared" si="4"/>
        <v>298</v>
      </c>
      <c r="BF22" s="10">
        <f t="shared" si="5"/>
        <v>100000</v>
      </c>
      <c r="BG22" s="10">
        <f t="shared" si="6"/>
        <v>3565</v>
      </c>
      <c r="BH22" s="10">
        <f t="shared" si="1"/>
        <v>0</v>
      </c>
      <c r="BI22" s="10">
        <f t="shared" si="2"/>
        <v>0</v>
      </c>
      <c r="BJ22" s="10">
        <f>material[[#This Row],[K_0 '[Gpa']]]</f>
        <v>171</v>
      </c>
      <c r="BK22" s="10">
        <f>material[[#This Row],[dK/dXs]]</f>
        <v>0</v>
      </c>
      <c r="BL22" s="10">
        <f>material[[#This Row],[dK/dXs^2]]</f>
        <v>0</v>
      </c>
      <c r="BM22" s="10">
        <f>material[[#This Row],[a_0]]</f>
        <v>2.0800000000000001E-5</v>
      </c>
      <c r="BN22" s="10">
        <f>material[[#This Row],[Cp '[J/Kkg']]]</f>
        <v>927.67775404333236</v>
      </c>
      <c r="BO22" s="10">
        <f>material[[#This Row],[k '[W/mK']]]*10^3</f>
        <v>1250</v>
      </c>
      <c r="BP22">
        <f>material[[#This Row],[visc '[mPas']]]*10^(-3)</f>
        <v>0</v>
      </c>
    </row>
    <row r="23" spans="2:80" x14ac:dyDescent="0.3">
      <c r="C23" s="7"/>
      <c r="K23" t="s">
        <v>180</v>
      </c>
      <c r="L23" s="1">
        <v>298</v>
      </c>
      <c r="M23" s="1">
        <f t="shared" si="8"/>
        <v>100000</v>
      </c>
      <c r="N23">
        <v>2750</v>
      </c>
      <c r="S2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2750</v>
      </c>
      <c r="T23">
        <v>88.9</v>
      </c>
      <c r="U23">
        <v>-1.6E-2</v>
      </c>
      <c r="V23">
        <v>6.6</v>
      </c>
      <c r="Y2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93.66734000000001</v>
      </c>
      <c r="Z23">
        <f>0.0000234</f>
        <v>2.34E-5</v>
      </c>
      <c r="AB23" s="4">
        <v>1.2100000000000001E-8</v>
      </c>
      <c r="AC23" s="1">
        <f>material[[#This Row],[a_0]]+material[[#This Row],[da/dp]]*(material[[#This Row],[p]]-material[[#This Row],[p_ref '[Gpa']]])+material[[#This Row],[da/dT]]*(material[[#This Row],[T]]-material[[#This Row],[T_ref '[K']]])</f>
        <v>1.9794200000000001E-5</v>
      </c>
      <c r="AD23">
        <v>1</v>
      </c>
      <c r="AK2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'[Gpa']]]*1000000000)/(N22*material[[#This Row],[y=a*Ks/rho*Cp]]),
material[[#This Row],[Cp_A]])),
0)</f>
        <v>583.52314165497899</v>
      </c>
      <c r="AM23" s="13">
        <v>1.25</v>
      </c>
      <c r="AN23" s="14">
        <v>0</v>
      </c>
      <c r="AR23">
        <v>3</v>
      </c>
      <c r="BD23" t="str">
        <f t="shared" si="3"/>
        <v>an</v>
      </c>
      <c r="BE23" s="10">
        <f t="shared" si="4"/>
        <v>298</v>
      </c>
      <c r="BF23" s="10">
        <f t="shared" si="5"/>
        <v>100000</v>
      </c>
      <c r="BG23" s="10">
        <f t="shared" si="6"/>
        <v>2750</v>
      </c>
      <c r="BH23" s="10">
        <f t="shared" si="1"/>
        <v>0</v>
      </c>
      <c r="BI23" s="10">
        <f t="shared" si="2"/>
        <v>0</v>
      </c>
      <c r="BJ23" s="10">
        <f>material[[#This Row],[K_0 '[Gpa']]]</f>
        <v>88.9</v>
      </c>
      <c r="BK23" s="10">
        <f>material[[#This Row],[dK/dXs]]</f>
        <v>0</v>
      </c>
      <c r="BL23" s="10">
        <f>material[[#This Row],[dK/dXs^2]]</f>
        <v>0</v>
      </c>
      <c r="BM23" s="10">
        <f>material[[#This Row],[a_0]]</f>
        <v>2.34E-5</v>
      </c>
      <c r="BN23" s="10">
        <f>material[[#This Row],[Cp '[J/Kkg']]]</f>
        <v>583.52314165497899</v>
      </c>
      <c r="BO23" s="10">
        <f>material[[#This Row],[k '[W/mK']]]*10^3</f>
        <v>1250</v>
      </c>
      <c r="BP23">
        <f>material[[#This Row],[visc '[mPas']]]*10^(-3)</f>
        <v>0</v>
      </c>
    </row>
    <row r="24" spans="2:80" x14ac:dyDescent="0.3">
      <c r="C24" s="7"/>
      <c r="K24" t="s">
        <v>181</v>
      </c>
      <c r="L24" s="1">
        <v>298</v>
      </c>
      <c r="M24" s="1">
        <f t="shared" si="8"/>
        <v>100000</v>
      </c>
      <c r="N24">
        <v>3580</v>
      </c>
      <c r="S2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3580</v>
      </c>
      <c r="T24">
        <v>196.7</v>
      </c>
      <c r="U24">
        <v>-4.8000000000000001E-2</v>
      </c>
      <c r="V24">
        <v>4.9000000000000004</v>
      </c>
      <c r="Y2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211.00350999999998</v>
      </c>
      <c r="Z24">
        <f>0.0000697</f>
        <v>6.97E-5</v>
      </c>
      <c r="AB24" s="4">
        <v>-1.0999999999999999E-9</v>
      </c>
      <c r="AC24" s="1">
        <f>material[[#This Row],[a_0]]+material[[#This Row],[da/dp]]*(material[[#This Row],[p]]-material[[#This Row],[p_ref '[Gpa']]])+material[[#This Row],[da/dT]]*(material[[#This Row],[T]]-material[[#This Row],[T_ref '[K']]])</f>
        <v>7.0027800000000001E-5</v>
      </c>
      <c r="AD24">
        <v>1.21</v>
      </c>
      <c r="AK2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'[Gpa']]]*1000000000)/(N23*material[[#This Row],[y=a*Ks/rho*Cp]]),
material[[#This Row],[Cp_A]])),
0)</f>
        <v>4120.2073628850485</v>
      </c>
      <c r="AM24" s="13">
        <v>1.25</v>
      </c>
      <c r="AN24" s="14">
        <v>0</v>
      </c>
      <c r="AR24">
        <v>3</v>
      </c>
      <c r="BD24" t="str">
        <f t="shared" si="3"/>
        <v>sp</v>
      </c>
      <c r="BE24" s="10">
        <f t="shared" si="4"/>
        <v>298</v>
      </c>
      <c r="BF24" s="10">
        <f t="shared" si="5"/>
        <v>100000</v>
      </c>
      <c r="BG24" s="10">
        <f t="shared" si="6"/>
        <v>3580</v>
      </c>
      <c r="BH24" s="10">
        <f t="shared" si="1"/>
        <v>0</v>
      </c>
      <c r="BI24" s="10">
        <f t="shared" si="2"/>
        <v>0</v>
      </c>
      <c r="BJ24" s="10">
        <f>material[[#This Row],[K_0 '[Gpa']]]</f>
        <v>196.7</v>
      </c>
      <c r="BK24" s="10">
        <f>material[[#This Row],[dK/dXs]]</f>
        <v>0</v>
      </c>
      <c r="BL24" s="10">
        <f>material[[#This Row],[dK/dXs^2]]</f>
        <v>0</v>
      </c>
      <c r="BM24" s="10">
        <f>material[[#This Row],[a_0]]</f>
        <v>6.97E-5</v>
      </c>
      <c r="BN24" s="10">
        <f>material[[#This Row],[Cp '[J/Kkg']]]</f>
        <v>4120.2073628850485</v>
      </c>
      <c r="BO24" s="10">
        <f>material[[#This Row],[k '[W/mK']]]*10^3</f>
        <v>1250</v>
      </c>
      <c r="BP24">
        <f>material[[#This Row],[visc '[mPas']]]*10^(-3)</f>
        <v>0</v>
      </c>
    </row>
    <row r="25" spans="2:80" x14ac:dyDescent="0.3">
      <c r="C25" s="7"/>
      <c r="K25" t="s">
        <v>182</v>
      </c>
      <c r="L25" s="1">
        <v>298</v>
      </c>
      <c r="M25" s="1">
        <f t="shared" si="8"/>
        <v>100000</v>
      </c>
      <c r="N25">
        <v>3680</v>
      </c>
      <c r="S2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3680</v>
      </c>
      <c r="T25">
        <v>191.3</v>
      </c>
      <c r="U25">
        <v>-1.4999999999999999E-2</v>
      </c>
      <c r="V25">
        <v>4</v>
      </c>
      <c r="Y2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195.7696</v>
      </c>
      <c r="Z25">
        <f>0.000054</f>
        <v>5.3999999999999998E-5</v>
      </c>
      <c r="AB25" s="4">
        <v>-2.0000000000000001E-10</v>
      </c>
      <c r="AC25" s="1">
        <f>material[[#This Row],[a_0]]+material[[#This Row],[da/dp]]*(material[[#This Row],[p]]-material[[#This Row],[p_ref '[Gpa']]])+material[[#This Row],[da/dT]]*(material[[#This Row],[T]]-material[[#This Row],[T_ref '[K']]])</f>
        <v>5.40596E-5</v>
      </c>
      <c r="AD25">
        <v>1.17</v>
      </c>
      <c r="AK2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'[Gpa']]]*1000000000)/(N24*material[[#This Row],[y=a*Ks/rho*Cp]]),
material[[#This Row],[Cp_A]])),
0)</f>
        <v>2466.265577997422</v>
      </c>
      <c r="AM25" s="13">
        <v>1.25</v>
      </c>
      <c r="AN25" s="14">
        <v>0</v>
      </c>
      <c r="AR25">
        <v>3</v>
      </c>
      <c r="BD25" t="str">
        <f t="shared" si="3"/>
        <v>ky</v>
      </c>
      <c r="BE25" s="10">
        <f t="shared" si="4"/>
        <v>298</v>
      </c>
      <c r="BF25" s="10">
        <f t="shared" si="5"/>
        <v>100000</v>
      </c>
      <c r="BG25" s="10">
        <f t="shared" si="6"/>
        <v>3680</v>
      </c>
      <c r="BH25" s="10">
        <f t="shared" si="1"/>
        <v>0</v>
      </c>
      <c r="BI25" s="10">
        <f t="shared" si="2"/>
        <v>0</v>
      </c>
      <c r="BJ25" s="10">
        <f>material[[#This Row],[K_0 '[Gpa']]]</f>
        <v>191.3</v>
      </c>
      <c r="BK25" s="10">
        <f>material[[#This Row],[dK/dXs]]</f>
        <v>0</v>
      </c>
      <c r="BL25" s="10">
        <f>material[[#This Row],[dK/dXs^2]]</f>
        <v>0</v>
      </c>
      <c r="BM25" s="10">
        <f>material[[#This Row],[a_0]]</f>
        <v>5.3999999999999998E-5</v>
      </c>
      <c r="BN25" s="10">
        <f>material[[#This Row],[Cp '[J/Kkg']]]</f>
        <v>2466.265577997422</v>
      </c>
      <c r="BO25" s="10">
        <f>material[[#This Row],[k '[W/mK']]]*10^3</f>
        <v>1250</v>
      </c>
      <c r="BP25">
        <f>material[[#This Row],[visc '[mPas']]]*10^(-3)</f>
        <v>0</v>
      </c>
    </row>
    <row r="26" spans="2:80" x14ac:dyDescent="0.3">
      <c r="K26" t="s">
        <v>183</v>
      </c>
      <c r="L26" s="1">
        <v>298</v>
      </c>
      <c r="M26" s="1">
        <f t="shared" si="8"/>
        <v>100000</v>
      </c>
      <c r="N26">
        <v>2911</v>
      </c>
      <c r="S2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2911</v>
      </c>
      <c r="T26">
        <v>98</v>
      </c>
      <c r="U26">
        <v>-1.4E-2</v>
      </c>
      <c r="V26">
        <v>4.3</v>
      </c>
      <c r="Y2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102.17157</v>
      </c>
      <c r="Z26">
        <f>0.0000247</f>
        <v>2.4700000000000001E-5</v>
      </c>
      <c r="AB26" s="4">
        <v>2.8999999999999999E-9</v>
      </c>
      <c r="AC26" s="1">
        <f>material[[#This Row],[a_0]]+material[[#This Row],[da/dp]]*(material[[#This Row],[p]]-material[[#This Row],[p_ref '[Gpa']]])+material[[#This Row],[da/dT]]*(material[[#This Row],[T]]-material[[#This Row],[T_ref '[K']]])</f>
        <v>2.38358E-5</v>
      </c>
      <c r="AD26">
        <v>1</v>
      </c>
      <c r="AK2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'[Gpa']]]*1000000000)/(N25*material[[#This Row],[y=a*Ks/rho*Cp]]),
material[[#This Row],[Cp_A]])),
0)</f>
        <v>657.77173913043475</v>
      </c>
      <c r="AM26" s="13">
        <v>1.25</v>
      </c>
      <c r="AN26" s="14">
        <v>0</v>
      </c>
      <c r="AR26">
        <v>3</v>
      </c>
      <c r="BD26" t="str">
        <f t="shared" si="3"/>
        <v>coe</v>
      </c>
      <c r="BE26" s="10">
        <f t="shared" si="4"/>
        <v>298</v>
      </c>
      <c r="BF26" s="10">
        <f t="shared" si="5"/>
        <v>100000</v>
      </c>
      <c r="BG26" s="10">
        <f t="shared" si="6"/>
        <v>2911</v>
      </c>
      <c r="BH26" s="10">
        <f t="shared" si="1"/>
        <v>0</v>
      </c>
      <c r="BI26" s="10">
        <f t="shared" si="2"/>
        <v>0</v>
      </c>
      <c r="BJ26" s="10">
        <f>material[[#This Row],[K_0 '[Gpa']]]</f>
        <v>98</v>
      </c>
      <c r="BK26" s="10">
        <f>material[[#This Row],[dK/dXs]]</f>
        <v>0</v>
      </c>
      <c r="BL26" s="10">
        <f>material[[#This Row],[dK/dXs^2]]</f>
        <v>0</v>
      </c>
      <c r="BM26" s="10">
        <f>material[[#This Row],[a_0]]</f>
        <v>2.4700000000000001E-5</v>
      </c>
      <c r="BN26" s="10">
        <f>material[[#This Row],[Cp '[J/Kkg']]]</f>
        <v>657.77173913043475</v>
      </c>
      <c r="BO26" s="10">
        <f>material[[#This Row],[k '[W/mK']]]*10^3</f>
        <v>1250</v>
      </c>
      <c r="BP26">
        <f>material[[#This Row],[visc '[mPas']]]*10^(-3)</f>
        <v>0</v>
      </c>
    </row>
    <row r="27" spans="2:80" x14ac:dyDescent="0.3">
      <c r="K27" t="s">
        <v>184</v>
      </c>
      <c r="L27" s="1">
        <v>298</v>
      </c>
      <c r="M27" s="1">
        <f t="shared" si="8"/>
        <v>100000</v>
      </c>
      <c r="N27">
        <v>3988</v>
      </c>
      <c r="S2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3988</v>
      </c>
      <c r="T27">
        <v>257</v>
      </c>
      <c r="U27">
        <v>-8.9999999999999993E-3</v>
      </c>
      <c r="V27">
        <v>4.4000000000000004</v>
      </c>
      <c r="Y27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259.68155999999999</v>
      </c>
      <c r="Z27">
        <f>0.000042</f>
        <v>4.1999999999999998E-5</v>
      </c>
      <c r="AB27" s="4">
        <v>-8.0000000000000003E-10</v>
      </c>
      <c r="AC27" s="1">
        <f>material[[#This Row],[a_0]]+material[[#This Row],[da/dp]]*(material[[#This Row],[p]]-material[[#This Row],[p_ref '[Gpa']]])+material[[#This Row],[da/dT]]*(material[[#This Row],[T]]-material[[#This Row],[T_ref '[K']]])</f>
        <v>4.2238399999999999E-5</v>
      </c>
      <c r="AD27">
        <v>1</v>
      </c>
      <c r="AK2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'[Gpa']]]*1000000000)/(N26*material[[#This Row],[y=a*Ks/rho*Cp]]),
material[[#This Row],[Cp_A]])),
0)</f>
        <v>3708.0041222947439</v>
      </c>
      <c r="AM27" s="13">
        <v>1.25</v>
      </c>
      <c r="AN27" s="14">
        <v>0</v>
      </c>
      <c r="AR27">
        <v>3</v>
      </c>
      <c r="BD27" t="str">
        <f t="shared" si="3"/>
        <v>cor</v>
      </c>
      <c r="BE27" s="10">
        <f t="shared" si="4"/>
        <v>298</v>
      </c>
      <c r="BF27" s="10">
        <f t="shared" si="5"/>
        <v>100000</v>
      </c>
      <c r="BG27" s="10">
        <f t="shared" si="6"/>
        <v>3988</v>
      </c>
      <c r="BH27" s="10">
        <f t="shared" si="1"/>
        <v>0</v>
      </c>
      <c r="BI27" s="10">
        <f t="shared" si="2"/>
        <v>0</v>
      </c>
      <c r="BJ27" s="10">
        <f>material[[#This Row],[K_0 '[Gpa']]]</f>
        <v>257</v>
      </c>
      <c r="BK27" s="10">
        <f>material[[#This Row],[dK/dXs]]</f>
        <v>0</v>
      </c>
      <c r="BL27" s="10">
        <f>material[[#This Row],[dK/dXs^2]]</f>
        <v>0</v>
      </c>
      <c r="BM27" s="10">
        <f>material[[#This Row],[a_0]]</f>
        <v>4.1999999999999998E-5</v>
      </c>
      <c r="BN27" s="10">
        <f>material[[#This Row],[Cp '[J/Kkg']]]</f>
        <v>3708.0041222947439</v>
      </c>
      <c r="BO27" s="10">
        <f>material[[#This Row],[k '[W/mK']]]*10^3</f>
        <v>1250</v>
      </c>
      <c r="BP27">
        <f>material[[#This Row],[visc '[mPas']]]*10^(-3)</f>
        <v>0</v>
      </c>
    </row>
    <row r="28" spans="2:80" x14ac:dyDescent="0.3">
      <c r="K28" t="s">
        <v>185</v>
      </c>
      <c r="L28" s="1">
        <v>298</v>
      </c>
      <c r="M28" s="1">
        <f t="shared" si="8"/>
        <v>100000</v>
      </c>
      <c r="N28">
        <v>2650</v>
      </c>
      <c r="S2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2650</v>
      </c>
      <c r="T28">
        <v>37.700000000000003</v>
      </c>
      <c r="U28">
        <v>-8.9999999999999993E-3</v>
      </c>
      <c r="V28">
        <v>6.4</v>
      </c>
      <c r="Y28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40.381360000000008</v>
      </c>
      <c r="Z28">
        <f>0.00006</f>
        <v>6.0000000000000002E-5</v>
      </c>
      <c r="AB28">
        <v>0</v>
      </c>
      <c r="AC28" s="1">
        <f>material[[#This Row],[a_0]]+material[[#This Row],[da/dp]]*(material[[#This Row],[p]]-material[[#This Row],[p_ref '[Gpa']]])+material[[#This Row],[da/dT]]*(material[[#This Row],[T]]-material[[#This Row],[T_ref '[K']]])</f>
        <v>6.0000000000000002E-5</v>
      </c>
      <c r="AD28">
        <v>1</v>
      </c>
      <c r="AK2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'[Gpa']]]*1000000000)/(N27*material[[#This Row],[y=a*Ks/rho*Cp]]),
material[[#This Row],[Cp_A]])),
0)</f>
        <v>567.20160481444339</v>
      </c>
      <c r="AM28" s="13">
        <v>1.25</v>
      </c>
      <c r="AN28" s="14">
        <v>0</v>
      </c>
      <c r="AR28">
        <v>3</v>
      </c>
      <c r="BD28" t="str">
        <f t="shared" ref="BD28:BD30" si="9">K28</f>
        <v>q</v>
      </c>
      <c r="BE28" s="10">
        <f t="shared" ref="BE28:BE30" si="10">L28</f>
        <v>298</v>
      </c>
      <c r="BF28" s="10">
        <f t="shared" ref="BF28:BF30" si="11">M28</f>
        <v>100000</v>
      </c>
      <c r="BG28" s="10">
        <f t="shared" ref="BG28:BG30" si="12">N28</f>
        <v>2650</v>
      </c>
      <c r="BH28" s="10">
        <f t="shared" si="1"/>
        <v>0</v>
      </c>
      <c r="BI28" s="10">
        <f t="shared" si="2"/>
        <v>0</v>
      </c>
      <c r="BJ28" s="10">
        <f>material[[#This Row],[K_0 '[Gpa']]]</f>
        <v>37.700000000000003</v>
      </c>
      <c r="BK28" s="10">
        <f>material[[#This Row],[dK/dXs]]</f>
        <v>0</v>
      </c>
      <c r="BL28" s="10">
        <f>material[[#This Row],[dK/dXs^2]]</f>
        <v>0</v>
      </c>
      <c r="BM28" s="10">
        <f>material[[#This Row],[a_0]]</f>
        <v>6.0000000000000002E-5</v>
      </c>
      <c r="BN28" s="10">
        <f>material[[#This Row],[Cp '[J/Kkg']]]</f>
        <v>567.20160481444339</v>
      </c>
      <c r="BO28" s="10">
        <f>material[[#This Row],[k '[W/mK']]]*10^3</f>
        <v>1250</v>
      </c>
      <c r="BP28">
        <f>material[[#This Row],[visc '[mPas']]]*10^(-3)</f>
        <v>0</v>
      </c>
    </row>
    <row r="29" spans="2:80" x14ac:dyDescent="0.3">
      <c r="K29" t="s">
        <v>186</v>
      </c>
      <c r="L29" s="1">
        <v>298</v>
      </c>
      <c r="M29" s="1">
        <f t="shared" si="8"/>
        <v>100000</v>
      </c>
      <c r="N29">
        <v>3585</v>
      </c>
      <c r="S2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3585</v>
      </c>
      <c r="T29">
        <v>162</v>
      </c>
      <c r="U29">
        <v>-2.8000000000000001E-2</v>
      </c>
      <c r="V29">
        <v>4.26</v>
      </c>
      <c r="Y2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170.34357399999999</v>
      </c>
      <c r="Z29">
        <f>0.0000364</f>
        <v>3.6399999999999997E-5</v>
      </c>
      <c r="AB29" s="4">
        <v>8.3500000000000003E-9</v>
      </c>
      <c r="AC29" s="1">
        <f>material[[#This Row],[a_0]]+material[[#This Row],[da/dp]]*(material[[#This Row],[p]]-material[[#This Row],[p_ref '[Gpa']]])+material[[#This Row],[da/dT]]*(material[[#This Row],[T]]-material[[#This Row],[T_ref '[K']]])</f>
        <v>3.3911699999999996E-5</v>
      </c>
      <c r="AD29">
        <v>1.47</v>
      </c>
      <c r="AK2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'[Gpa']]]*1000000000)/(N28*material[[#This Row],[y=a*Ks/rho*Cp]]),
material[[#This Row],[Cp_A]])),
0)</f>
        <v>1513.7466307277627</v>
      </c>
      <c r="AM29" s="13">
        <v>1.25</v>
      </c>
      <c r="AN29" s="14">
        <v>0</v>
      </c>
      <c r="AR29">
        <v>3</v>
      </c>
      <c r="BD29" t="str">
        <f t="shared" si="9"/>
        <v>per</v>
      </c>
      <c r="BE29" s="10">
        <f t="shared" si="10"/>
        <v>298</v>
      </c>
      <c r="BF29" s="10">
        <f t="shared" si="11"/>
        <v>100000</v>
      </c>
      <c r="BG29" s="10">
        <f t="shared" si="12"/>
        <v>3585</v>
      </c>
      <c r="BH29" s="10">
        <f t="shared" si="1"/>
        <v>0</v>
      </c>
      <c r="BI29" s="10">
        <f t="shared" si="2"/>
        <v>0</v>
      </c>
      <c r="BJ29" s="10">
        <f>material[[#This Row],[K_0 '[Gpa']]]</f>
        <v>162</v>
      </c>
      <c r="BK29" s="10">
        <f>material[[#This Row],[dK/dXs]]</f>
        <v>0</v>
      </c>
      <c r="BL29" s="10">
        <f>material[[#This Row],[dK/dXs^2]]</f>
        <v>0</v>
      </c>
      <c r="BM29" s="10">
        <f>material[[#This Row],[a_0]]</f>
        <v>3.6399999999999997E-5</v>
      </c>
      <c r="BN29" s="10">
        <f>material[[#This Row],[Cp '[J/Kkg']]]</f>
        <v>1513.7466307277627</v>
      </c>
      <c r="BO29" s="10">
        <f>material[[#This Row],[k '[W/mK']]]*10^3</f>
        <v>1250</v>
      </c>
      <c r="BP29">
        <f>material[[#This Row],[visc '[mPas']]]*10^(-3)</f>
        <v>0</v>
      </c>
    </row>
    <row r="30" spans="2:80" x14ac:dyDescent="0.3">
      <c r="K30" t="s">
        <v>187</v>
      </c>
      <c r="L30" s="1">
        <v>298</v>
      </c>
      <c r="M30" s="1">
        <f t="shared" si="8"/>
        <v>100000</v>
      </c>
      <c r="N30">
        <v>3330</v>
      </c>
      <c r="S3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3330</v>
      </c>
      <c r="T30">
        <v>129</v>
      </c>
      <c r="U30">
        <v>-1.6E-2</v>
      </c>
      <c r="V30">
        <v>4.2</v>
      </c>
      <c r="Y3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133.76758000000001</v>
      </c>
      <c r="Z30">
        <f>0.0000252</f>
        <v>2.5199999999999999E-5</v>
      </c>
      <c r="AB30" s="4">
        <v>1.5300000000000001E-8</v>
      </c>
      <c r="AC30" s="1">
        <f>material[[#This Row],[a_0]]+material[[#This Row],[da/dp]]*(material[[#This Row],[p]]-material[[#This Row],[p_ref '[Gpa']]])+material[[#This Row],[da/dT]]*(material[[#This Row],[T]]-material[[#This Row],[T_ref '[K']]])</f>
        <v>2.06406E-5</v>
      </c>
      <c r="AD30">
        <v>1</v>
      </c>
      <c r="AK3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'[Gpa']]]*1000000000)/(N29*material[[#This Row],[y=a*Ks/rho*Cp]]),
material[[#This Row],[Cp_A]])),
0)</f>
        <v>906.77824267782432</v>
      </c>
      <c r="AM30" s="13">
        <v>1.25</v>
      </c>
      <c r="AN30" s="14">
        <v>0</v>
      </c>
      <c r="AR30">
        <v>3</v>
      </c>
      <c r="BD30" t="str">
        <f t="shared" si="9"/>
        <v>merw</v>
      </c>
      <c r="BE30" s="10">
        <f t="shared" si="10"/>
        <v>298</v>
      </c>
      <c r="BF30" s="10">
        <f t="shared" si="11"/>
        <v>100000</v>
      </c>
      <c r="BG30" s="10">
        <f t="shared" si="12"/>
        <v>3330</v>
      </c>
      <c r="BH30" s="10">
        <f t="shared" si="1"/>
        <v>0</v>
      </c>
      <c r="BI30" s="10">
        <f t="shared" si="2"/>
        <v>0</v>
      </c>
      <c r="BJ30" s="10">
        <f>material[[#This Row],[K_0 '[Gpa']]]</f>
        <v>129</v>
      </c>
      <c r="BK30" s="10">
        <f>material[[#This Row],[dK/dXs]]</f>
        <v>0</v>
      </c>
      <c r="BL30" s="10">
        <f>material[[#This Row],[dK/dXs^2]]</f>
        <v>0</v>
      </c>
      <c r="BM30" s="10">
        <f>material[[#This Row],[a_0]]</f>
        <v>2.5199999999999999E-5</v>
      </c>
      <c r="BN30" s="10">
        <f>material[[#This Row],[Cp '[J/Kkg']]]</f>
        <v>906.77824267782432</v>
      </c>
      <c r="BO30" s="10">
        <f>material[[#This Row],[k '[W/mK']]]*10^3</f>
        <v>1250</v>
      </c>
      <c r="BP30">
        <f>material[[#This Row],[visc '[mPas']]]*10^(-3)</f>
        <v>0</v>
      </c>
    </row>
    <row r="31" spans="2:80" x14ac:dyDescent="0.3">
      <c r="S3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1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'[Gpa']]]*1000000000)/(N30*material[[#This Row],[y=a*Ks/rho*Cp]]),
material[[#This Row],[Cp_A]])),
0)</f>
        <v>0</v>
      </c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</row>
    <row r="32" spans="2:80" x14ac:dyDescent="0.3">
      <c r="S3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'[Gpa']]]*1000000000)/(N31*material[[#This Row],[y=a*Ks/rho*Cp]]),
material[[#This Row],[Cp_A]])),
0)</f>
        <v>0</v>
      </c>
    </row>
    <row r="33" spans="19:68" x14ac:dyDescent="0.3">
      <c r="S3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3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'[Gpa']]]*1000000000)/(N32*material[[#This Row],[y=a*Ks/rho*Cp]]),
material[[#This Row],[Cp_A]])),
0)</f>
        <v>0</v>
      </c>
    </row>
    <row r="34" spans="19:68" x14ac:dyDescent="0.3">
      <c r="S3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'[Gpa']]]*1000000000)/(N33*material[[#This Row],[y=a*Ks/rho*Cp]]),
material[[#This Row],[Cp_A]])),
0)</f>
        <v>0</v>
      </c>
    </row>
    <row r="35" spans="19:68" x14ac:dyDescent="0.3">
      <c r="S3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5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'[Gpa']]]*1000000000)/(N34*material[[#This Row],[y=a*Ks/rho*Cp]]),
material[[#This Row],[Cp_A]])),
0)</f>
        <v>0</v>
      </c>
    </row>
    <row r="36" spans="19:68" x14ac:dyDescent="0.3">
      <c r="S3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'[Gpa']]]*1000000000)/(N35*material[[#This Row],[y=a*Ks/rho*Cp]]),
material[[#This Row],[Cp_A]])),
0)</f>
        <v>0</v>
      </c>
      <c r="BD36" s="10" t="s">
        <v>81</v>
      </c>
      <c r="BE36" s="10" t="s">
        <v>154</v>
      </c>
      <c r="BF36" s="10" t="s">
        <v>155</v>
      </c>
      <c r="BG36" s="10" t="s">
        <v>101</v>
      </c>
      <c r="BH36" s="10" t="s">
        <v>129</v>
      </c>
      <c r="BI36" s="10" t="s">
        <v>156</v>
      </c>
      <c r="BJ36" s="10" t="s">
        <v>157</v>
      </c>
      <c r="BK36" s="10" t="s">
        <v>125</v>
      </c>
      <c r="BL36" s="10" t="s">
        <v>158</v>
      </c>
      <c r="BM36" s="10" t="s">
        <v>132</v>
      </c>
      <c r="BN36" s="10" t="s">
        <v>191</v>
      </c>
      <c r="BO36" s="10" t="s">
        <v>119</v>
      </c>
      <c r="BP36" s="10" t="s">
        <v>190</v>
      </c>
    </row>
    <row r="37" spans="19:68" x14ac:dyDescent="0.3">
      <c r="S3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7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7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'[Gpa']]]*1000000000)/(N36*material[[#This Row],[y=a*Ks/rho*Cp]]),
material[[#This Row],[Cp_A]])),
0)</f>
        <v>0</v>
      </c>
      <c r="BC37">
        <v>1</v>
      </c>
      <c r="BD37" t="s">
        <v>89</v>
      </c>
      <c r="BE37" s="10">
        <f t="shared" ref="BE37" si="13">BE5</f>
        <v>298</v>
      </c>
      <c r="BF37" s="10">
        <f t="shared" ref="BF37:BP37" si="14">BF5</f>
        <v>100000</v>
      </c>
      <c r="BG37" s="10">
        <f t="shared" si="14"/>
        <v>7019</v>
      </c>
      <c r="BH37" s="10">
        <f t="shared" si="14"/>
        <v>0</v>
      </c>
      <c r="BI37" s="10">
        <f t="shared" si="14"/>
        <v>0</v>
      </c>
      <c r="BJ37" s="10">
        <f t="shared" si="14"/>
        <v>81.3</v>
      </c>
      <c r="BK37" s="10">
        <f t="shared" si="14"/>
        <v>-391</v>
      </c>
      <c r="BL37" s="10">
        <f t="shared" si="14"/>
        <v>554</v>
      </c>
      <c r="BM37" s="10">
        <f t="shared" si="14"/>
        <v>1.1E-4</v>
      </c>
      <c r="BN37" s="10">
        <f t="shared" si="14"/>
        <v>824.13823977079414</v>
      </c>
      <c r="BO37" s="10">
        <f t="shared" si="14"/>
        <v>100000</v>
      </c>
      <c r="BP37" s="10">
        <f t="shared" si="14"/>
        <v>6.7000000000000002E-3</v>
      </c>
    </row>
    <row r="38" spans="19:68" x14ac:dyDescent="0.3">
      <c r="S3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8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8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'[Gpa']]]*1000000000)/(N37*material[[#This Row],[y=a*Ks/rho*Cp]]),
material[[#This Row],[Cp_A]])),
0)</f>
        <v>0</v>
      </c>
      <c r="BC38">
        <v>2</v>
      </c>
      <c r="BD38" t="s">
        <v>85</v>
      </c>
      <c r="BE38" s="10">
        <f t="shared" ref="BE38" si="15">BE7</f>
        <v>298</v>
      </c>
      <c r="BF38" s="10">
        <f t="shared" ref="BF38:BP38" si="16">BF7</f>
        <v>100000</v>
      </c>
      <c r="BG38" s="10">
        <f t="shared" si="16"/>
        <v>7225</v>
      </c>
      <c r="BH38" s="10">
        <f t="shared" si="16"/>
        <v>0</v>
      </c>
      <c r="BI38" s="10">
        <f t="shared" si="16"/>
        <v>0</v>
      </c>
      <c r="BJ38" s="10">
        <f t="shared" si="16"/>
        <v>127</v>
      </c>
      <c r="BK38" s="10">
        <f t="shared" si="16"/>
        <v>0</v>
      </c>
      <c r="BL38" s="10">
        <f t="shared" si="16"/>
        <v>0</v>
      </c>
      <c r="BM38" s="10">
        <f t="shared" si="16"/>
        <v>9.2E-5</v>
      </c>
      <c r="BN38" s="10">
        <f t="shared" si="16"/>
        <v>429.30414540245317</v>
      </c>
      <c r="BO38" s="10">
        <f t="shared" si="16"/>
        <v>232000</v>
      </c>
      <c r="BP38" s="10">
        <f t="shared" si="16"/>
        <v>0</v>
      </c>
    </row>
    <row r="39" spans="19:68" x14ac:dyDescent="0.3">
      <c r="S3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3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39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3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'[Gpa']]]*1000000000)/(N38*material[[#This Row],[y=a*Ks/rho*Cp]]),
material[[#This Row],[Cp_A]])),
0)</f>
        <v>0</v>
      </c>
      <c r="BC39">
        <v>3</v>
      </c>
      <c r="BD39" t="s">
        <v>159</v>
      </c>
      <c r="BE39" s="10">
        <f t="shared" ref="BE39" si="17">BE8</f>
        <v>293</v>
      </c>
      <c r="BF39" s="10">
        <f t="shared" ref="BF39:BP39" si="18">BF8</f>
        <v>0</v>
      </c>
      <c r="BG39" s="10">
        <f t="shared" si="18"/>
        <v>7033</v>
      </c>
      <c r="BH39" s="10">
        <f t="shared" si="18"/>
        <v>0</v>
      </c>
      <c r="BI39" s="10">
        <f t="shared" si="18"/>
        <v>0</v>
      </c>
      <c r="BJ39" s="10">
        <f t="shared" si="18"/>
        <v>150</v>
      </c>
      <c r="BK39" s="10">
        <f t="shared" si="18"/>
        <v>0</v>
      </c>
      <c r="BL39" s="10">
        <f t="shared" si="18"/>
        <v>0</v>
      </c>
      <c r="BM39" s="10">
        <f t="shared" si="18"/>
        <v>6.3999999999999997E-5</v>
      </c>
      <c r="BN39" s="10">
        <f t="shared" si="18"/>
        <v>1090.0671140939598</v>
      </c>
      <c r="BO39" s="10">
        <f t="shared" si="18"/>
        <v>3600</v>
      </c>
      <c r="BP39" s="10">
        <f t="shared" si="18"/>
        <v>5.0000000000000001E-3</v>
      </c>
    </row>
    <row r="40" spans="19:68" x14ac:dyDescent="0.3">
      <c r="S4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0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'[Gpa']]]*1000000000)/(N39*material[[#This Row],[y=a*Ks/rho*Cp]]),
material[[#This Row],[Cp_A]])),
0)</f>
        <v>0</v>
      </c>
      <c r="BC40">
        <v>4</v>
      </c>
      <c r="BD40" t="s">
        <v>160</v>
      </c>
      <c r="BE40" s="10">
        <f t="shared" ref="BE40" si="19">BE11</f>
        <v>1770</v>
      </c>
      <c r="BF40" s="10">
        <f t="shared" ref="BF40:BP40" si="20">BF11</f>
        <v>0</v>
      </c>
      <c r="BG40" s="10">
        <f t="shared" si="20"/>
        <v>7019</v>
      </c>
      <c r="BH40" s="10">
        <f t="shared" si="20"/>
        <v>-20012</v>
      </c>
      <c r="BI40" s="10">
        <f t="shared" si="20"/>
        <v>31524</v>
      </c>
      <c r="BJ40" s="10">
        <f t="shared" si="20"/>
        <v>85.9</v>
      </c>
      <c r="BK40" s="10">
        <f t="shared" si="20"/>
        <v>-462.4</v>
      </c>
      <c r="BL40" s="10">
        <f t="shared" si="20"/>
        <v>780.8</v>
      </c>
      <c r="BM40" s="10">
        <f t="shared" si="20"/>
        <v>9.2E-5</v>
      </c>
      <c r="BN40" s="10">
        <f t="shared" si="20"/>
        <v>711.53224889091121</v>
      </c>
      <c r="BO40" s="10">
        <f t="shared" si="20"/>
        <v>3600</v>
      </c>
      <c r="BP40" s="10">
        <f t="shared" si="20"/>
        <v>5.0000000000000001E-3</v>
      </c>
    </row>
    <row r="41" spans="19:68" x14ac:dyDescent="0.3">
      <c r="S4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1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'[Gpa']]]*1000000000)/(N40*material[[#This Row],[y=a*Ks/rho*Cp]]),
material[[#This Row],[Cp_A]])),
0)</f>
        <v>0</v>
      </c>
      <c r="BC41">
        <v>5</v>
      </c>
      <c r="BD41" t="s">
        <v>162</v>
      </c>
      <c r="BE41" s="10">
        <f t="shared" ref="BE41" si="21">BE10</f>
        <v>1000</v>
      </c>
      <c r="BF41" s="10">
        <f t="shared" ref="BF41:BP41" si="22">BF10</f>
        <v>0</v>
      </c>
      <c r="BG41" s="10">
        <f t="shared" si="22"/>
        <v>4872</v>
      </c>
      <c r="BH41" s="10">
        <f t="shared" si="22"/>
        <v>0</v>
      </c>
      <c r="BI41" s="10">
        <f t="shared" si="22"/>
        <v>0</v>
      </c>
      <c r="BJ41" s="10">
        <f t="shared" si="22"/>
        <v>54.3</v>
      </c>
      <c r="BK41" s="10">
        <f t="shared" si="22"/>
        <v>0</v>
      </c>
      <c r="BL41" s="10">
        <f t="shared" si="22"/>
        <v>0</v>
      </c>
      <c r="BM41" s="10">
        <f t="shared" si="22"/>
        <v>1.0399999999999999E-4</v>
      </c>
      <c r="BN41" s="10">
        <f t="shared" si="22"/>
        <v>1090.0671140939598</v>
      </c>
      <c r="BO41" s="10">
        <f t="shared" si="22"/>
        <v>3600</v>
      </c>
      <c r="BP41" s="10">
        <f t="shared" si="22"/>
        <v>5.0000000000000001E-3</v>
      </c>
    </row>
    <row r="42" spans="19:68" x14ac:dyDescent="0.3">
      <c r="S4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'[Gpa']]]*1000000000)/(N41*material[[#This Row],[y=a*Ks/rho*Cp]]),
material[[#This Row],[Cp_A]])),
0)</f>
        <v>0</v>
      </c>
      <c r="BC42">
        <v>6</v>
      </c>
      <c r="BD42" t="s">
        <v>161</v>
      </c>
      <c r="BE42" s="10">
        <f t="shared" ref="BE42" si="23">BE13</f>
        <v>1723</v>
      </c>
      <c r="BF42" s="10">
        <f t="shared" ref="BF42:BP42" si="24">BF13</f>
        <v>0</v>
      </c>
      <c r="BG42" s="10">
        <f t="shared" si="24"/>
        <v>6000</v>
      </c>
      <c r="BH42" s="10">
        <f t="shared" si="24"/>
        <v>0</v>
      </c>
      <c r="BI42" s="10">
        <f t="shared" si="24"/>
        <v>0</v>
      </c>
      <c r="BJ42" s="10">
        <f t="shared" si="24"/>
        <v>73</v>
      </c>
      <c r="BK42" s="10">
        <f t="shared" si="24"/>
        <v>0</v>
      </c>
      <c r="BL42" s="10">
        <f t="shared" si="24"/>
        <v>0</v>
      </c>
      <c r="BM42" s="10">
        <f t="shared" si="24"/>
        <v>9.2E-5</v>
      </c>
      <c r="BN42" s="10">
        <f t="shared" si="24"/>
        <v>332.68795424758724</v>
      </c>
      <c r="BO42" s="10">
        <f t="shared" si="24"/>
        <v>105000</v>
      </c>
      <c r="BP42" s="10">
        <f t="shared" si="24"/>
        <v>5.0000000000000001E-3</v>
      </c>
    </row>
    <row r="43" spans="19:68" x14ac:dyDescent="0.3">
      <c r="S4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3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'[Gpa']]]*1000000000)/(N42*material[[#This Row],[y=a*Ks/rho*Cp]]),
material[[#This Row],[Cp_A]])),
0)</f>
        <v>0</v>
      </c>
      <c r="BC43">
        <v>7</v>
      </c>
      <c r="BD43" t="s">
        <v>175</v>
      </c>
      <c r="BE43" s="10">
        <f t="shared" ref="BE43" si="25">BE15</f>
        <v>440</v>
      </c>
      <c r="BF43" s="10">
        <f t="shared" ref="BF43:BP43" si="26">BF15</f>
        <v>0</v>
      </c>
      <c r="BG43" s="10">
        <f t="shared" si="26"/>
        <v>3200</v>
      </c>
      <c r="BH43" s="10">
        <f t="shared" si="26"/>
        <v>0</v>
      </c>
      <c r="BI43" s="10">
        <f t="shared" si="26"/>
        <v>0</v>
      </c>
      <c r="BJ43" s="10">
        <f t="shared" si="26"/>
        <v>120</v>
      </c>
      <c r="BK43" s="10">
        <f t="shared" si="26"/>
        <v>0</v>
      </c>
      <c r="BL43" s="10">
        <f t="shared" si="26"/>
        <v>0</v>
      </c>
      <c r="BM43" s="10">
        <f t="shared" si="26"/>
        <v>3.0000000000000001E-5</v>
      </c>
      <c r="BN43" s="10">
        <f t="shared" si="26"/>
        <v>422</v>
      </c>
      <c r="BO43" s="10">
        <f t="shared" si="26"/>
        <v>1249.1200000000001</v>
      </c>
      <c r="BP43" s="10">
        <f t="shared" si="26"/>
        <v>0</v>
      </c>
    </row>
    <row r="44" spans="19:68" x14ac:dyDescent="0.3">
      <c r="S4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'[Gpa']]]*1000000000)/(N43*material[[#This Row],[y=a*Ks/rho*Cp]]),
material[[#This Row],[Cp_A]])),
0)</f>
        <v>0</v>
      </c>
      <c r="BC44">
        <v>8</v>
      </c>
      <c r="BD44" t="s">
        <v>57</v>
      </c>
      <c r="BE44" s="10">
        <f>0.3*BE19+(0.55-0.3)*BE30+(0.8-0.55)*BE29+(1-0.8)*BE24</f>
        <v>298</v>
      </c>
      <c r="BF44" s="10">
        <f t="shared" ref="BF44:BP44" si="27">0.3*BF19+(0.55-0.3)*BF30+(0.8-0.55)*BF29+(1-0.8)*BF24</f>
        <v>100000</v>
      </c>
      <c r="BG44" s="10">
        <f t="shared" si="27"/>
        <v>3411.3500000000004</v>
      </c>
      <c r="BH44" s="10">
        <f t="shared" si="27"/>
        <v>0</v>
      </c>
      <c r="BI44" s="10">
        <f t="shared" si="27"/>
        <v>0</v>
      </c>
      <c r="BJ44" s="10">
        <f t="shared" si="27"/>
        <v>150.79</v>
      </c>
      <c r="BK44" s="10">
        <f t="shared" si="27"/>
        <v>0</v>
      </c>
      <c r="BL44" s="10">
        <f t="shared" si="27"/>
        <v>0</v>
      </c>
      <c r="BM44" s="10">
        <f t="shared" si="27"/>
        <v>3.7836299999999996E-5</v>
      </c>
      <c r="BN44" s="10">
        <f t="shared" si="27"/>
        <v>1729.6175100073538</v>
      </c>
      <c r="BO44" s="10">
        <f t="shared" si="27"/>
        <v>1250</v>
      </c>
      <c r="BP44" s="10">
        <f t="shared" si="27"/>
        <v>0</v>
      </c>
    </row>
    <row r="45" spans="19:68" x14ac:dyDescent="0.3">
      <c r="S4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5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'[Gpa']]]*1000000000)/(N44*material[[#This Row],[y=a*Ks/rho*Cp]]),
material[[#This Row],[Cp_A]])),
0)</f>
        <v>0</v>
      </c>
      <c r="BC45">
        <v>9</v>
      </c>
      <c r="BD45" t="s">
        <v>60</v>
      </c>
      <c r="BE45" s="10">
        <f>0.3*BE19+(0.45-0.3)*BE21+(0.75-0.45)*BE20+(1-0.75)*BE22</f>
        <v>298</v>
      </c>
      <c r="BF45" s="10">
        <f t="shared" ref="BF45:BP45" si="28">0.3*BF19+(0.45-0.3)*BF21+(0.75-0.45)*BF20+(1-0.75)*BF22</f>
        <v>100000</v>
      </c>
      <c r="BG45" s="10">
        <f t="shared" si="28"/>
        <v>3307.6</v>
      </c>
      <c r="BH45" s="10">
        <f t="shared" si="28"/>
        <v>0</v>
      </c>
      <c r="BI45" s="10">
        <f t="shared" si="28"/>
        <v>0</v>
      </c>
      <c r="BJ45" s="10">
        <f t="shared" si="28"/>
        <v>129.89999999999998</v>
      </c>
      <c r="BK45" s="10">
        <f t="shared" si="28"/>
        <v>0</v>
      </c>
      <c r="BL45" s="10">
        <f t="shared" si="28"/>
        <v>0</v>
      </c>
      <c r="BM45" s="10">
        <f t="shared" si="28"/>
        <v>2.5756299999999999E-5</v>
      </c>
      <c r="BN45" s="10">
        <f t="shared" si="28"/>
        <v>916.72944540470098</v>
      </c>
      <c r="BO45" s="10">
        <f t="shared" si="28"/>
        <v>1250</v>
      </c>
      <c r="BP45" s="10">
        <f t="shared" si="28"/>
        <v>0</v>
      </c>
    </row>
    <row r="46" spans="19:68" x14ac:dyDescent="0.3">
      <c r="S4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'[Gpa']]]*1000000000)/(N45*material[[#This Row],[y=a*Ks/rho*Cp]]),
material[[#This Row],[Cp_A]])),
0)</f>
        <v>0</v>
      </c>
      <c r="BC46">
        <v>10</v>
      </c>
      <c r="BD46" t="s">
        <v>59</v>
      </c>
      <c r="BE46" s="10">
        <f>0.25*BE19+(0.35-0.25)*BE21+(0.8-0.35)*BE20+(1-0.8)*BE22</f>
        <v>298</v>
      </c>
      <c r="BF46" s="10">
        <f t="shared" ref="BF46:BP46" si="29">0.25*BF19+(0.35-0.25)*BF21+(0.8-0.35)*BF20+(1-0.8)*BF22</f>
        <v>100000</v>
      </c>
      <c r="BG46" s="10">
        <f t="shared" si="29"/>
        <v>3283.5</v>
      </c>
      <c r="BH46" s="10">
        <f t="shared" si="29"/>
        <v>0</v>
      </c>
      <c r="BI46" s="10">
        <f t="shared" si="29"/>
        <v>0</v>
      </c>
      <c r="BJ46" s="10">
        <f t="shared" si="29"/>
        <v>126</v>
      </c>
      <c r="BK46" s="10">
        <f t="shared" si="29"/>
        <v>0</v>
      </c>
      <c r="BL46" s="10">
        <f t="shared" si="29"/>
        <v>0</v>
      </c>
      <c r="BM46" s="10">
        <f t="shared" si="29"/>
        <v>2.643025E-5</v>
      </c>
      <c r="BN46" s="10">
        <f t="shared" si="29"/>
        <v>922.51533289790234</v>
      </c>
      <c r="BO46" s="10">
        <f t="shared" si="29"/>
        <v>1250</v>
      </c>
      <c r="BP46" s="10">
        <f t="shared" si="29"/>
        <v>0</v>
      </c>
    </row>
    <row r="47" spans="19:68" x14ac:dyDescent="0.3">
      <c r="S4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7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7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'[Gpa']]]*1000000000)/(N46*material[[#This Row],[y=a*Ks/rho*Cp]]),
material[[#This Row],[Cp_A]])),
0)</f>
        <v>0</v>
      </c>
    </row>
    <row r="48" spans="19:68" x14ac:dyDescent="0.3">
      <c r="S4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8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8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'[Gpa']]]*1000000000)/(N47*material[[#This Row],[y=a*Ks/rho*Cp]]),
material[[#This Row],[Cp_A]])),
0)</f>
        <v>0</v>
      </c>
    </row>
    <row r="49" spans="19:37" x14ac:dyDescent="0.3">
      <c r="S4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4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49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4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'[Gpa']]]*1000000000)/(N48*material[[#This Row],[y=a*Ks/rho*Cp]]),
material[[#This Row],[Cp_A]])),
0)</f>
        <v>0</v>
      </c>
    </row>
    <row r="50" spans="19:37" x14ac:dyDescent="0.3">
      <c r="S5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0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'[Gpa']]]*1000000000)/(N49*material[[#This Row],[y=a*Ks/rho*Cp]]),
material[[#This Row],[Cp_A]])),
0)</f>
        <v>0</v>
      </c>
    </row>
    <row r="51" spans="19:37" x14ac:dyDescent="0.3">
      <c r="S5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1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'[Gpa']]]*1000000000)/(N50*material[[#This Row],[y=a*Ks/rho*Cp]]),
material[[#This Row],[Cp_A]])),
0)</f>
        <v>0</v>
      </c>
    </row>
    <row r="52" spans="19:37" x14ac:dyDescent="0.3">
      <c r="S5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'[Gpa']]]*1000000000)/(N51*material[[#This Row],[y=a*Ks/rho*Cp]]),
material[[#This Row],[Cp_A]])),
0)</f>
        <v>0</v>
      </c>
    </row>
    <row r="53" spans="19:37" x14ac:dyDescent="0.3">
      <c r="S5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3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'[Gpa']]]*1000000000)/(N52*material[[#This Row],[y=a*Ks/rho*Cp]]),
material[[#This Row],[Cp_A]])),
0)</f>
        <v>0</v>
      </c>
    </row>
    <row r="54" spans="19:37" x14ac:dyDescent="0.3">
      <c r="S5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'[Gpa']]]*1000000000)/(N53*material[[#This Row],[y=a*Ks/rho*Cp]]),
material[[#This Row],[Cp_A]])),
0)</f>
        <v>0</v>
      </c>
    </row>
    <row r="55" spans="19:37" x14ac:dyDescent="0.3">
      <c r="S5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5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'[Gpa']]]*1000000000)/(N54*material[[#This Row],[y=a*Ks/rho*Cp]]),
material[[#This Row],[Cp_A]])),
0)</f>
        <v>0</v>
      </c>
    </row>
    <row r="56" spans="19:37" x14ac:dyDescent="0.3">
      <c r="S5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'[Gpa']]]*1000000000)/(N55*material[[#This Row],[y=a*Ks/rho*Cp]]),
material[[#This Row],[Cp_A]])),
0)</f>
        <v>0</v>
      </c>
    </row>
    <row r="57" spans="19:37" x14ac:dyDescent="0.3">
      <c r="S5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7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7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'[Gpa']]]*1000000000)/(N56*material[[#This Row],[y=a*Ks/rho*Cp]]),
material[[#This Row],[Cp_A]])),
0)</f>
        <v>0</v>
      </c>
    </row>
    <row r="58" spans="19:37" x14ac:dyDescent="0.3">
      <c r="S5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8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8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'[Gpa']]]*1000000000)/(N57*material[[#This Row],[y=a*Ks/rho*Cp]]),
material[[#This Row],[Cp_A]])),
0)</f>
        <v>0</v>
      </c>
    </row>
    <row r="59" spans="19:37" x14ac:dyDescent="0.3">
      <c r="S5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5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59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5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'[Gpa']]]*1000000000)/(N58*material[[#This Row],[y=a*Ks/rho*Cp]]),
material[[#This Row],[Cp_A]])),
0)</f>
        <v>0</v>
      </c>
    </row>
    <row r="60" spans="19:37" x14ac:dyDescent="0.3">
      <c r="S6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0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'[Gpa']]]*1000000000)/(N59*material[[#This Row],[y=a*Ks/rho*Cp]]),
material[[#This Row],[Cp_A]])),
0)</f>
        <v>0</v>
      </c>
    </row>
    <row r="61" spans="19:37" x14ac:dyDescent="0.3">
      <c r="S6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1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'[Gpa']]]*1000000000)/(N60*material[[#This Row],[y=a*Ks/rho*Cp]]),
material[[#This Row],[Cp_A]])),
0)</f>
        <v>0</v>
      </c>
    </row>
    <row r="62" spans="19:37" x14ac:dyDescent="0.3">
      <c r="S6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'[Gpa']]]*1000000000)/(N61*material[[#This Row],[y=a*Ks/rho*Cp]]),
material[[#This Row],[Cp_A]])),
0)</f>
        <v>0</v>
      </c>
    </row>
    <row r="63" spans="19:37" x14ac:dyDescent="0.3">
      <c r="S6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3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'[Gpa']]]*1000000000)/(N62*material[[#This Row],[y=a*Ks/rho*Cp]]),
material[[#This Row],[Cp_A]])),
0)</f>
        <v>0</v>
      </c>
    </row>
    <row r="64" spans="19:37" x14ac:dyDescent="0.3">
      <c r="S6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'[Gpa']]]*1000000000)/(N63*material[[#This Row],[y=a*Ks/rho*Cp]]),
material[[#This Row],[Cp_A]])),
0)</f>
        <v>0</v>
      </c>
    </row>
    <row r="65" spans="19:37" x14ac:dyDescent="0.3">
      <c r="S6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5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'[Gpa']]]*1000000000)/(N64*material[[#This Row],[y=a*Ks/rho*Cp]]),
material[[#This Row],[Cp_A]])),
0)</f>
        <v>0</v>
      </c>
    </row>
    <row r="66" spans="19:37" x14ac:dyDescent="0.3">
      <c r="S6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'[Gpa']]]*1000000000)/(N65*material[[#This Row],[y=a*Ks/rho*Cp]]),
material[[#This Row],[Cp_A]])),
0)</f>
        <v>0</v>
      </c>
    </row>
    <row r="67" spans="19:37" x14ac:dyDescent="0.3">
      <c r="S6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7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7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'[Gpa']]]*1000000000)/(N66*material[[#This Row],[y=a*Ks/rho*Cp]]),
material[[#This Row],[Cp_A]])),
0)</f>
        <v>0</v>
      </c>
    </row>
    <row r="68" spans="19:37" x14ac:dyDescent="0.3">
      <c r="S6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8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8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'[Gpa']]]*1000000000)/(N67*material[[#This Row],[y=a*Ks/rho*Cp]]),
material[[#This Row],[Cp_A]])),
0)</f>
        <v>0</v>
      </c>
    </row>
    <row r="69" spans="19:37" x14ac:dyDescent="0.3">
      <c r="S6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6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69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6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'[Gpa']]]*1000000000)/(N68*material[[#This Row],[y=a*Ks/rho*Cp]]),
material[[#This Row],[Cp_A]])),
0)</f>
        <v>0</v>
      </c>
    </row>
    <row r="70" spans="19:37" x14ac:dyDescent="0.3">
      <c r="S7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0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'[Gpa']]]*1000000000)/(N69*material[[#This Row],[y=a*Ks/rho*Cp]]),
material[[#This Row],[Cp_A]])),
0)</f>
        <v>0</v>
      </c>
    </row>
    <row r="71" spans="19:37" x14ac:dyDescent="0.3">
      <c r="S7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1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'[Gpa']]]*1000000000)/(N70*material[[#This Row],[y=a*Ks/rho*Cp]]),
material[[#This Row],[Cp_A]])),
0)</f>
        <v>0</v>
      </c>
    </row>
    <row r="72" spans="19:37" x14ac:dyDescent="0.3">
      <c r="S7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'[Gpa']]]*1000000000)/(N71*material[[#This Row],[y=a*Ks/rho*Cp]]),
material[[#This Row],[Cp_A]])),
0)</f>
        <v>0</v>
      </c>
    </row>
    <row r="73" spans="19:37" x14ac:dyDescent="0.3">
      <c r="S7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3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'[Gpa']]]*1000000000)/(N72*material[[#This Row],[y=a*Ks/rho*Cp]]),
material[[#This Row],[Cp_A]])),
0)</f>
        <v>0</v>
      </c>
    </row>
    <row r="74" spans="19:37" x14ac:dyDescent="0.3">
      <c r="S7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'[Gpa']]]*1000000000)/(N73*material[[#This Row],[y=a*Ks/rho*Cp]]),
material[[#This Row],[Cp_A]])),
0)</f>
        <v>0</v>
      </c>
    </row>
    <row r="75" spans="19:37" x14ac:dyDescent="0.3">
      <c r="S7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5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'[Gpa']]]*1000000000)/(N74*material[[#This Row],[y=a*Ks/rho*Cp]]),
material[[#This Row],[Cp_A]])),
0)</f>
        <v>0</v>
      </c>
    </row>
    <row r="76" spans="19:37" x14ac:dyDescent="0.3">
      <c r="S7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'[Gpa']]]*1000000000)/(N75*material[[#This Row],[y=a*Ks/rho*Cp]]),
material[[#This Row],[Cp_A]])),
0)</f>
        <v>0</v>
      </c>
    </row>
    <row r="77" spans="19:37" x14ac:dyDescent="0.3">
      <c r="S77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7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7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7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'[Gpa']]]*1000000000)/(N76*material[[#This Row],[y=a*Ks/rho*Cp]]),
material[[#This Row],[Cp_A]])),
0)</f>
        <v>0</v>
      </c>
    </row>
    <row r="78" spans="19:37" x14ac:dyDescent="0.3">
      <c r="S78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8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8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8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'[Gpa']]]*1000000000)/(N77*material[[#This Row],[y=a*Ks/rho*Cp]]),
material[[#This Row],[Cp_A]])),
0)</f>
        <v>0</v>
      </c>
    </row>
    <row r="79" spans="19:37" x14ac:dyDescent="0.3">
      <c r="S79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79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79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79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'[Gpa']]]*1000000000)/(N78*material[[#This Row],[y=a*Ks/rho*Cp]]),
material[[#This Row],[Cp_A]])),
0)</f>
        <v>0</v>
      </c>
    </row>
    <row r="80" spans="19:37" x14ac:dyDescent="0.3">
      <c r="S80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0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0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0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'[Gpa']]]*1000000000)/(N79*material[[#This Row],[y=a*Ks/rho*Cp]]),
material[[#This Row],[Cp_A]])),
0)</f>
        <v>0</v>
      </c>
    </row>
    <row r="81" spans="12:37" x14ac:dyDescent="0.3">
      <c r="S81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1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1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1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'[Gpa']]]*1000000000)/(N80*material[[#This Row],[y=a*Ks/rho*Cp]]),
material[[#This Row],[Cp_A]])),
0)</f>
        <v>0</v>
      </c>
    </row>
    <row r="82" spans="12:37" x14ac:dyDescent="0.3">
      <c r="S82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2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2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2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'[Gpa']]]*1000000000)/(N81*material[[#This Row],[y=a*Ks/rho*Cp]]),
material[[#This Row],[Cp_A]])),
0)</f>
        <v>0</v>
      </c>
    </row>
    <row r="83" spans="12:37" x14ac:dyDescent="0.3">
      <c r="S83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3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3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3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'[Gpa']]]*1000000000)/(N82*material[[#This Row],[y=a*Ks/rho*Cp]]),
material[[#This Row],[Cp_A]])),
0)</f>
        <v>0</v>
      </c>
    </row>
    <row r="84" spans="12:37" x14ac:dyDescent="0.3">
      <c r="S84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4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4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4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'[Gpa']]]*1000000000)/(N83*material[[#This Row],[y=a*Ks/rho*Cp]]),
material[[#This Row],[Cp_A]])),
0)</f>
        <v>0</v>
      </c>
    </row>
    <row r="85" spans="12:37" x14ac:dyDescent="0.3">
      <c r="S85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5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5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5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'[Gpa']]]*1000000000)/(N84*material[[#This Row],[y=a*Ks/rho*Cp]]),
material[[#This Row],[Cp_A]])),
0)</f>
        <v>0</v>
      </c>
    </row>
    <row r="86" spans="12:37" x14ac:dyDescent="0.3">
      <c r="S86" s="1">
        <f>material[[#This Row],[rho_0 '[kg/m3']]]+material[[#This Row],[drho/dp]]*(material[[#This Row],[p]]-material[[#This Row],[p_ref '[Gpa']]])+material[[#This Row],[drho/dT]]*(material[[#This Row],[T]]-material[[#This Row],[T_ref '[K']]])+material[[#This Row],[drho/dXs]]*material[[#This Row],[sulfur fraction X_s]]+material[[#This Row],[drho/dXs^2]]*material[[#This Row],[sulfur fraction X_s]]^2</f>
        <v>0</v>
      </c>
      <c r="Y86" s="1">
        <f>material[[#This Row],[K_0 '[Gpa']]]+material[[#This Row],[dK/dT]]*(material[[#This Row],[T]]-material[[#This Row],[T_ref '[K']]])+(material[[#This Row],[dK/dp '[-']]]/1000000000)*(material[[#This Row],[p]]-material[[#This Row],[p_ref '[Gpa']]])</f>
        <v>0</v>
      </c>
      <c r="AC86" s="1">
        <f>material[[#This Row],[a_0]]+material[[#This Row],[da/dp]]*(material[[#This Row],[p]]-material[[#This Row],[p_ref '[Gpa']]])+material[[#This Row],[da/dT]]*(material[[#This Row],[T]]-material[[#This Row],[T_ref '[K']]])</f>
        <v>0</v>
      </c>
      <c r="AK86" s="1">
        <f>IFERROR(IFERROR(
(material[[#This Row],[Cp_A]]+material[[#This Row],[Cp_B]]*material[[#This Row],[T]]+material[[#This Row],[Cp_C]]*material[[#This Row],[T]]^2+material[[#This Row],[Cp_D]]*material[[#This Row],[T]]^3+IF(material[[#This Row],[T]]=0,0,material[[#This Row],[Cp_E]]*material[[#This Row],[T]]^(-2)))*1000/material[[#This Row],[Mw '[g/mol']]],
IF(material[[#This Row],[Cp_A]]=0,
(material[[#This Row],[a_0]]*material[[#This Row],[K_0 '[Gpa']]]*1000000000)/(N85*material[[#This Row],[y=a*Ks/rho*Cp]]),
material[[#This Row],[Cp_A]])),
0)</f>
        <v>0</v>
      </c>
    </row>
    <row r="87" spans="12:37" x14ac:dyDescent="0.3">
      <c r="L87" s="1" t="s">
        <v>189</v>
      </c>
    </row>
  </sheetData>
  <mergeCells count="3">
    <mergeCell ref="BT1:BU1"/>
    <mergeCell ref="BV1:BX1"/>
    <mergeCell ref="BY1:CA1"/>
  </mergeCells>
  <phoneticPr fontId="5" type="noConversion"/>
  <conditionalFormatting sqref="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B3:CB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S14" r:id="rId1" xr:uid="{7E284843-DD99-4D65-96D4-F5993274964E}"/>
  </hyperlinks>
  <pageMargins left="0.7" right="0.7" top="0.75" bottom="0.75" header="0.3" footer="0.3"/>
  <pageSetup orientation="portrait" r:id="rId2"/>
  <legacyDrawing r:id="rId3"/>
  <tableParts count="3"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F371-DD78-4966-83F4-35A42FEDD2B3}">
  <dimension ref="B2:I16"/>
  <sheetViews>
    <sheetView zoomScale="94" workbookViewId="0">
      <selection activeCell="B18" sqref="B18"/>
    </sheetView>
  </sheetViews>
  <sheetFormatPr defaultRowHeight="14.4" x14ac:dyDescent="0.3"/>
  <cols>
    <col min="2" max="2" width="21.77734375" customWidth="1"/>
    <col min="3" max="3" width="17.77734375" customWidth="1"/>
    <col min="4" max="4" width="12" bestFit="1" customWidth="1"/>
    <col min="5" max="5" width="12" customWidth="1"/>
  </cols>
  <sheetData>
    <row r="2" spans="2:9" x14ac:dyDescent="0.3">
      <c r="B2" t="s">
        <v>32</v>
      </c>
      <c r="C2" t="s">
        <v>35</v>
      </c>
      <c r="D2" t="s">
        <v>33</v>
      </c>
      <c r="E2" t="s">
        <v>48</v>
      </c>
      <c r="F2" t="s">
        <v>5</v>
      </c>
      <c r="I2" t="s">
        <v>72</v>
      </c>
    </row>
    <row r="3" spans="2:9" x14ac:dyDescent="0.3">
      <c r="B3" s="7" t="s">
        <v>73</v>
      </c>
      <c r="D3">
        <f>3.302E+23</f>
        <v>3.3019999999999999E+23</v>
      </c>
      <c r="F3">
        <f>0.353</f>
        <v>0.35299999999999998</v>
      </c>
    </row>
    <row r="4" spans="2:9" x14ac:dyDescent="0.3">
      <c r="B4" t="s">
        <v>34</v>
      </c>
      <c r="C4" s="9">
        <v>5427</v>
      </c>
      <c r="D4" s="4">
        <f>3.30231053405946E+23</f>
        <v>3.3023105340594597E+23</v>
      </c>
      <c r="E4">
        <f t="shared" ref="E4:E11" si="0">100*(D4-$D$3)/$D$3</f>
        <v>9.4044233634093376E-3</v>
      </c>
      <c r="F4">
        <v>0.4</v>
      </c>
      <c r="G4">
        <f t="shared" ref="G4:G11" si="1">100*(F4-$F$3)/$F$3</f>
        <v>13.314447592068003</v>
      </c>
      <c r="I4">
        <f t="shared" ref="I4:I11" si="2">SUM(ABS(E4),ABS(G4))</f>
        <v>13.323852015431413</v>
      </c>
    </row>
    <row r="5" spans="2:9" x14ac:dyDescent="0.3">
      <c r="B5" t="s">
        <v>45</v>
      </c>
      <c r="C5" s="5" t="s">
        <v>39</v>
      </c>
      <c r="D5">
        <f>3.2918364654928E+23</f>
        <v>3.2918364654928E+23</v>
      </c>
      <c r="E5">
        <f t="shared" si="0"/>
        <v>-0.30779934909751627</v>
      </c>
      <c r="F5">
        <v>0.3362</v>
      </c>
      <c r="G5">
        <f t="shared" si="1"/>
        <v>-4.7592067988668507</v>
      </c>
      <c r="I5">
        <f t="shared" si="2"/>
        <v>5.0670061479643671</v>
      </c>
    </row>
    <row r="6" spans="2:9" x14ac:dyDescent="0.3">
      <c r="B6" t="s">
        <v>46</v>
      </c>
      <c r="C6" t="s">
        <v>47</v>
      </c>
      <c r="D6">
        <f>3.21003030953519E+23</f>
        <v>3.2100303095351898E+23</v>
      </c>
      <c r="E6">
        <f t="shared" si="0"/>
        <v>-2.7852722733134514</v>
      </c>
      <c r="F6">
        <v>0.34004000000000001</v>
      </c>
      <c r="G6">
        <f t="shared" si="1"/>
        <v>-3.6713881019829948</v>
      </c>
      <c r="I6">
        <f t="shared" si="2"/>
        <v>6.4566603752964458</v>
      </c>
    </row>
    <row r="7" spans="2:9" x14ac:dyDescent="0.3">
      <c r="B7" t="s">
        <v>62</v>
      </c>
      <c r="C7" t="s">
        <v>63</v>
      </c>
      <c r="D7">
        <f xml:space="preserve"> 3.17237073668398E+23</f>
        <v>3.1723707366839797E+23</v>
      </c>
      <c r="E7">
        <f t="shared" si="0"/>
        <v>-3.9257802336771719</v>
      </c>
      <c r="F7">
        <v>0.33306000000000002</v>
      </c>
      <c r="G7">
        <f t="shared" si="1"/>
        <v>-5.6487252124645773</v>
      </c>
      <c r="I7">
        <f t="shared" si="2"/>
        <v>9.5745054461417496</v>
      </c>
    </row>
    <row r="8" spans="2:9" x14ac:dyDescent="0.3">
      <c r="B8" t="s">
        <v>64</v>
      </c>
      <c r="C8" t="s">
        <v>65</v>
      </c>
      <c r="D8">
        <f>3.12615956258793E+23</f>
        <v>3.1261595625879303E+23</v>
      </c>
      <c r="E8">
        <f t="shared" si="0"/>
        <v>-5.3252706666283967</v>
      </c>
      <c r="F8">
        <v>0.33128999999999997</v>
      </c>
      <c r="G8">
        <f t="shared" si="1"/>
        <v>-6.1501416430594924</v>
      </c>
      <c r="I8">
        <f t="shared" si="2"/>
        <v>11.47541230968789</v>
      </c>
    </row>
    <row r="9" spans="2:9" x14ac:dyDescent="0.3">
      <c r="B9" t="s">
        <v>66</v>
      </c>
      <c r="C9" t="s">
        <v>67</v>
      </c>
      <c r="D9">
        <f>3.1452283165923E+23</f>
        <v>3.1452283165922999E+23</v>
      </c>
      <c r="E9">
        <f t="shared" si="0"/>
        <v>-4.7477796307601459</v>
      </c>
      <c r="F9">
        <v>0.33207999999999999</v>
      </c>
      <c r="G9">
        <f t="shared" si="1"/>
        <v>-5.9263456090651552</v>
      </c>
      <c r="I9">
        <f t="shared" si="2"/>
        <v>10.674125239825301</v>
      </c>
    </row>
    <row r="10" spans="2:9" x14ac:dyDescent="0.3">
      <c r="B10" t="s">
        <v>68</v>
      </c>
      <c r="C10" t="s">
        <v>69</v>
      </c>
      <c r="D10">
        <f>3.11670797767842E+23</f>
        <v>3.11670797767842E+23</v>
      </c>
      <c r="E10">
        <f t="shared" si="0"/>
        <v>-5.6115088528643211</v>
      </c>
      <c r="F10">
        <v>0.33077000000000001</v>
      </c>
      <c r="G10">
        <f t="shared" si="1"/>
        <v>-6.2974504249291705</v>
      </c>
      <c r="I10">
        <f t="shared" si="2"/>
        <v>11.908959277793493</v>
      </c>
    </row>
    <row r="11" spans="2:9" x14ac:dyDescent="0.3">
      <c r="B11" t="s">
        <v>70</v>
      </c>
      <c r="C11" t="s">
        <v>71</v>
      </c>
      <c r="D11">
        <f>3.0645277978943E+23</f>
        <v>3.0645277978943002E+23</v>
      </c>
      <c r="E11">
        <f t="shared" si="0"/>
        <v>-7.1917686888461452</v>
      </c>
      <c r="F11">
        <v>0.32790000000000002</v>
      </c>
      <c r="G11">
        <f t="shared" si="1"/>
        <v>-7.1104815864022539</v>
      </c>
      <c r="I11">
        <f t="shared" si="2"/>
        <v>14.302250275248399</v>
      </c>
    </row>
    <row r="15" spans="2:9" x14ac:dyDescent="0.3">
      <c r="E15">
        <v>-10</v>
      </c>
      <c r="G15">
        <v>-10</v>
      </c>
      <c r="I15">
        <v>20</v>
      </c>
    </row>
    <row r="16" spans="2:9" x14ac:dyDescent="0.3">
      <c r="E16">
        <v>10</v>
      </c>
      <c r="G16">
        <v>10</v>
      </c>
    </row>
  </sheetData>
  <conditionalFormatting sqref="E3:E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Model 1</vt:lpstr>
      <vt:lpstr>Model 2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>Théo Huegens</cp:lastModifiedBy>
  <dcterms:created xsi:type="dcterms:W3CDTF">2015-06-05T18:17:20Z</dcterms:created>
  <dcterms:modified xsi:type="dcterms:W3CDTF">2024-05-09T19:07:04Z</dcterms:modified>
</cp:coreProperties>
</file>