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d679a80baeebce9/Documents/TU-Delft/AE4893 Physics of Planetary interiors/Assignment 3/PPI_AS3/"/>
    </mc:Choice>
  </mc:AlternateContent>
  <xr:revisionPtr revIDLastSave="504" documentId="11_F25DC773A252ABDACC104884E99D47E45ADE58EE" xr6:coauthVersionLast="47" xr6:coauthVersionMax="47" xr10:uidLastSave="{F71A0569-121E-4744-A1B5-18F9B6E22FF2}"/>
  <bookViews>
    <workbookView xWindow="11424" yWindow="0" windowWidth="11712" windowHeight="12336" xr2:uid="{00000000-000D-0000-FFFF-FFFF00000000}"/>
  </bookViews>
  <sheets>
    <sheet name="Models" sheetId="2" r:id="rId1"/>
    <sheet name="AS1Model2" sheetId="3" r:id="rId2"/>
    <sheet name="Materials" sheetId="1" r:id="rId3"/>
  </sheets>
  <definedNames>
    <definedName name="ExternalData_2" localSheetId="1" hidden="1">AS1Model2!$B$1:$L$17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9" i="2" l="1"/>
  <c r="AE29" i="2"/>
  <c r="AD29" i="2"/>
  <c r="AC29" i="2"/>
  <c r="AF28" i="2"/>
  <c r="AE28" i="2"/>
  <c r="AD28" i="2"/>
  <c r="AC28" i="2"/>
  <c r="AD27" i="2"/>
  <c r="AC27" i="2"/>
  <c r="AF26" i="2"/>
  <c r="AE26" i="2"/>
  <c r="AD26" i="2"/>
  <c r="AC26" i="2"/>
  <c r="AD49" i="2"/>
  <c r="AF49" i="2"/>
  <c r="AD46" i="2"/>
  <c r="AF46" i="2"/>
  <c r="AD52" i="2"/>
  <c r="AE52" i="2"/>
  <c r="AF52" i="2"/>
  <c r="AI52" i="2"/>
  <c r="AD53" i="2"/>
  <c r="AF53" i="2"/>
  <c r="AD54" i="2"/>
  <c r="AF54" i="2"/>
  <c r="AG54" i="2"/>
  <c r="AI54" i="2"/>
  <c r="AD55" i="2"/>
  <c r="AF55" i="2"/>
  <c r="AD56" i="2"/>
  <c r="AE56" i="2"/>
  <c r="AF56" i="2"/>
  <c r="AG56" i="2"/>
  <c r="AH56" i="2"/>
  <c r="AI56" i="2"/>
  <c r="AC53" i="2"/>
  <c r="AC54" i="2"/>
  <c r="AC55" i="2"/>
  <c r="AC56" i="2"/>
  <c r="AC52" i="2"/>
  <c r="AH36" i="2"/>
  <c r="AH53" i="2" s="1"/>
  <c r="AH37" i="2"/>
  <c r="AH54" i="2" s="1"/>
  <c r="AH38" i="2"/>
  <c r="AH55" i="2" s="1"/>
  <c r="AH35" i="2"/>
  <c r="AH43" i="2" s="1"/>
  <c r="AI36" i="2"/>
  <c r="AI53" i="2" s="1"/>
  <c r="AI38" i="2"/>
  <c r="AI55" i="2" s="1"/>
  <c r="AI35" i="2"/>
  <c r="AC43" i="2"/>
  <c r="AC46" i="2" s="1"/>
  <c r="AD20" i="2"/>
  <c r="AD18" i="2"/>
  <c r="U48" i="2"/>
  <c r="U47" i="2"/>
  <c r="W46" i="2"/>
  <c r="U46" i="2"/>
  <c r="W45" i="2"/>
  <c r="U45" i="2"/>
  <c r="W44" i="2"/>
  <c r="W43" i="2"/>
  <c r="U40" i="2"/>
  <c r="U39" i="2"/>
  <c r="W38" i="2"/>
  <c r="U38" i="2"/>
  <c r="W37" i="2"/>
  <c r="U37" i="2"/>
  <c r="W36" i="2"/>
  <c r="W35" i="2"/>
  <c r="AC39" i="2"/>
  <c r="AE38" i="2"/>
  <c r="AE55" i="2" s="1"/>
  <c r="AE37" i="2"/>
  <c r="AE54" i="2" s="1"/>
  <c r="AE36" i="2"/>
  <c r="AE53" i="2" s="1"/>
  <c r="U32" i="2"/>
  <c r="U31" i="2"/>
  <c r="W30" i="2"/>
  <c r="U30" i="2"/>
  <c r="W29" i="2"/>
  <c r="U29" i="2"/>
  <c r="W28" i="2"/>
  <c r="W27" i="2"/>
  <c r="AH52" i="2" l="1"/>
  <c r="AH49" i="2"/>
  <c r="AH46" i="2"/>
  <c r="AE43" i="2"/>
  <c r="AC49" i="2"/>
  <c r="AD16" i="2"/>
  <c r="Y22" i="2"/>
  <c r="Y19" i="2"/>
  <c r="U24" i="2"/>
  <c r="U23" i="2"/>
  <c r="W22" i="2"/>
  <c r="U22" i="2"/>
  <c r="W21" i="2"/>
  <c r="U21" i="2"/>
  <c r="W20" i="2"/>
  <c r="W19" i="2"/>
  <c r="H16" i="2"/>
  <c r="O29" i="2"/>
  <c r="O30" i="2"/>
  <c r="O31" i="2"/>
  <c r="O28" i="2"/>
  <c r="M32" i="2"/>
  <c r="M29" i="2"/>
  <c r="M30" i="2"/>
  <c r="M31" i="2"/>
  <c r="M34" i="2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E49" i="2" l="1"/>
  <c r="AE46" i="2"/>
  <c r="Q31" i="2"/>
  <c r="AG35" i="2"/>
  <c r="Y36" i="2"/>
  <c r="Y46" i="2"/>
  <c r="Y35" i="2"/>
  <c r="Y30" i="2"/>
  <c r="Y27" i="2"/>
  <c r="Y45" i="2"/>
  <c r="Y29" i="2"/>
  <c r="Y44" i="2"/>
  <c r="AG38" i="2"/>
  <c r="AG55" i="2" s="1"/>
  <c r="Y28" i="2"/>
  <c r="Y43" i="2"/>
  <c r="Y38" i="2"/>
  <c r="AG36" i="2"/>
  <c r="AG53" i="2" s="1"/>
  <c r="Y37" i="2"/>
  <c r="Y20" i="2"/>
  <c r="Y21" i="2"/>
  <c r="Q30" i="2"/>
  <c r="Q29" i="2"/>
  <c r="Q28" i="2"/>
  <c r="M21" i="2"/>
  <c r="M20" i="2"/>
  <c r="O17" i="2"/>
  <c r="O24" i="2" s="1"/>
  <c r="N17" i="2"/>
  <c r="O14" i="2"/>
  <c r="N14" i="2"/>
  <c r="J26" i="2"/>
  <c r="J33" i="2" s="1"/>
  <c r="J40" i="2" s="1"/>
  <c r="J47" i="2" s="1"/>
  <c r="J54" i="2" s="1"/>
  <c r="H25" i="2"/>
  <c r="H32" i="2" s="1"/>
  <c r="H39" i="2" s="1"/>
  <c r="H53" i="2" s="1"/>
  <c r="H46" i="2" s="1"/>
  <c r="H23" i="2"/>
  <c r="H30" i="2" s="1"/>
  <c r="H37" i="2" s="1"/>
  <c r="H51" i="2" s="1"/>
  <c r="H44" i="2" s="1"/>
  <c r="H22" i="2"/>
  <c r="H29" i="2" s="1"/>
  <c r="H36" i="2" s="1"/>
  <c r="H50" i="2" s="1"/>
  <c r="H43" i="2" s="1"/>
  <c r="C23" i="2"/>
  <c r="H5" i="2"/>
  <c r="H4" i="2"/>
  <c r="D9" i="2"/>
  <c r="C9" i="2"/>
  <c r="D8" i="2"/>
  <c r="C8" i="2"/>
  <c r="C5" i="2"/>
  <c r="AG117" i="1"/>
  <c r="AF117" i="1"/>
  <c r="AE117" i="1"/>
  <c r="AC117" i="1"/>
  <c r="AB117" i="1"/>
  <c r="AA117" i="1"/>
  <c r="Z117" i="1"/>
  <c r="Y117" i="1"/>
  <c r="X117" i="1"/>
  <c r="W117" i="1"/>
  <c r="U117" i="1"/>
  <c r="T117" i="1"/>
  <c r="Q117" i="1"/>
  <c r="P117" i="1"/>
  <c r="O117" i="1"/>
  <c r="N117" i="1"/>
  <c r="M117" i="1"/>
  <c r="K117" i="1"/>
  <c r="J117" i="1"/>
  <c r="G117" i="1"/>
  <c r="E117" i="1"/>
  <c r="D117" i="1"/>
  <c r="C117" i="1"/>
  <c r="AG116" i="1"/>
  <c r="AF116" i="1"/>
  <c r="AE116" i="1"/>
  <c r="AD116" i="1"/>
  <c r="AC116" i="1"/>
  <c r="AB116" i="1"/>
  <c r="AA116" i="1"/>
  <c r="Z116" i="1"/>
  <c r="Y116" i="1"/>
  <c r="X116" i="1"/>
  <c r="W116" i="1"/>
  <c r="U116" i="1"/>
  <c r="T116" i="1"/>
  <c r="Q116" i="1"/>
  <c r="P116" i="1"/>
  <c r="O116" i="1"/>
  <c r="N116" i="1"/>
  <c r="M116" i="1"/>
  <c r="K116" i="1"/>
  <c r="J116" i="1"/>
  <c r="G116" i="1"/>
  <c r="E116" i="1"/>
  <c r="D116" i="1"/>
  <c r="C116" i="1"/>
  <c r="AG115" i="1"/>
  <c r="AF115" i="1"/>
  <c r="AE115" i="1"/>
  <c r="AC115" i="1"/>
  <c r="AB115" i="1"/>
  <c r="AA115" i="1"/>
  <c r="Z115" i="1"/>
  <c r="Y115" i="1"/>
  <c r="X115" i="1"/>
  <c r="W115" i="1"/>
  <c r="U115" i="1"/>
  <c r="T115" i="1"/>
  <c r="S115" i="1"/>
  <c r="Q115" i="1"/>
  <c r="P115" i="1"/>
  <c r="O115" i="1"/>
  <c r="N115" i="1"/>
  <c r="M115" i="1"/>
  <c r="K115" i="1"/>
  <c r="J115" i="1"/>
  <c r="G115" i="1"/>
  <c r="E115" i="1"/>
  <c r="D115" i="1"/>
  <c r="C115" i="1"/>
  <c r="AG114" i="1"/>
  <c r="AF114" i="1"/>
  <c r="AE114" i="1"/>
  <c r="AC114" i="1"/>
  <c r="AB114" i="1"/>
  <c r="AA114" i="1"/>
  <c r="Z114" i="1"/>
  <c r="Y114" i="1"/>
  <c r="X114" i="1"/>
  <c r="W114" i="1"/>
  <c r="U114" i="1"/>
  <c r="T114" i="1"/>
  <c r="Q114" i="1"/>
  <c r="P114" i="1"/>
  <c r="O114" i="1"/>
  <c r="N114" i="1"/>
  <c r="M114" i="1"/>
  <c r="K114" i="1"/>
  <c r="J114" i="1"/>
  <c r="G114" i="1"/>
  <c r="F114" i="1"/>
  <c r="E114" i="1"/>
  <c r="D114" i="1"/>
  <c r="C114" i="1"/>
  <c r="AG113" i="1"/>
  <c r="AF113" i="1"/>
  <c r="AE113" i="1"/>
  <c r="AC113" i="1"/>
  <c r="AB113" i="1"/>
  <c r="AA113" i="1"/>
  <c r="Z113" i="1"/>
  <c r="Y113" i="1"/>
  <c r="X113" i="1"/>
  <c r="W113" i="1"/>
  <c r="U113" i="1"/>
  <c r="T113" i="1"/>
  <c r="Q113" i="1"/>
  <c r="P113" i="1"/>
  <c r="O113" i="1"/>
  <c r="N113" i="1"/>
  <c r="M113" i="1"/>
  <c r="K113" i="1"/>
  <c r="J113" i="1"/>
  <c r="G113" i="1"/>
  <c r="F113" i="1"/>
  <c r="E113" i="1"/>
  <c r="D113" i="1"/>
  <c r="C113" i="1"/>
  <c r="AG112" i="1"/>
  <c r="AF112" i="1"/>
  <c r="AE112" i="1"/>
  <c r="AC112" i="1"/>
  <c r="AB112" i="1"/>
  <c r="AA112" i="1"/>
  <c r="Z112" i="1"/>
  <c r="Y112" i="1"/>
  <c r="X112" i="1"/>
  <c r="W112" i="1"/>
  <c r="U112" i="1"/>
  <c r="T112" i="1"/>
  <c r="Q112" i="1"/>
  <c r="P112" i="1"/>
  <c r="O112" i="1"/>
  <c r="N112" i="1"/>
  <c r="M112" i="1"/>
  <c r="K112" i="1"/>
  <c r="J112" i="1"/>
  <c r="G112" i="1"/>
  <c r="E112" i="1"/>
  <c r="D112" i="1"/>
  <c r="C112" i="1"/>
  <c r="AG111" i="1"/>
  <c r="AF111" i="1"/>
  <c r="AE111" i="1"/>
  <c r="AC111" i="1"/>
  <c r="AB111" i="1"/>
  <c r="AA111" i="1"/>
  <c r="Z111" i="1"/>
  <c r="Y111" i="1"/>
  <c r="X111" i="1"/>
  <c r="W111" i="1"/>
  <c r="U111" i="1"/>
  <c r="T111" i="1"/>
  <c r="S111" i="1"/>
  <c r="Q111" i="1"/>
  <c r="P111" i="1"/>
  <c r="O111" i="1"/>
  <c r="N111" i="1"/>
  <c r="M111" i="1"/>
  <c r="K111" i="1"/>
  <c r="J111" i="1"/>
  <c r="G111" i="1"/>
  <c r="E111" i="1"/>
  <c r="D111" i="1"/>
  <c r="C111" i="1"/>
  <c r="AG110" i="1"/>
  <c r="AF110" i="1"/>
  <c r="AE110" i="1"/>
  <c r="AC110" i="1"/>
  <c r="AB110" i="1"/>
  <c r="AA110" i="1"/>
  <c r="Z110" i="1"/>
  <c r="Y110" i="1"/>
  <c r="X110" i="1"/>
  <c r="W110" i="1"/>
  <c r="U110" i="1"/>
  <c r="T110" i="1"/>
  <c r="Q110" i="1"/>
  <c r="P110" i="1"/>
  <c r="O110" i="1"/>
  <c r="N110" i="1"/>
  <c r="M110" i="1"/>
  <c r="L110" i="1"/>
  <c r="K110" i="1"/>
  <c r="J110" i="1"/>
  <c r="G110" i="1"/>
  <c r="F110" i="1"/>
  <c r="E110" i="1"/>
  <c r="D110" i="1"/>
  <c r="C110" i="1"/>
  <c r="AG109" i="1"/>
  <c r="AF109" i="1"/>
  <c r="AE109" i="1"/>
  <c r="AC109" i="1"/>
  <c r="AB109" i="1"/>
  <c r="AA109" i="1"/>
  <c r="Z109" i="1"/>
  <c r="Y109" i="1"/>
  <c r="X109" i="1"/>
  <c r="W109" i="1"/>
  <c r="U109" i="1"/>
  <c r="T109" i="1"/>
  <c r="S109" i="1"/>
  <c r="Q109" i="1"/>
  <c r="P109" i="1"/>
  <c r="O109" i="1"/>
  <c r="N109" i="1"/>
  <c r="M109" i="1"/>
  <c r="K109" i="1"/>
  <c r="J109" i="1"/>
  <c r="G109" i="1"/>
  <c r="E109" i="1"/>
  <c r="D109" i="1"/>
  <c r="C109" i="1"/>
  <c r="AG108" i="1"/>
  <c r="AF108" i="1"/>
  <c r="AE108" i="1"/>
  <c r="AC108" i="1"/>
  <c r="AB108" i="1"/>
  <c r="AA108" i="1"/>
  <c r="Z108" i="1"/>
  <c r="Y108" i="1"/>
  <c r="X108" i="1"/>
  <c r="W108" i="1"/>
  <c r="V108" i="1"/>
  <c r="U108" i="1"/>
  <c r="T108" i="1"/>
  <c r="Q108" i="1"/>
  <c r="P108" i="1"/>
  <c r="O108" i="1"/>
  <c r="N108" i="1"/>
  <c r="M108" i="1"/>
  <c r="K108" i="1"/>
  <c r="J108" i="1"/>
  <c r="G108" i="1"/>
  <c r="F108" i="1"/>
  <c r="E108" i="1"/>
  <c r="D108" i="1"/>
  <c r="C108" i="1"/>
  <c r="AG107" i="1"/>
  <c r="AF107" i="1"/>
  <c r="AE107" i="1"/>
  <c r="AC107" i="1"/>
  <c r="AB107" i="1"/>
  <c r="AA107" i="1"/>
  <c r="Z107" i="1"/>
  <c r="Y107" i="1"/>
  <c r="X107" i="1"/>
  <c r="W107" i="1"/>
  <c r="U107" i="1"/>
  <c r="T107" i="1"/>
  <c r="Q107" i="1"/>
  <c r="P107" i="1"/>
  <c r="O107" i="1"/>
  <c r="N107" i="1"/>
  <c r="M107" i="1"/>
  <c r="K107" i="1"/>
  <c r="J107" i="1"/>
  <c r="G107" i="1"/>
  <c r="E107" i="1"/>
  <c r="D107" i="1"/>
  <c r="C107" i="1"/>
  <c r="AG106" i="1"/>
  <c r="AF106" i="1"/>
  <c r="AE106" i="1"/>
  <c r="AC106" i="1"/>
  <c r="AB106" i="1"/>
  <c r="AA106" i="1"/>
  <c r="Z106" i="1"/>
  <c r="Y106" i="1"/>
  <c r="X106" i="1"/>
  <c r="W106" i="1"/>
  <c r="U106" i="1"/>
  <c r="T106" i="1"/>
  <c r="Q106" i="1"/>
  <c r="P106" i="1"/>
  <c r="O106" i="1"/>
  <c r="N106" i="1"/>
  <c r="M106" i="1"/>
  <c r="K106" i="1"/>
  <c r="J106" i="1"/>
  <c r="G106" i="1"/>
  <c r="F106" i="1"/>
  <c r="E106" i="1"/>
  <c r="D106" i="1"/>
  <c r="C106" i="1"/>
  <c r="AG105" i="1"/>
  <c r="AF105" i="1"/>
  <c r="AE105" i="1"/>
  <c r="AC105" i="1"/>
  <c r="AB105" i="1"/>
  <c r="AA105" i="1"/>
  <c r="Z105" i="1"/>
  <c r="Y105" i="1"/>
  <c r="X105" i="1"/>
  <c r="W105" i="1"/>
  <c r="U105" i="1"/>
  <c r="T105" i="1"/>
  <c r="S105" i="1"/>
  <c r="R105" i="1"/>
  <c r="Q105" i="1"/>
  <c r="P105" i="1"/>
  <c r="O105" i="1"/>
  <c r="N105" i="1"/>
  <c r="M105" i="1"/>
  <c r="K105" i="1"/>
  <c r="J105" i="1"/>
  <c r="G105" i="1"/>
  <c r="E105" i="1"/>
  <c r="D105" i="1"/>
  <c r="C105" i="1"/>
  <c r="AG104" i="1"/>
  <c r="AF104" i="1"/>
  <c r="AE104" i="1"/>
  <c r="AC104" i="1"/>
  <c r="AB104" i="1"/>
  <c r="AA104" i="1"/>
  <c r="Z104" i="1"/>
  <c r="Y104" i="1"/>
  <c r="X104" i="1"/>
  <c r="W104" i="1"/>
  <c r="U104" i="1"/>
  <c r="T104" i="1"/>
  <c r="S104" i="1"/>
  <c r="Q104" i="1"/>
  <c r="P104" i="1"/>
  <c r="O104" i="1"/>
  <c r="N104" i="1"/>
  <c r="M104" i="1"/>
  <c r="K104" i="1"/>
  <c r="J104" i="1"/>
  <c r="G104" i="1"/>
  <c r="E104" i="1"/>
  <c r="D104" i="1"/>
  <c r="C104" i="1"/>
  <c r="AG103" i="1"/>
  <c r="AE103" i="1"/>
  <c r="X103" i="1"/>
  <c r="W103" i="1"/>
  <c r="U103" i="1"/>
  <c r="T103" i="1"/>
  <c r="R103" i="1"/>
  <c r="Q103" i="1"/>
  <c r="P103" i="1"/>
  <c r="O103" i="1"/>
  <c r="N103" i="1"/>
  <c r="M103" i="1"/>
  <c r="K103" i="1"/>
  <c r="J103" i="1"/>
  <c r="G103" i="1"/>
  <c r="F103" i="1"/>
  <c r="E103" i="1"/>
  <c r="D103" i="1"/>
  <c r="C103" i="1"/>
  <c r="AE102" i="1"/>
  <c r="X102" i="1"/>
  <c r="W102" i="1"/>
  <c r="V102" i="1"/>
  <c r="U102" i="1"/>
  <c r="T102" i="1"/>
  <c r="S102" i="1"/>
  <c r="Q102" i="1"/>
  <c r="P102" i="1"/>
  <c r="O102" i="1"/>
  <c r="N102" i="1"/>
  <c r="M102" i="1"/>
  <c r="K102" i="1"/>
  <c r="J102" i="1"/>
  <c r="G102" i="1"/>
  <c r="F102" i="1"/>
  <c r="E102" i="1"/>
  <c r="D102" i="1"/>
  <c r="C102" i="1"/>
  <c r="AF101" i="1"/>
  <c r="AE101" i="1"/>
  <c r="AB101" i="1"/>
  <c r="AA101" i="1"/>
  <c r="Z101" i="1"/>
  <c r="Y101" i="1"/>
  <c r="X101" i="1"/>
  <c r="W101" i="1"/>
  <c r="U101" i="1"/>
  <c r="T101" i="1"/>
  <c r="S101" i="1"/>
  <c r="Q101" i="1"/>
  <c r="P101" i="1"/>
  <c r="O101" i="1"/>
  <c r="N101" i="1"/>
  <c r="M101" i="1"/>
  <c r="K101" i="1"/>
  <c r="J101" i="1"/>
  <c r="G101" i="1"/>
  <c r="F101" i="1"/>
  <c r="E101" i="1"/>
  <c r="D101" i="1"/>
  <c r="C101" i="1"/>
  <c r="AF100" i="1"/>
  <c r="AE100" i="1"/>
  <c r="AA100" i="1"/>
  <c r="Z100" i="1"/>
  <c r="Y100" i="1"/>
  <c r="X100" i="1"/>
  <c r="W100" i="1"/>
  <c r="U100" i="1"/>
  <c r="T100" i="1"/>
  <c r="R100" i="1"/>
  <c r="Q100" i="1"/>
  <c r="P100" i="1"/>
  <c r="O100" i="1"/>
  <c r="N100" i="1"/>
  <c r="M100" i="1"/>
  <c r="K100" i="1"/>
  <c r="J100" i="1"/>
  <c r="G100" i="1"/>
  <c r="F100" i="1"/>
  <c r="E100" i="1"/>
  <c r="D100" i="1"/>
  <c r="C100" i="1"/>
  <c r="AF99" i="1"/>
  <c r="AE99" i="1"/>
  <c r="AC99" i="1"/>
  <c r="AB99" i="1"/>
  <c r="AA99" i="1"/>
  <c r="Z99" i="1"/>
  <c r="Y99" i="1"/>
  <c r="X99" i="1"/>
  <c r="W99" i="1"/>
  <c r="U99" i="1"/>
  <c r="T99" i="1"/>
  <c r="Q99" i="1"/>
  <c r="P99" i="1"/>
  <c r="O99" i="1"/>
  <c r="N99" i="1"/>
  <c r="M99" i="1"/>
  <c r="K99" i="1"/>
  <c r="J99" i="1"/>
  <c r="G99" i="1"/>
  <c r="F99" i="1"/>
  <c r="E99" i="1"/>
  <c r="D99" i="1"/>
  <c r="C99" i="1"/>
  <c r="AF98" i="1"/>
  <c r="AE98" i="1"/>
  <c r="AA98" i="1"/>
  <c r="Z98" i="1"/>
  <c r="Y98" i="1"/>
  <c r="X98" i="1"/>
  <c r="W98" i="1"/>
  <c r="U98" i="1"/>
  <c r="T98" i="1"/>
  <c r="S98" i="1"/>
  <c r="Q98" i="1"/>
  <c r="P98" i="1"/>
  <c r="O98" i="1"/>
  <c r="N98" i="1"/>
  <c r="M98" i="1"/>
  <c r="K98" i="1"/>
  <c r="J98" i="1"/>
  <c r="G98" i="1"/>
  <c r="F98" i="1"/>
  <c r="D98" i="1"/>
  <c r="C98" i="1"/>
  <c r="AF97" i="1"/>
  <c r="AE97" i="1"/>
  <c r="AC97" i="1"/>
  <c r="AB97" i="1"/>
  <c r="AA97" i="1"/>
  <c r="Z97" i="1"/>
  <c r="Y97" i="1"/>
  <c r="X97" i="1"/>
  <c r="W97" i="1"/>
  <c r="U97" i="1"/>
  <c r="T97" i="1"/>
  <c r="Q97" i="1"/>
  <c r="P97" i="1"/>
  <c r="O97" i="1"/>
  <c r="N97" i="1"/>
  <c r="M97" i="1"/>
  <c r="L97" i="1"/>
  <c r="K97" i="1"/>
  <c r="J97" i="1"/>
  <c r="G97" i="1"/>
  <c r="F97" i="1"/>
  <c r="E97" i="1"/>
  <c r="D97" i="1"/>
  <c r="C97" i="1"/>
  <c r="AG96" i="1"/>
  <c r="AE96" i="1"/>
  <c r="AD96" i="1"/>
  <c r="AC96" i="1"/>
  <c r="AB96" i="1"/>
  <c r="AA96" i="1"/>
  <c r="Z96" i="1"/>
  <c r="Y96" i="1"/>
  <c r="X96" i="1"/>
  <c r="W96" i="1"/>
  <c r="U96" i="1"/>
  <c r="T96" i="1"/>
  <c r="Q96" i="1"/>
  <c r="P96" i="1"/>
  <c r="O96" i="1"/>
  <c r="N96" i="1"/>
  <c r="M96" i="1"/>
  <c r="K96" i="1"/>
  <c r="J96" i="1"/>
  <c r="G96" i="1"/>
  <c r="E96" i="1"/>
  <c r="D96" i="1"/>
  <c r="C96" i="1"/>
  <c r="AG95" i="1"/>
  <c r="AE95" i="1"/>
  <c r="AC95" i="1"/>
  <c r="AB95" i="1"/>
  <c r="AA95" i="1"/>
  <c r="Z95" i="1"/>
  <c r="Y95" i="1"/>
  <c r="X95" i="1"/>
  <c r="W95" i="1"/>
  <c r="V95" i="1"/>
  <c r="U95" i="1"/>
  <c r="T95" i="1"/>
  <c r="S95" i="1"/>
  <c r="Q95" i="1"/>
  <c r="P95" i="1"/>
  <c r="O95" i="1"/>
  <c r="N95" i="1"/>
  <c r="M95" i="1"/>
  <c r="K95" i="1"/>
  <c r="J95" i="1"/>
  <c r="G95" i="1"/>
  <c r="F95" i="1"/>
  <c r="E95" i="1"/>
  <c r="D95" i="1"/>
  <c r="C95" i="1"/>
  <c r="AE94" i="1"/>
  <c r="AB94" i="1"/>
  <c r="Y94" i="1"/>
  <c r="X94" i="1"/>
  <c r="W94" i="1"/>
  <c r="U94" i="1"/>
  <c r="T94" i="1"/>
  <c r="S94" i="1"/>
  <c r="P94" i="1"/>
  <c r="O94" i="1"/>
  <c r="N94" i="1"/>
  <c r="K94" i="1"/>
  <c r="J94" i="1"/>
  <c r="G94" i="1"/>
  <c r="F94" i="1"/>
  <c r="E94" i="1"/>
  <c r="D94" i="1"/>
  <c r="C94" i="1"/>
  <c r="AE93" i="1"/>
  <c r="AB93" i="1"/>
  <c r="Y93" i="1"/>
  <c r="X93" i="1"/>
  <c r="W93" i="1"/>
  <c r="U93" i="1"/>
  <c r="T93" i="1"/>
  <c r="S93" i="1"/>
  <c r="Q93" i="1"/>
  <c r="P93" i="1"/>
  <c r="O93" i="1"/>
  <c r="N93" i="1"/>
  <c r="M93" i="1"/>
  <c r="K93" i="1"/>
  <c r="J93" i="1"/>
  <c r="F93" i="1"/>
  <c r="E93" i="1"/>
  <c r="D93" i="1"/>
  <c r="C93" i="1"/>
  <c r="AG92" i="1"/>
  <c r="AF92" i="1"/>
  <c r="AE92" i="1"/>
  <c r="Z92" i="1"/>
  <c r="Y92" i="1"/>
  <c r="X92" i="1"/>
  <c r="W92" i="1"/>
  <c r="U92" i="1"/>
  <c r="T92" i="1"/>
  <c r="Q92" i="1"/>
  <c r="P92" i="1"/>
  <c r="O92" i="1"/>
  <c r="N92" i="1"/>
  <c r="M92" i="1"/>
  <c r="K92" i="1"/>
  <c r="J92" i="1"/>
  <c r="G92" i="1"/>
  <c r="F92" i="1"/>
  <c r="E92" i="1"/>
  <c r="D92" i="1"/>
  <c r="C92" i="1"/>
  <c r="AM91" i="1"/>
  <c r="AL91" i="1"/>
  <c r="AK91" i="1"/>
  <c r="AG91" i="1"/>
  <c r="AF91" i="1"/>
  <c r="AE91" i="1"/>
  <c r="AD91" i="1"/>
  <c r="AC91" i="1"/>
  <c r="AB91" i="1"/>
  <c r="AA91" i="1"/>
  <c r="Z91" i="1"/>
  <c r="Y91" i="1"/>
  <c r="X91" i="1"/>
  <c r="W91" i="1"/>
  <c r="U91" i="1"/>
  <c r="T91" i="1"/>
  <c r="P91" i="1"/>
  <c r="O91" i="1"/>
  <c r="N91" i="1"/>
  <c r="L91" i="1"/>
  <c r="J91" i="1"/>
  <c r="I91" i="1"/>
  <c r="H91" i="1"/>
  <c r="F91" i="1"/>
  <c r="E91" i="1"/>
  <c r="C91" i="1"/>
  <c r="AD87" i="1"/>
  <c r="V87" i="1"/>
  <c r="R87" i="1"/>
  <c r="L87" i="1"/>
  <c r="AD86" i="1"/>
  <c r="V86" i="1"/>
  <c r="R86" i="1"/>
  <c r="L86" i="1"/>
  <c r="AD85" i="1"/>
  <c r="V85" i="1"/>
  <c r="R85" i="1"/>
  <c r="L85" i="1"/>
  <c r="AD84" i="1"/>
  <c r="V84" i="1"/>
  <c r="R84" i="1"/>
  <c r="L84" i="1"/>
  <c r="AD83" i="1"/>
  <c r="V83" i="1"/>
  <c r="R83" i="1"/>
  <c r="L83" i="1"/>
  <c r="AD82" i="1"/>
  <c r="V82" i="1"/>
  <c r="R82" i="1"/>
  <c r="L82" i="1"/>
  <c r="AD81" i="1"/>
  <c r="V81" i="1"/>
  <c r="R81" i="1"/>
  <c r="L81" i="1"/>
  <c r="AD80" i="1"/>
  <c r="V80" i="1"/>
  <c r="R80" i="1"/>
  <c r="L80" i="1"/>
  <c r="AD79" i="1"/>
  <c r="V79" i="1"/>
  <c r="R79" i="1"/>
  <c r="L79" i="1"/>
  <c r="AD78" i="1"/>
  <c r="V78" i="1"/>
  <c r="R78" i="1"/>
  <c r="L78" i="1"/>
  <c r="AD77" i="1"/>
  <c r="V77" i="1"/>
  <c r="R77" i="1"/>
  <c r="L77" i="1"/>
  <c r="AD76" i="1"/>
  <c r="V76" i="1"/>
  <c r="R76" i="1"/>
  <c r="L76" i="1"/>
  <c r="AD75" i="1"/>
  <c r="V75" i="1"/>
  <c r="R75" i="1"/>
  <c r="L75" i="1"/>
  <c r="AD74" i="1"/>
  <c r="V74" i="1"/>
  <c r="R74" i="1"/>
  <c r="L74" i="1"/>
  <c r="AD73" i="1"/>
  <c r="V73" i="1"/>
  <c r="R73" i="1"/>
  <c r="L73" i="1"/>
  <c r="AD72" i="1"/>
  <c r="V72" i="1"/>
  <c r="R72" i="1"/>
  <c r="L72" i="1"/>
  <c r="AD71" i="1"/>
  <c r="V71" i="1"/>
  <c r="R71" i="1"/>
  <c r="L71" i="1"/>
  <c r="AD70" i="1"/>
  <c r="V70" i="1"/>
  <c r="R70" i="1"/>
  <c r="L70" i="1"/>
  <c r="AD69" i="1"/>
  <c r="V69" i="1"/>
  <c r="R69" i="1"/>
  <c r="L69" i="1"/>
  <c r="AD68" i="1"/>
  <c r="V68" i="1"/>
  <c r="R68" i="1"/>
  <c r="L68" i="1"/>
  <c r="AD67" i="1"/>
  <c r="V67" i="1"/>
  <c r="R67" i="1"/>
  <c r="L67" i="1"/>
  <c r="AD66" i="1"/>
  <c r="V66" i="1"/>
  <c r="R66" i="1"/>
  <c r="L66" i="1"/>
  <c r="AD65" i="1"/>
  <c r="V65" i="1"/>
  <c r="R65" i="1"/>
  <c r="L65" i="1"/>
  <c r="AD64" i="1"/>
  <c r="V64" i="1"/>
  <c r="R64" i="1"/>
  <c r="L64" i="1"/>
  <c r="AD63" i="1"/>
  <c r="V63" i="1"/>
  <c r="R63" i="1"/>
  <c r="L63" i="1"/>
  <c r="AD62" i="1"/>
  <c r="V62" i="1"/>
  <c r="R62" i="1"/>
  <c r="L62" i="1"/>
  <c r="AD61" i="1"/>
  <c r="V61" i="1"/>
  <c r="R61" i="1"/>
  <c r="L61" i="1"/>
  <c r="AD60" i="1"/>
  <c r="V60" i="1"/>
  <c r="R60" i="1"/>
  <c r="L60" i="1"/>
  <c r="AD59" i="1"/>
  <c r="V59" i="1"/>
  <c r="R59" i="1"/>
  <c r="L59" i="1"/>
  <c r="AD58" i="1"/>
  <c r="V58" i="1"/>
  <c r="R58" i="1"/>
  <c r="L58" i="1"/>
  <c r="AD57" i="1"/>
  <c r="V57" i="1"/>
  <c r="R57" i="1"/>
  <c r="L57" i="1"/>
  <c r="AD56" i="1"/>
  <c r="V56" i="1"/>
  <c r="R56" i="1"/>
  <c r="L56" i="1"/>
  <c r="AD55" i="1"/>
  <c r="V55" i="1"/>
  <c r="R55" i="1"/>
  <c r="L55" i="1"/>
  <c r="AD54" i="1"/>
  <c r="V54" i="1"/>
  <c r="R54" i="1"/>
  <c r="L54" i="1"/>
  <c r="AD53" i="1"/>
  <c r="V53" i="1"/>
  <c r="R53" i="1"/>
  <c r="L53" i="1"/>
  <c r="AD52" i="1"/>
  <c r="V52" i="1"/>
  <c r="R52" i="1"/>
  <c r="L52" i="1"/>
  <c r="AD51" i="1"/>
  <c r="V51" i="1"/>
  <c r="R51" i="1"/>
  <c r="L51" i="1"/>
  <c r="AD50" i="1"/>
  <c r="V50" i="1"/>
  <c r="R50" i="1"/>
  <c r="L50" i="1"/>
  <c r="AD49" i="1"/>
  <c r="V49" i="1"/>
  <c r="R49" i="1"/>
  <c r="L49" i="1"/>
  <c r="AD48" i="1"/>
  <c r="V48" i="1"/>
  <c r="R48" i="1"/>
  <c r="L48" i="1"/>
  <c r="BH47" i="1"/>
  <c r="BE47" i="1"/>
  <c r="BD47" i="1"/>
  <c r="BC47" i="1"/>
  <c r="BA47" i="1"/>
  <c r="AZ47" i="1"/>
  <c r="AD47" i="1"/>
  <c r="V47" i="1"/>
  <c r="R47" i="1"/>
  <c r="L47" i="1"/>
  <c r="AD46" i="1"/>
  <c r="V46" i="1"/>
  <c r="R46" i="1"/>
  <c r="L46" i="1"/>
  <c r="BI45" i="1"/>
  <c r="AD45" i="1"/>
  <c r="V45" i="1"/>
  <c r="R45" i="1"/>
  <c r="L45" i="1"/>
  <c r="BE44" i="1"/>
  <c r="AD44" i="1"/>
  <c r="V44" i="1"/>
  <c r="R44" i="1"/>
  <c r="L44" i="1"/>
  <c r="BE43" i="1"/>
  <c r="BD43" i="1"/>
  <c r="BA43" i="1"/>
  <c r="AD43" i="1"/>
  <c r="V43" i="1"/>
  <c r="R43" i="1"/>
  <c r="L43" i="1"/>
  <c r="BH42" i="1"/>
  <c r="BE42" i="1"/>
  <c r="BD42" i="1"/>
  <c r="BC42" i="1"/>
  <c r="AD42" i="1"/>
  <c r="V42" i="1"/>
  <c r="R42" i="1"/>
  <c r="L42" i="1"/>
  <c r="BD41" i="1"/>
  <c r="AD41" i="1"/>
  <c r="V41" i="1"/>
  <c r="R41" i="1"/>
  <c r="L41" i="1"/>
  <c r="AD40" i="1"/>
  <c r="V40" i="1"/>
  <c r="R40" i="1"/>
  <c r="L40" i="1"/>
  <c r="BI39" i="1"/>
  <c r="BE39" i="1"/>
  <c r="AD39" i="1"/>
  <c r="V39" i="1"/>
  <c r="R39" i="1"/>
  <c r="L39" i="1"/>
  <c r="BE38" i="1"/>
  <c r="BA38" i="1"/>
  <c r="AD38" i="1"/>
  <c r="V38" i="1"/>
  <c r="R38" i="1"/>
  <c r="L38" i="1"/>
  <c r="AD37" i="1"/>
  <c r="V37" i="1"/>
  <c r="R37" i="1"/>
  <c r="L37" i="1"/>
  <c r="AD36" i="1"/>
  <c r="V36" i="1"/>
  <c r="R36" i="1"/>
  <c r="L36" i="1"/>
  <c r="AD35" i="1"/>
  <c r="V35" i="1"/>
  <c r="R35" i="1"/>
  <c r="L35" i="1"/>
  <c r="AD34" i="1"/>
  <c r="V34" i="1"/>
  <c r="R34" i="1"/>
  <c r="L34" i="1"/>
  <c r="AD33" i="1"/>
  <c r="V33" i="1"/>
  <c r="R33" i="1"/>
  <c r="L33" i="1"/>
  <c r="AD32" i="1"/>
  <c r="V32" i="1"/>
  <c r="R32" i="1"/>
  <c r="L32" i="1"/>
  <c r="BI31" i="1"/>
  <c r="BH31" i="1"/>
  <c r="BG31" i="1"/>
  <c r="BF31" i="1"/>
  <c r="BE31" i="1"/>
  <c r="BD31" i="1"/>
  <c r="BC31" i="1"/>
  <c r="BB31" i="1"/>
  <c r="BA31" i="1"/>
  <c r="AZ31" i="1"/>
  <c r="AX31" i="1"/>
  <c r="AW31" i="1"/>
  <c r="AD31" i="1"/>
  <c r="AD117" i="1" s="1"/>
  <c r="V31" i="1"/>
  <c r="V117" i="1" s="1"/>
  <c r="S31" i="1"/>
  <c r="S117" i="1" s="1"/>
  <c r="R31" i="1"/>
  <c r="R117" i="1" s="1"/>
  <c r="L31" i="1"/>
  <c r="L117" i="1" s="1"/>
  <c r="F31" i="1"/>
  <c r="F117" i="1" s="1"/>
  <c r="BI30" i="1"/>
  <c r="BH30" i="1"/>
  <c r="BG30" i="1"/>
  <c r="BF30" i="1"/>
  <c r="BE30" i="1"/>
  <c r="BD30" i="1"/>
  <c r="BC30" i="1"/>
  <c r="BB30" i="1"/>
  <c r="BA30" i="1"/>
  <c r="AZ30" i="1"/>
  <c r="AZ45" i="1" s="1"/>
  <c r="AX30" i="1"/>
  <c r="AW30" i="1"/>
  <c r="AD30" i="1"/>
  <c r="S30" i="1"/>
  <c r="S116" i="1" s="1"/>
  <c r="F30" i="1"/>
  <c r="L30" i="1" s="1"/>
  <c r="L116" i="1" s="1"/>
  <c r="BI29" i="1"/>
  <c r="BH29" i="1"/>
  <c r="BF29" i="1"/>
  <c r="BE29" i="1"/>
  <c r="BD29" i="1"/>
  <c r="BC29" i="1"/>
  <c r="BB29" i="1"/>
  <c r="BA29" i="1"/>
  <c r="AZ29" i="1"/>
  <c r="AY29" i="1"/>
  <c r="AX29" i="1"/>
  <c r="AW29" i="1"/>
  <c r="S29" i="1"/>
  <c r="AD29" i="1" s="1"/>
  <c r="F29" i="1"/>
  <c r="F115" i="1" s="1"/>
  <c r="BI28" i="1"/>
  <c r="BH28" i="1"/>
  <c r="BF28" i="1"/>
  <c r="BE28" i="1"/>
  <c r="BD28" i="1"/>
  <c r="BC28" i="1"/>
  <c r="BB28" i="1"/>
  <c r="BA28" i="1"/>
  <c r="AZ28" i="1"/>
  <c r="AX28" i="1"/>
  <c r="AW28" i="1"/>
  <c r="S28" i="1"/>
  <c r="S114" i="1" s="1"/>
  <c r="R28" i="1"/>
  <c r="R114" i="1" s="1"/>
  <c r="F28" i="1"/>
  <c r="AY28" i="1" s="1"/>
  <c r="BI27" i="1"/>
  <c r="BH27" i="1"/>
  <c r="BF27" i="1"/>
  <c r="BE27" i="1"/>
  <c r="BD27" i="1"/>
  <c r="BC27" i="1"/>
  <c r="BB27" i="1"/>
  <c r="BA27" i="1"/>
  <c r="AZ27" i="1"/>
  <c r="AX27" i="1"/>
  <c r="AW27" i="1"/>
  <c r="S27" i="1"/>
  <c r="S113" i="1" s="1"/>
  <c r="R27" i="1"/>
  <c r="R113" i="1" s="1"/>
  <c r="L27" i="1"/>
  <c r="L113" i="1" s="1"/>
  <c r="F27" i="1"/>
  <c r="AY27" i="1" s="1"/>
  <c r="BI26" i="1"/>
  <c r="BH26" i="1"/>
  <c r="BE26" i="1"/>
  <c r="BD26" i="1"/>
  <c r="BC26" i="1"/>
  <c r="BB26" i="1"/>
  <c r="BA26" i="1"/>
  <c r="AZ26" i="1"/>
  <c r="AY26" i="1"/>
  <c r="AX26" i="1"/>
  <c r="AW26" i="1"/>
  <c r="AD26" i="1"/>
  <c r="AD112" i="1" s="1"/>
  <c r="S26" i="1"/>
  <c r="BF26" i="1" s="1"/>
  <c r="F26" i="1"/>
  <c r="F112" i="1" s="1"/>
  <c r="BI25" i="1"/>
  <c r="BH25" i="1"/>
  <c r="BF25" i="1"/>
  <c r="BE25" i="1"/>
  <c r="BD25" i="1"/>
  <c r="BC25" i="1"/>
  <c r="BB25" i="1"/>
  <c r="BA25" i="1"/>
  <c r="AZ25" i="1"/>
  <c r="AY25" i="1"/>
  <c r="AX25" i="1"/>
  <c r="AW25" i="1"/>
  <c r="V25" i="1"/>
  <c r="V111" i="1" s="1"/>
  <c r="S25" i="1"/>
  <c r="AD25" i="1" s="1"/>
  <c r="F25" i="1"/>
  <c r="R25" i="1" s="1"/>
  <c r="R111" i="1" s="1"/>
  <c r="BI24" i="1"/>
  <c r="BH24" i="1"/>
  <c r="BE24" i="1"/>
  <c r="BD24" i="1"/>
  <c r="BC24" i="1"/>
  <c r="BB24" i="1"/>
  <c r="BA24" i="1"/>
  <c r="AZ24" i="1"/>
  <c r="AY24" i="1"/>
  <c r="AX24" i="1"/>
  <c r="AW24" i="1"/>
  <c r="S24" i="1"/>
  <c r="BF24" i="1" s="1"/>
  <c r="R24" i="1"/>
  <c r="R110" i="1" s="1"/>
  <c r="L24" i="1"/>
  <c r="F24" i="1"/>
  <c r="BI23" i="1"/>
  <c r="BH23" i="1"/>
  <c r="BE23" i="1"/>
  <c r="BD23" i="1"/>
  <c r="BD46" i="1" s="1"/>
  <c r="BC23" i="1"/>
  <c r="BB23" i="1"/>
  <c r="BA23" i="1"/>
  <c r="BA46" i="1" s="1"/>
  <c r="AZ23" i="1"/>
  <c r="AZ46" i="1" s="1"/>
  <c r="AY23" i="1"/>
  <c r="AX23" i="1"/>
  <c r="AW23" i="1"/>
  <c r="AD23" i="1"/>
  <c r="AD109" i="1" s="1"/>
  <c r="S23" i="1"/>
  <c r="V23" i="1" s="1"/>
  <c r="V109" i="1" s="1"/>
  <c r="R23" i="1"/>
  <c r="R109" i="1" s="1"/>
  <c r="L23" i="1"/>
  <c r="L109" i="1" s="1"/>
  <c r="F23" i="1"/>
  <c r="F109" i="1" s="1"/>
  <c r="BI22" i="1"/>
  <c r="BH22" i="1"/>
  <c r="BF22" i="1"/>
  <c r="BE22" i="1"/>
  <c r="BD22" i="1"/>
  <c r="BC22" i="1"/>
  <c r="BB22" i="1"/>
  <c r="BA22" i="1"/>
  <c r="AZ22" i="1"/>
  <c r="AY22" i="1"/>
  <c r="AX22" i="1"/>
  <c r="AW22" i="1"/>
  <c r="AD22" i="1"/>
  <c r="BG22" i="1" s="1"/>
  <c r="V22" i="1"/>
  <c r="S22" i="1"/>
  <c r="S108" i="1" s="1"/>
  <c r="L22" i="1"/>
  <c r="L108" i="1" s="1"/>
  <c r="F22" i="1"/>
  <c r="R22" i="1" s="1"/>
  <c r="R108" i="1" s="1"/>
  <c r="BI21" i="1"/>
  <c r="BH21" i="1"/>
  <c r="BE21" i="1"/>
  <c r="BD21" i="1"/>
  <c r="BC21" i="1"/>
  <c r="BB21" i="1"/>
  <c r="BA21" i="1"/>
  <c r="AZ21" i="1"/>
  <c r="AX21" i="1"/>
  <c r="AW21" i="1"/>
  <c r="S21" i="1"/>
  <c r="S107" i="1" s="1"/>
  <c r="F21" i="1"/>
  <c r="AY21" i="1" s="1"/>
  <c r="AY46" i="1" s="1"/>
  <c r="BI20" i="1"/>
  <c r="BI47" i="1" s="1"/>
  <c r="BH20" i="1"/>
  <c r="BH45" i="1" s="1"/>
  <c r="BE20" i="1"/>
  <c r="BE46" i="1" s="1"/>
  <c r="BD20" i="1"/>
  <c r="BD45" i="1" s="1"/>
  <c r="BC20" i="1"/>
  <c r="BC46" i="1" s="1"/>
  <c r="BB20" i="1"/>
  <c r="BB46" i="1" s="1"/>
  <c r="BA20" i="1"/>
  <c r="BA45" i="1" s="1"/>
  <c r="AZ20" i="1"/>
  <c r="AY20" i="1"/>
  <c r="AX20" i="1"/>
  <c r="AX45" i="1" s="1"/>
  <c r="AW20" i="1"/>
  <c r="AD20" i="1"/>
  <c r="AD106" i="1" s="1"/>
  <c r="S20" i="1"/>
  <c r="V20" i="1" s="1"/>
  <c r="V106" i="1" s="1"/>
  <c r="R20" i="1"/>
  <c r="R106" i="1" s="1"/>
  <c r="F20" i="1"/>
  <c r="L20" i="1" s="1"/>
  <c r="L106" i="1" s="1"/>
  <c r="BI19" i="1"/>
  <c r="BH19" i="1"/>
  <c r="BF19" i="1"/>
  <c r="BE19" i="1"/>
  <c r="BD19" i="1"/>
  <c r="BC19" i="1"/>
  <c r="BB19" i="1"/>
  <c r="BA19" i="1"/>
  <c r="AZ19" i="1"/>
  <c r="AX19" i="1"/>
  <c r="AW19" i="1"/>
  <c r="AD19" i="1"/>
  <c r="AD105" i="1" s="1"/>
  <c r="F19" i="1"/>
  <c r="AY19" i="1" s="1"/>
  <c r="BI18" i="1"/>
  <c r="BH18" i="1"/>
  <c r="BF18" i="1"/>
  <c r="BE18" i="1"/>
  <c r="BD18" i="1"/>
  <c r="BC18" i="1"/>
  <c r="BB18" i="1"/>
  <c r="BA18" i="1"/>
  <c r="AZ18" i="1"/>
  <c r="AY18" i="1"/>
  <c r="AX18" i="1"/>
  <c r="AW18" i="1"/>
  <c r="AF18" i="1"/>
  <c r="AD18" i="1"/>
  <c r="BG18" i="1" s="1"/>
  <c r="S18" i="1"/>
  <c r="V18" i="1" s="1"/>
  <c r="R18" i="1"/>
  <c r="L18" i="1"/>
  <c r="BI17" i="1"/>
  <c r="BH17" i="1"/>
  <c r="BF17" i="1"/>
  <c r="BE17" i="1"/>
  <c r="BD17" i="1"/>
  <c r="BC17" i="1"/>
  <c r="BB17" i="1"/>
  <c r="BA17" i="1"/>
  <c r="AZ17" i="1"/>
  <c r="AX17" i="1"/>
  <c r="AW17" i="1"/>
  <c r="AD17" i="1"/>
  <c r="AD104" i="1" s="1"/>
  <c r="F17" i="1"/>
  <c r="F104" i="1" s="1"/>
  <c r="BI16" i="1"/>
  <c r="BI44" i="1" s="1"/>
  <c r="BG16" i="1"/>
  <c r="BG44" i="1" s="1"/>
  <c r="BF16" i="1"/>
  <c r="BF44" i="1" s="1"/>
  <c r="BE16" i="1"/>
  <c r="BD16" i="1"/>
  <c r="BD44" i="1" s="1"/>
  <c r="BC16" i="1"/>
  <c r="BC44" i="1" s="1"/>
  <c r="BB16" i="1"/>
  <c r="BB44" i="1" s="1"/>
  <c r="BA16" i="1"/>
  <c r="BA44" i="1" s="1"/>
  <c r="AY16" i="1"/>
  <c r="AY44" i="1" s="1"/>
  <c r="AX16" i="1"/>
  <c r="AX44" i="1" s="1"/>
  <c r="AW16" i="1"/>
  <c r="AE16" i="1"/>
  <c r="AD16" i="1"/>
  <c r="S16" i="1"/>
  <c r="V16" i="1" s="1"/>
  <c r="R16" i="1"/>
  <c r="G16" i="1"/>
  <c r="AZ16" i="1" s="1"/>
  <c r="AZ44" i="1" s="1"/>
  <c r="BI15" i="1"/>
  <c r="BH15" i="1"/>
  <c r="BE15" i="1"/>
  <c r="BD15" i="1"/>
  <c r="BC15" i="1"/>
  <c r="BB15" i="1"/>
  <c r="BA15" i="1"/>
  <c r="AZ15" i="1"/>
  <c r="AY15" i="1"/>
  <c r="AX15" i="1"/>
  <c r="AW15" i="1"/>
  <c r="AG15" i="1"/>
  <c r="AF15" i="1"/>
  <c r="AF103" i="1" s="1"/>
  <c r="AC15" i="1"/>
  <c r="AC103" i="1" s="1"/>
  <c r="AB15" i="1"/>
  <c r="AB103" i="1" s="1"/>
  <c r="AA15" i="1"/>
  <c r="AA103" i="1" s="1"/>
  <c r="Z15" i="1"/>
  <c r="Z103" i="1" s="1"/>
  <c r="Y15" i="1"/>
  <c r="AD15" i="1" s="1"/>
  <c r="V15" i="1"/>
  <c r="V103" i="1" s="1"/>
  <c r="S15" i="1"/>
  <c r="S103" i="1" s="1"/>
  <c r="R15" i="1"/>
  <c r="L15" i="1"/>
  <c r="L103" i="1" s="1"/>
  <c r="BI14" i="1"/>
  <c r="BI43" i="1" s="1"/>
  <c r="BE14" i="1"/>
  <c r="BD14" i="1"/>
  <c r="BC14" i="1"/>
  <c r="BC43" i="1" s="1"/>
  <c r="BB14" i="1"/>
  <c r="BB43" i="1" s="1"/>
  <c r="BA14" i="1"/>
  <c r="AZ14" i="1"/>
  <c r="AZ43" i="1" s="1"/>
  <c r="AY14" i="1"/>
  <c r="AY43" i="1" s="1"/>
  <c r="AX14" i="1"/>
  <c r="AX43" i="1" s="1"/>
  <c r="AW14" i="1"/>
  <c r="AG14" i="1"/>
  <c r="AG102" i="1" s="1"/>
  <c r="AF14" i="1"/>
  <c r="BH14" i="1" s="1"/>
  <c r="BH43" i="1" s="1"/>
  <c r="AC14" i="1"/>
  <c r="AC102" i="1" s="1"/>
  <c r="AB14" i="1"/>
  <c r="AB102" i="1" s="1"/>
  <c r="AA14" i="1"/>
  <c r="AA102" i="1" s="1"/>
  <c r="Z14" i="1"/>
  <c r="Z102" i="1" s="1"/>
  <c r="Y14" i="1"/>
  <c r="Y102" i="1" s="1"/>
  <c r="V14" i="1"/>
  <c r="S14" i="1"/>
  <c r="BF14" i="1" s="1"/>
  <c r="BF43" i="1" s="1"/>
  <c r="R14" i="1"/>
  <c r="R102" i="1" s="1"/>
  <c r="L14" i="1"/>
  <c r="L102" i="1" s="1"/>
  <c r="BH13" i="1"/>
  <c r="BF13" i="1"/>
  <c r="BE13" i="1"/>
  <c r="BD13" i="1"/>
  <c r="BC13" i="1"/>
  <c r="BB13" i="1"/>
  <c r="BA13" i="1"/>
  <c r="AZ13" i="1"/>
  <c r="AY13" i="1"/>
  <c r="AX13" i="1"/>
  <c r="AW13" i="1"/>
  <c r="AG13" i="1"/>
  <c r="AG101" i="1" s="1"/>
  <c r="AD13" i="1"/>
  <c r="AD101" i="1" s="1"/>
  <c r="AC13" i="1"/>
  <c r="AC101" i="1" s="1"/>
  <c r="AB13" i="1"/>
  <c r="V13" i="1"/>
  <c r="V101" i="1" s="1"/>
  <c r="R13" i="1"/>
  <c r="R101" i="1" s="1"/>
  <c r="L13" i="1"/>
  <c r="L101" i="1" s="1"/>
  <c r="BH12" i="1"/>
  <c r="BH41" i="1" s="1"/>
  <c r="BF12" i="1"/>
  <c r="BF41" i="1" s="1"/>
  <c r="BE12" i="1"/>
  <c r="BE41" i="1" s="1"/>
  <c r="BD12" i="1"/>
  <c r="BC12" i="1"/>
  <c r="BC41" i="1" s="1"/>
  <c r="BB12" i="1"/>
  <c r="BB41" i="1" s="1"/>
  <c r="BA12" i="1"/>
  <c r="BA41" i="1" s="1"/>
  <c r="AZ12" i="1"/>
  <c r="AZ41" i="1" s="1"/>
  <c r="AY12" i="1"/>
  <c r="AY41" i="1" s="1"/>
  <c r="AX12" i="1"/>
  <c r="AX41" i="1" s="1"/>
  <c r="AW12" i="1"/>
  <c r="AG12" i="1"/>
  <c r="AG100" i="1" s="1"/>
  <c r="AD12" i="1"/>
  <c r="AD100" i="1" s="1"/>
  <c r="AC12" i="1"/>
  <c r="AC100" i="1" s="1"/>
  <c r="AB12" i="1"/>
  <c r="AB100" i="1" s="1"/>
  <c r="S12" i="1"/>
  <c r="S100" i="1" s="1"/>
  <c r="R12" i="1"/>
  <c r="L12" i="1"/>
  <c r="L100" i="1" s="1"/>
  <c r="BH11" i="1"/>
  <c r="BF11" i="1"/>
  <c r="BF42" i="1" s="1"/>
  <c r="BE11" i="1"/>
  <c r="BD11" i="1"/>
  <c r="BC11" i="1"/>
  <c r="BB11" i="1"/>
  <c r="BB42" i="1" s="1"/>
  <c r="BA11" i="1"/>
  <c r="BA42" i="1" s="1"/>
  <c r="AZ11" i="1"/>
  <c r="AZ42" i="1" s="1"/>
  <c r="AY11" i="1"/>
  <c r="AY42" i="1" s="1"/>
  <c r="AX11" i="1"/>
  <c r="AX42" i="1" s="1"/>
  <c r="AW11" i="1"/>
  <c r="AG11" i="1"/>
  <c r="AG99" i="1" s="1"/>
  <c r="AD11" i="1"/>
  <c r="BG11" i="1" s="1"/>
  <c r="BG42" i="1" s="1"/>
  <c r="V11" i="1"/>
  <c r="V99" i="1" s="1"/>
  <c r="S11" i="1"/>
  <c r="S99" i="1" s="1"/>
  <c r="R11" i="1"/>
  <c r="R99" i="1" s="1"/>
  <c r="L11" i="1"/>
  <c r="L99" i="1" s="1"/>
  <c r="BH10" i="1"/>
  <c r="BF10" i="1"/>
  <c r="BE10" i="1"/>
  <c r="BD10" i="1"/>
  <c r="BC10" i="1"/>
  <c r="BB10" i="1"/>
  <c r="BA10" i="1"/>
  <c r="AZ10" i="1"/>
  <c r="AY10" i="1"/>
  <c r="AX10" i="1"/>
  <c r="AW10" i="1"/>
  <c r="AG10" i="1"/>
  <c r="AG98" i="1" s="1"/>
  <c r="AD10" i="1"/>
  <c r="AD98" i="1" s="1"/>
  <c r="AC10" i="1"/>
  <c r="AC98" i="1" s="1"/>
  <c r="AB10" i="1"/>
  <c r="AB98" i="1" s="1"/>
  <c r="E10" i="1"/>
  <c r="V10" i="1" s="1"/>
  <c r="V98" i="1" s="1"/>
  <c r="BH9" i="1"/>
  <c r="BH40" i="1" s="1"/>
  <c r="BF9" i="1"/>
  <c r="BF40" i="1" s="1"/>
  <c r="BE9" i="1"/>
  <c r="BE40" i="1" s="1"/>
  <c r="BD9" i="1"/>
  <c r="BD40" i="1" s="1"/>
  <c r="BC9" i="1"/>
  <c r="BC40" i="1" s="1"/>
  <c r="BB9" i="1"/>
  <c r="BB40" i="1" s="1"/>
  <c r="BA9" i="1"/>
  <c r="BA40" i="1" s="1"/>
  <c r="AZ9" i="1"/>
  <c r="AZ40" i="1" s="1"/>
  <c r="AY9" i="1"/>
  <c r="AY40" i="1" s="1"/>
  <c r="AX9" i="1"/>
  <c r="AX40" i="1" s="1"/>
  <c r="AW9" i="1"/>
  <c r="AG9" i="1"/>
  <c r="AG97" i="1" s="1"/>
  <c r="AD9" i="1"/>
  <c r="BG9" i="1" s="1"/>
  <c r="BG40" i="1" s="1"/>
  <c r="V9" i="1"/>
  <c r="V97" i="1" s="1"/>
  <c r="S9" i="1"/>
  <c r="S97" i="1" s="1"/>
  <c r="R9" i="1"/>
  <c r="R97" i="1" s="1"/>
  <c r="L9" i="1"/>
  <c r="BI8" i="1"/>
  <c r="BE8" i="1"/>
  <c r="BD8" i="1"/>
  <c r="BD39" i="1" s="1"/>
  <c r="BC8" i="1"/>
  <c r="BC39" i="1" s="1"/>
  <c r="BB8" i="1"/>
  <c r="BB39" i="1" s="1"/>
  <c r="BA8" i="1"/>
  <c r="BA39" i="1" s="1"/>
  <c r="AZ8" i="1"/>
  <c r="AZ39" i="1" s="1"/>
  <c r="AY8" i="1"/>
  <c r="AY39" i="1" s="1"/>
  <c r="AX8" i="1"/>
  <c r="AX39" i="1" s="1"/>
  <c r="AW8" i="1"/>
  <c r="AF8" i="1"/>
  <c r="AF96" i="1" s="1"/>
  <c r="AD8" i="1"/>
  <c r="BG8" i="1" s="1"/>
  <c r="BG39" i="1" s="1"/>
  <c r="V8" i="1"/>
  <c r="V96" i="1" s="1"/>
  <c r="S8" i="1"/>
  <c r="BF8" i="1" s="1"/>
  <c r="BF39" i="1" s="1"/>
  <c r="M8" i="1"/>
  <c r="R8" i="1" s="1"/>
  <c r="R96" i="1" s="1"/>
  <c r="F8" i="1"/>
  <c r="F96" i="1" s="1"/>
  <c r="BI7" i="1"/>
  <c r="BF7" i="1"/>
  <c r="BE7" i="1"/>
  <c r="BD7" i="1"/>
  <c r="BC7" i="1"/>
  <c r="BB7" i="1"/>
  <c r="BA7" i="1"/>
  <c r="AZ7" i="1"/>
  <c r="AY7" i="1"/>
  <c r="AX7" i="1"/>
  <c r="AW7" i="1"/>
  <c r="AF7" i="1"/>
  <c r="AF95" i="1" s="1"/>
  <c r="AD7" i="1"/>
  <c r="BG7" i="1" s="1"/>
  <c r="V7" i="1"/>
  <c r="S7" i="1"/>
  <c r="R7" i="1"/>
  <c r="R95" i="1" s="1"/>
  <c r="L7" i="1"/>
  <c r="L95" i="1" s="1"/>
  <c r="BF6" i="1"/>
  <c r="BF38" i="1" s="1"/>
  <c r="BE6" i="1"/>
  <c r="BC6" i="1"/>
  <c r="BC38" i="1" s="1"/>
  <c r="BB6" i="1"/>
  <c r="BB38" i="1" s="1"/>
  <c r="BA6" i="1"/>
  <c r="AZ6" i="1"/>
  <c r="AZ38" i="1" s="1"/>
  <c r="AY6" i="1"/>
  <c r="AY38" i="1" s="1"/>
  <c r="AX6" i="1"/>
  <c r="AX38" i="1" s="1"/>
  <c r="AW6" i="1"/>
  <c r="AG6" i="1"/>
  <c r="AG94" i="1" s="1"/>
  <c r="AF6" i="1"/>
  <c r="AF94" i="1" s="1"/>
  <c r="AD6" i="1"/>
  <c r="AD94" i="1" s="1"/>
  <c r="AC6" i="1"/>
  <c r="AC94" i="1" s="1"/>
  <c r="AB6" i="1"/>
  <c r="AA6" i="1"/>
  <c r="AA94" i="1" s="1"/>
  <c r="Z6" i="1"/>
  <c r="Z94" i="1" s="1"/>
  <c r="S6" i="1"/>
  <c r="Q6" i="1"/>
  <c r="Q94" i="1" s="1"/>
  <c r="P6" i="1"/>
  <c r="BD6" i="1" s="1"/>
  <c r="BD38" i="1" s="1"/>
  <c r="M6" i="1"/>
  <c r="M94" i="1" s="1"/>
  <c r="F6" i="1"/>
  <c r="V6" i="1" s="1"/>
  <c r="V94" i="1" s="1"/>
  <c r="BI5" i="1"/>
  <c r="BH5" i="1"/>
  <c r="BF5" i="1"/>
  <c r="BE5" i="1"/>
  <c r="BD5" i="1"/>
  <c r="BC5" i="1"/>
  <c r="BB5" i="1"/>
  <c r="BA5" i="1"/>
  <c r="AY5" i="1"/>
  <c r="AX5" i="1"/>
  <c r="AW5" i="1"/>
  <c r="AG5" i="1"/>
  <c r="AG93" i="1" s="1"/>
  <c r="AF5" i="1"/>
  <c r="AF93" i="1" s="1"/>
  <c r="AC5" i="1"/>
  <c r="AC93" i="1" s="1"/>
  <c r="AB5" i="1"/>
  <c r="AA5" i="1"/>
  <c r="AA93" i="1" s="1"/>
  <c r="Z5" i="1"/>
  <c r="Z93" i="1" s="1"/>
  <c r="V5" i="1"/>
  <c r="V93" i="1" s="1"/>
  <c r="R5" i="1"/>
  <c r="R93" i="1" s="1"/>
  <c r="G5" i="1"/>
  <c r="G93" i="1" s="1"/>
  <c r="BI4" i="1"/>
  <c r="BH4" i="1"/>
  <c r="BF4" i="1"/>
  <c r="BE4" i="1"/>
  <c r="BD4" i="1"/>
  <c r="BC4" i="1"/>
  <c r="BB4" i="1"/>
  <c r="BA4" i="1"/>
  <c r="AZ4" i="1"/>
  <c r="AY4" i="1"/>
  <c r="AX4" i="1"/>
  <c r="AW4" i="1"/>
  <c r="AG4" i="1"/>
  <c r="AF4" i="1"/>
  <c r="AC4" i="1"/>
  <c r="AC92" i="1" s="1"/>
  <c r="AB4" i="1"/>
  <c r="AB92" i="1" s="1"/>
  <c r="AA4" i="1"/>
  <c r="AA92" i="1" s="1"/>
  <c r="Z4" i="1"/>
  <c r="AD4" i="1" s="1"/>
  <c r="S4" i="1"/>
  <c r="V4" i="1" s="1"/>
  <c r="V92" i="1" s="1"/>
  <c r="R4" i="1"/>
  <c r="R92" i="1" s="1"/>
  <c r="L4" i="1"/>
  <c r="L92" i="1" s="1"/>
  <c r="BF3" i="1"/>
  <c r="BD3" i="1"/>
  <c r="BA3" i="1"/>
  <c r="AW3" i="1"/>
  <c r="AG43" i="2" l="1"/>
  <c r="AG52" i="2"/>
  <c r="AD103" i="1"/>
  <c r="BG15" i="1"/>
  <c r="AD115" i="1"/>
  <c r="BG29" i="1"/>
  <c r="AD92" i="1"/>
  <c r="BG4" i="1"/>
  <c r="BG25" i="1"/>
  <c r="AD111" i="1"/>
  <c r="AD14" i="1"/>
  <c r="L16" i="1"/>
  <c r="AF16" i="1" s="1"/>
  <c r="BH16" i="1" s="1"/>
  <c r="BH44" i="1" s="1"/>
  <c r="L17" i="1"/>
  <c r="L104" i="1" s="1"/>
  <c r="AD108" i="1"/>
  <c r="L6" i="1"/>
  <c r="L94" i="1" s="1"/>
  <c r="BG26" i="1"/>
  <c r="AD95" i="1"/>
  <c r="AD5" i="1"/>
  <c r="R6" i="1"/>
  <c r="R94" i="1" s="1"/>
  <c r="BG6" i="1"/>
  <c r="BG38" i="1" s="1"/>
  <c r="BH7" i="1"/>
  <c r="BG10" i="1"/>
  <c r="BG12" i="1"/>
  <c r="BG41" i="1" s="1"/>
  <c r="BG13" i="1"/>
  <c r="BF23" i="1"/>
  <c r="L29" i="1"/>
  <c r="L115" i="1" s="1"/>
  <c r="R30" i="1"/>
  <c r="R116" i="1" s="1"/>
  <c r="BB45" i="1"/>
  <c r="S92" i="1"/>
  <c r="F111" i="1"/>
  <c r="S112" i="1"/>
  <c r="BH6" i="1"/>
  <c r="BH38" i="1" s="1"/>
  <c r="BH8" i="1"/>
  <c r="BH39" i="1" s="1"/>
  <c r="BI9" i="1"/>
  <c r="BI40" i="1" s="1"/>
  <c r="BI11" i="1"/>
  <c r="BI42" i="1" s="1"/>
  <c r="AY17" i="1"/>
  <c r="BG23" i="1"/>
  <c r="L28" i="1"/>
  <c r="L114" i="1" s="1"/>
  <c r="R29" i="1"/>
  <c r="R115" i="1" s="1"/>
  <c r="BC45" i="1"/>
  <c r="V30" i="1"/>
  <c r="V116" i="1" s="1"/>
  <c r="BH46" i="1"/>
  <c r="E98" i="1"/>
  <c r="S110" i="1"/>
  <c r="BI6" i="1"/>
  <c r="BI38" i="1" s="1"/>
  <c r="BI13" i="1"/>
  <c r="L8" i="1"/>
  <c r="L96" i="1" s="1"/>
  <c r="L10" i="1"/>
  <c r="L98" i="1" s="1"/>
  <c r="BF20" i="1"/>
  <c r="L26" i="1"/>
  <c r="L112" i="1" s="1"/>
  <c r="V29" i="1"/>
  <c r="V115" i="1" s="1"/>
  <c r="BE45" i="1"/>
  <c r="BI46" i="1"/>
  <c r="AF102" i="1"/>
  <c r="BI10" i="1"/>
  <c r="R10" i="1"/>
  <c r="R98" i="1" s="1"/>
  <c r="BG20" i="1"/>
  <c r="L25" i="1"/>
  <c r="L111" i="1" s="1"/>
  <c r="R26" i="1"/>
  <c r="R112" i="1" s="1"/>
  <c r="V28" i="1"/>
  <c r="V114" i="1" s="1"/>
  <c r="F107" i="1"/>
  <c r="L5" i="1"/>
  <c r="L93" i="1" s="1"/>
  <c r="V19" i="1"/>
  <c r="V105" i="1" s="1"/>
  <c r="AZ5" i="1"/>
  <c r="V12" i="1"/>
  <c r="V100" i="1" s="1"/>
  <c r="BG19" i="1"/>
  <c r="V27" i="1"/>
  <c r="V113" i="1" s="1"/>
  <c r="AD28" i="1"/>
  <c r="AY31" i="1"/>
  <c r="AY45" i="1" s="1"/>
  <c r="Y103" i="1"/>
  <c r="F116" i="1"/>
  <c r="BI12" i="1"/>
  <c r="BI41" i="1" s="1"/>
  <c r="BF21" i="1"/>
  <c r="V26" i="1"/>
  <c r="V112" i="1" s="1"/>
  <c r="AD27" i="1"/>
  <c r="AY30" i="1"/>
  <c r="F105" i="1"/>
  <c r="S106" i="1"/>
  <c r="L21" i="1"/>
  <c r="L107" i="1" s="1"/>
  <c r="V24" i="1"/>
  <c r="V110" i="1" s="1"/>
  <c r="AX47" i="1"/>
  <c r="BF15" i="1"/>
  <c r="BG17" i="1"/>
  <c r="R21" i="1"/>
  <c r="R107" i="1" s="1"/>
  <c r="AD24" i="1"/>
  <c r="AY47" i="1"/>
  <c r="V21" i="1"/>
  <c r="V107" i="1" s="1"/>
  <c r="L19" i="1"/>
  <c r="L105" i="1" s="1"/>
  <c r="AD21" i="1"/>
  <c r="AX46" i="1"/>
  <c r="BB47" i="1"/>
  <c r="AD99" i="1"/>
  <c r="R17" i="1"/>
  <c r="R104" i="1" s="1"/>
  <c r="S96" i="1"/>
  <c r="AD97" i="1"/>
  <c r="V17" i="1"/>
  <c r="V104" i="1" s="1"/>
  <c r="AG46" i="2" l="1"/>
  <c r="AG49" i="2"/>
  <c r="BG14" i="1"/>
  <c r="BG43" i="1" s="1"/>
  <c r="AD102" i="1"/>
  <c r="BG45" i="1"/>
  <c r="BF47" i="1"/>
  <c r="BF45" i="1"/>
  <c r="BF46" i="1"/>
  <c r="AD110" i="1"/>
  <c r="BG24" i="1"/>
  <c r="BG28" i="1"/>
  <c r="AD114" i="1"/>
  <c r="BG5" i="1"/>
  <c r="AD93" i="1"/>
  <c r="BG27" i="1"/>
  <c r="AD113" i="1"/>
  <c r="AD107" i="1"/>
  <c r="BG21" i="1"/>
  <c r="BG47" i="1" s="1"/>
  <c r="BG4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tc={B73045A9-6563-4955-87B6-EA491C558E92}</author>
    <author>tc={783947A3-C0E6-4D13-949A-3BE6C0E0315B}</author>
    <author>tc={7C2466E1-AE80-4406-87B6-E8CAAD0C52C2}</author>
    <author>tc={7DA81649-5212-4E57-A568-C51ABC13044F}</author>
    <author>tc={2C949B62-2D82-43E1-8F44-68F37F84B118}</author>
    <author>tc={7049D5AF-F941-4404-A0B2-918327215D5D}</author>
    <author>tc={BC381252-9396-479B-9D06-1C5046FBE7A0}</author>
    <author>tc={EC67E508-62B0-482E-B662-537ACDBAE5C1}</author>
    <author>tc={F278D8B4-A4E9-4A3D-9669-608573FB7CD2}</author>
    <author>tc={A3EA189A-8C2D-466A-92CF-88755F03C8E5}</author>
    <author>tc={B1FFF1BF-D043-4A41-8B27-719EC45AF9FF}</author>
    <author>tc={F48003B8-D140-4E90-9B5B-4178EA282500}</author>
    <author>tc={C3E5C6F5-5ED5-404B-97BD-E2A7C533B18A}</author>
    <author>tc={8DF685AD-704D-4C77-BEBD-0D63FCCE22B6}</author>
    <author>tc={76C5837A-6C3B-4CC7-A0A4-9F4A8BEBD2A0}</author>
    <author>tc={4076FCF4-00F1-4557-BF5C-E835DC09D8C3}</author>
    <author>tc={388FB68A-BD01-437E-84E8-95E44E0FA41E}</author>
    <author>tc={726C3CA8-FBDE-4D90-9780-4C5C11281E37}</author>
    <author>tc={62659B77-C5F0-43BE-AE56-F1DB4C81BEC7}</author>
    <author>tc={6EAC48A1-DE7E-44BF-A400-14FFD0D6EA9F}</author>
    <author>tc={AF0A2A2B-B375-4007-97E0-483D8B1CF039}</author>
    <author>tc={4BFCC566-92E8-4928-8748-52B17BD7C38D}</author>
    <author>tc={3F4AEE8F-75BB-40DE-B1BF-D0685A1002F9}</author>
    <author>tc={17382DD3-3CC6-4944-922C-7ED195CF53C3}</author>
    <author>tc={4805467D-952B-41B4-86D7-6B034FCD91D7}</author>
    <author>tc={A4073D4E-E1DC-44B0-9181-10733F210188}</author>
    <author>tc={7C0DD50C-3623-48FA-84D7-1EF1D30CD771}</author>
    <author>tc={46C7DEB7-FDA7-4ECC-B5F2-0B6956A449A2}</author>
    <author>tc={7EC2AF2B-D535-47E2-9C1D-2D569E41F041}</author>
    <author>tc={79ECA6B1-BECE-413E-9C45-4A24D2644F7E}</author>
    <author>tc={568C4B86-2216-406C-86BF-93282A9B44DA}</author>
    <author>tc={E53C2281-5DE5-4BAE-9CA8-AA59645AF35A}</author>
    <author>tc={F64A0414-C080-44D3-BE04-DD130B25B6AF}</author>
    <author>tc={7DCC7CBF-AB44-4661-B4E3-98FCB5363E48}</author>
    <author>tc={A1E3EE33-FD30-4342-A18D-A907A127862E}</author>
    <author>tc={AAD794F5-F5C5-42BE-A4C0-4E15D7C71744}</author>
  </authors>
  <commentList>
    <comment ref="W19" authorId="0" shapeId="0" xr:uid="{B73045A9-6563-4955-87B6-EA491C558E9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0" authorId="1" shapeId="0" xr:uid="{783947A3-C0E6-4D13-949A-3BE6C0E031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O22" authorId="2" shapeId="0" xr:uid="{7C2466E1-AE80-4406-87B6-E8CAAD0C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22" authorId="3" shapeId="0" xr:uid="{7DA81649-5212-4E57-A568-C51ABC1304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24" authorId="4" shapeId="0" xr:uid="{2C949B62-2D82-43E1-8F44-68F37F84B1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24" authorId="5" shapeId="0" xr:uid="{7049D5AF-F941-4404-A0B2-918327215D5D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27" authorId="6" shapeId="0" xr:uid="{BC381252-9396-479B-9D06-1C5046FB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O28" authorId="7" shapeId="0" xr:uid="{EC67E508-62B0-482E-B662-537ACDBAE5C1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28" authorId="8" shapeId="0" xr:uid="{F278D8B4-A4E9-4A3D-9669-608573FB7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28" authorId="9" shapeId="0" xr:uid="{A3EA189A-8C2D-466A-92CF-88755F03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L29" authorId="10" shapeId="0" xr:uid="{B1FFF1BF-D043-4A41-8B27-719EC45AF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T30" authorId="11" shapeId="0" xr:uid="{F48003B8-D140-4E90-9B5B-4178EA2825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31" authorId="12" shapeId="0" xr:uid="{C3E5C6F5-5ED5-404B-97BD-E2A7C533B1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1" authorId="13" shapeId="0" xr:uid="{8DF685AD-704D-4C77-BEBD-0D63FCCE22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L31" authorId="14" shapeId="0" xr:uid="{76C5837A-6C3B-4CC7-A0A4-9F4A8BEBD2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2" authorId="15" shapeId="0" xr:uid="{4076FCF4-00F1-4557-BF5C-E835DC09D8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AB34" authorId="16" shapeId="0" xr:uid="{388FB68A-BD01-437E-84E8-95E44E0FA41E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Recomputed for ts=Dref from AS2</t>
      </text>
    </comment>
    <comment ref="W35" authorId="17" shapeId="0" xr:uid="{726C3CA8-FBDE-4D90-9780-4C5C11281E37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36" authorId="18" shapeId="0" xr:uid="{62659B77-C5F0-43BE-AE56-F1DB4C81BE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36" authorId="19" shapeId="0" xr:uid="{6EAC48A1-DE7E-44BF-A400-14FFD0D6EA9F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AB36" authorId="20" shapeId="0" xr:uid="{AF0A2A2B-B375-4007-97E0-483D8B1CF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AC36" authorId="21" shapeId="0" xr:uid="{4BFCC566-92E8-4928-8748-52B17BD7C38D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38" authorId="22" shapeId="0" xr:uid="{3F4AEE8F-75BB-40DE-B1BF-D0685A1002F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38" authorId="23" shapeId="0" xr:uid="{17382DD3-3CC6-4944-922C-7ED195CF53C3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38" authorId="24" shapeId="0" xr:uid="{4805467D-952B-41B4-86D7-6B034FCD91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AB38" authorId="25" shapeId="0" xr:uid="{A4073D4E-E1DC-44B0-9181-10733F2101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J39" authorId="26" shapeId="0" xr:uid="{7C0DD50C-3623-48FA-84D7-1EF1D30CD771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W43" authorId="27" shapeId="0" xr:uid="{46C7DEB7-FDA7-4ECC-B5F2-0B6956A449A2}">
      <text>
        <t>[Threaded comment]
Your version of Excel allows you to read this threaded comment; however, any edits to it will get removed if the file is opened in a newer version of Excel. Learn more: https://go.microsoft.com/fwlink/?linkid=870924
Comment:
    Free var</t>
      </text>
    </comment>
    <comment ref="T44" authorId="28" shapeId="0" xr:uid="{7EC2AF2B-D535-47E2-9C1D-2D569E41F0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
FC
FC
FC
MA
crust
</t>
      </text>
    </comment>
    <comment ref="U44" authorId="29" shapeId="0" xr:uid="{79ECA6B1-BECE-413E-9C45-4A24D2644F7E}">
      <text>
        <t>[Threaded comment]
Your version of Excel allows you to read this threaded comment; however, any edits to it will get removed if the file is opened in a newer version of Excel. Learn more: https://go.microsoft.com/fwlink/?linkid=870924
Comment:
    =Dref, Te=Na</t>
      </text>
    </comment>
    <comment ref="H45" authorId="30" shapeId="0" xr:uid="{568C4B86-2216-406C-86BF-93282A9B44D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45" authorId="31" shapeId="0" xr:uid="{E53C2281-5DE5-4BAE-9CA8-AA59645AF35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J46" authorId="32" shapeId="0" xr:uid="{F64A0414-C080-44D3-BE04-DD130B25B6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  <comment ref="T46" authorId="33" shapeId="0" xr:uid="{7DCC7CBF-AB44-4661-B4E3-98FCB5363E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Fe,liq
Fe,sol
Fe3S,sol
FeSV,sol
</t>
      </text>
    </comment>
    <comment ref="H52" authorId="34" shapeId="0" xr:uid="{A1E3EE33-FD30-4342-A18D-A907A127862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xs=0.05 on Fig3</t>
      </text>
    </comment>
    <comment ref="J53" authorId="35" shapeId="0" xr:uid="{AAD794F5-F5C5-42BE-A4C0-4E15D7C71744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from Fig2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tc={54E72A52-25C1-4330-9104-CA93D71C58D6}</author>
    <author>tc={EEF09B98-7147-47B4-94A4-CEAA29B7207D}</author>
    <author>tc={EAA10F0E-4B05-4707-A693-D1880035CE73}</author>
    <author>tc={26832CEC-8769-4EE3-87B5-697603AF4495}</author>
    <author>tc={8552E513-5F49-4CF0-ADF0-3CE42568407B}</author>
  </authors>
  <commentList>
    <comment ref="Y7" authorId="0" shapeId="0" xr:uid="{54E72A52-25C1-4330-9104-CA93D71C58D6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  <comment ref="Y9" authorId="1" shapeId="0" xr:uid="{EEF09B98-7147-47B4-94A4-CEAA29B7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Y11" authorId="2" shapeId="0" xr:uid="{EAA10F0E-4B05-4707-A693-D1880035CE73}">
      <text>
        <t>[Threaded comment]
Your version of Excel allows you to read this threaded comment; however, any edits to it will get removed if the file is opened in a newer version of Excel. Learn more: https://go.microsoft.com/fwlink/?linkid=870924
Comment:
    598-1463</t>
      </text>
    </comment>
    <comment ref="AM16" authorId="3" shapeId="0" xr:uid="{26832CEC-8769-4EE3-87B5-697603AF4495}">
      <text>
        <t>[Threaded comment]
Your version of Excel allows you to read this threaded comment; however, any edits to it will get removed if the file is opened in a newer version of Excel. Learn more: https://go.microsoft.com/fwlink/?linkid=870924
Comment:
    Fused silica</t>
      </text>
    </comment>
    <comment ref="Y18" authorId="4" shapeId="0" xr:uid="{8552E513-5F49-4CF0-ADF0-3CE42568407B}">
      <text>
        <t>[Threaded comment]
Your version of Excel allows you to read this threaded comment; however, any edits to it will get removed if the file is opened in a newer version of Excel. Learn more: https://go.microsoft.com/fwlink/?linkid=870924
Comment:
    298-1809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8017-3C15-4708-A17C-BB9476F1DCB1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<sst xmlns="http://schemas.openxmlformats.org/spreadsheetml/2006/main" count="616" uniqueCount="240">
  <si>
    <t>T_0</t>
  </si>
  <si>
    <t>P_0</t>
  </si>
  <si>
    <t>used in M2</t>
  </si>
  <si>
    <t>material</t>
  </si>
  <si>
    <t>T_ref [K]</t>
  </si>
  <si>
    <t>p_ref [Gpa]</t>
  </si>
  <si>
    <t>rho_0 [kg/m3]</t>
  </si>
  <si>
    <t>drho/dp</t>
  </si>
  <si>
    <t>drho/dT</t>
  </si>
  <si>
    <t>drho/dXs</t>
  </si>
  <si>
    <t>drho/dXs^2</t>
  </si>
  <si>
    <t>rho [kg/m3]</t>
  </si>
  <si>
    <t>K_0 [Gpa]</t>
  </si>
  <si>
    <t>dK/dT</t>
  </si>
  <si>
    <t>dK/dp [-]</t>
  </si>
  <si>
    <t>dK/dXs</t>
  </si>
  <si>
    <t>dK/dXs^2</t>
  </si>
  <si>
    <t>K [GPa]</t>
  </si>
  <si>
    <t>a_0</t>
  </si>
  <si>
    <t>da/dp</t>
  </si>
  <si>
    <t>da/dT</t>
  </si>
  <si>
    <t>a [1/K]</t>
  </si>
  <si>
    <t>y=a*Ks/rho*Cp</t>
  </si>
  <si>
    <t>Mw [g/mol]</t>
  </si>
  <si>
    <t>Cp_A</t>
  </si>
  <si>
    <t>Cp_B</t>
  </si>
  <si>
    <t>Cp_C</t>
  </si>
  <si>
    <t>Cp_D</t>
  </si>
  <si>
    <t>Cp_E</t>
  </si>
  <si>
    <t>Cp [J/Kkg]</t>
  </si>
  <si>
    <t>ⲕ [Wm2/J]</t>
  </si>
  <si>
    <t>k [W/mK]</t>
  </si>
  <si>
    <t>visc [mPas]</t>
  </si>
  <si>
    <t>sulfur fraction X_s</t>
  </si>
  <si>
    <t>T</t>
  </si>
  <si>
    <t>p</t>
  </si>
  <si>
    <t>source main</t>
  </si>
  <si>
    <t>source k</t>
  </si>
  <si>
    <t>source Cp</t>
  </si>
  <si>
    <t>Column1</t>
  </si>
  <si>
    <t>where</t>
  </si>
  <si>
    <t>T_ref</t>
  </si>
  <si>
    <t>p_ref</t>
  </si>
  <si>
    <t>rho_0</t>
  </si>
  <si>
    <t>drho/dXs2</t>
  </si>
  <si>
    <t>K_0</t>
  </si>
  <si>
    <t>dK/dXs2</t>
  </si>
  <si>
    <t>Cp</t>
  </si>
  <si>
    <t>k</t>
  </si>
  <si>
    <t>visc</t>
  </si>
  <si>
    <t>Fe,liq</t>
  </si>
  <si>
    <t>https://webbook.nist.gov/cgi/cbook.cgi?ID=C7439896&amp;Units=SI&amp;Mask=2#Thermo-Condensed</t>
  </si>
  <si>
    <t>underlined == averaged</t>
  </si>
  <si>
    <t>italic == assumed as default</t>
  </si>
  <si>
    <t>X</t>
  </si>
  <si>
    <t>Fe,sol</t>
  </si>
  <si>
    <t>https://www.sciencedirect.com/science/article/pii/S0012821X14001344#:~:text=The%20values%20for%20the%20electrical,Earth's%20centre%20pressure%E2%80%93temperature%20conditions.</t>
  </si>
  <si>
    <t>Fe-3S, sol</t>
  </si>
  <si>
    <t>https://webbook.nist.gov/cgi/cbook.cgi?ID=C1317960&amp;Units=SI&amp;Mask=2#Thermo-Condensed</t>
  </si>
  <si>
    <t>Fe-S(10wt%)</t>
  </si>
  <si>
    <t>Fe-S(V), sol</t>
  </si>
  <si>
    <t>https://agupubs.onlinelibrary.wiley.com/doi/full/10.1029/2019JE005979</t>
  </si>
  <si>
    <t>Fe-S,liq</t>
  </si>
  <si>
    <t>https://www.researchgate.net/publication/343646279_Reconciliation_of_Experiments_and_Theory_on_Transport_Properties_of_Iron_and_the_Geodynamo</t>
  </si>
  <si>
    <t>Fe-Si(17wt%), liq</t>
  </si>
  <si>
    <t>https://www.pnas.org/doi/full/10.1073/pnas.2119001119</t>
  </si>
  <si>
    <t>Fe-Si(17wt%), sol</t>
  </si>
  <si>
    <t>mantle</t>
  </si>
  <si>
    <t>Si,sol</t>
  </si>
  <si>
    <t>https://webbook.nist.gov/cgi/cbook.cgi?ID=C7440213&amp;Units=SI&amp;Mask=2#Thermo-Condensed</t>
  </si>
  <si>
    <t>y-Fe</t>
  </si>
  <si>
    <t>crust</t>
  </si>
  <si>
    <t>ol</t>
  </si>
  <si>
    <t>opx</t>
  </si>
  <si>
    <t>Capx</t>
  </si>
  <si>
    <t>gt</t>
  </si>
  <si>
    <t>an</t>
  </si>
  <si>
    <t>sp</t>
  </si>
  <si>
    <t>ky</t>
  </si>
  <si>
    <t>coe</t>
  </si>
  <si>
    <t>cor</t>
  </si>
  <si>
    <t>q</t>
  </si>
  <si>
    <t>per</t>
  </si>
  <si>
    <t>merw</t>
  </si>
  <si>
    <t>Fe3S,sol</t>
  </si>
  <si>
    <t>FeS,liq</t>
  </si>
  <si>
    <t>FeSV,sol</t>
  </si>
  <si>
    <t>FeSi,liq</t>
  </si>
  <si>
    <t>FC</t>
  </si>
  <si>
    <t>MA</t>
  </si>
  <si>
    <t>MC</t>
  </si>
  <si>
    <t>assumed STP if not specified</t>
  </si>
  <si>
    <t>density [kg/m3]</t>
  </si>
  <si>
    <t>stiffness [Gpa]</t>
  </si>
  <si>
    <t>thermal expansivity</t>
  </si>
  <si>
    <t>source</t>
  </si>
  <si>
    <t>rho_ref</t>
  </si>
  <si>
    <t>K_ref</t>
  </si>
  <si>
    <t>a_ref</t>
  </si>
  <si>
    <t>a [10^-5/K]</t>
  </si>
  <si>
    <t>Source 1</t>
  </si>
  <si>
    <t>https://www.sciencedirect.com/science/article/pii/S0032063301000939</t>
  </si>
  <si>
    <t>value</t>
  </si>
  <si>
    <t>uncertainty</t>
  </si>
  <si>
    <t>Radius [km]</t>
  </si>
  <si>
    <t>Mass [kg]</t>
  </si>
  <si>
    <t>Density [kg/m3]</t>
  </si>
  <si>
    <t>Moment of Inertia [kgm4]</t>
  </si>
  <si>
    <t>C20</t>
  </si>
  <si>
    <t>C22</t>
  </si>
  <si>
    <t>Rotation period [days]</t>
  </si>
  <si>
    <t>Source 3</t>
  </si>
  <si>
    <t>https://www.sciencedirect.com/science/article/pii/S001910350800448X</t>
  </si>
  <si>
    <t>pressure [GPa]</t>
  </si>
  <si>
    <t>surface</t>
  </si>
  <si>
    <t>core</t>
  </si>
  <si>
    <t>silicate shell</t>
  </si>
  <si>
    <t>1850+-3%</t>
  </si>
  <si>
    <t>outer core</t>
  </si>
  <si>
    <t>inner core</t>
  </si>
  <si>
    <t>2900 or 3300</t>
  </si>
  <si>
    <t>1828-2200</t>
  </si>
  <si>
    <t>CMB</t>
  </si>
  <si>
    <t>S3.FC</t>
  </si>
  <si>
    <t>S3.MA</t>
  </si>
  <si>
    <t>S3.TS</t>
  </si>
  <si>
    <t>S3.MC</t>
  </si>
  <si>
    <t>S3.EC</t>
  </si>
  <si>
    <t>PPI AS1</t>
  </si>
  <si>
    <t>parameter</t>
  </si>
  <si>
    <t>symbol</t>
  </si>
  <si>
    <t>unit</t>
  </si>
  <si>
    <t>planetary mass</t>
  </si>
  <si>
    <t>Mp</t>
  </si>
  <si>
    <t>10^24 kg</t>
  </si>
  <si>
    <t>JPL</t>
  </si>
  <si>
    <t>https://ssd.jpl.nasa.gov/planets/phys_par.html</t>
  </si>
  <si>
    <t>planetary radius</t>
  </si>
  <si>
    <t>Rp</t>
  </si>
  <si>
    <t>km</t>
  </si>
  <si>
    <t>planetary datasheet</t>
  </si>
  <si>
    <t>polar moment of inertia</t>
  </si>
  <si>
    <t>C/MR2</t>
  </si>
  <si>
    <t>-</t>
  </si>
  <si>
    <t>margot</t>
  </si>
  <si>
    <t>Cm/C</t>
  </si>
  <si>
    <t>lower bound</t>
  </si>
  <si>
    <t>upper bound</t>
  </si>
  <si>
    <t>crust density</t>
  </si>
  <si>
    <t>rho_m</t>
  </si>
  <si>
    <t>kg/m3</t>
  </si>
  <si>
    <t>shell thickness</t>
  </si>
  <si>
    <t>t_s</t>
  </si>
  <si>
    <t>4 (100km) +unc</t>
  </si>
  <si>
    <t>core temperature</t>
  </si>
  <si>
    <t>T_core</t>
  </si>
  <si>
    <t>K</t>
  </si>
  <si>
    <t>4,P21,Fig5</t>
  </si>
  <si>
    <t>ICB temperature</t>
  </si>
  <si>
    <t>assumed isothermal inner core as in 4,P17</t>
  </si>
  <si>
    <t>CMB temperature</t>
  </si>
  <si>
    <t>T_CMB</t>
  </si>
  <si>
    <t>table 1 in 3</t>
  </si>
  <si>
    <t>surface temperature</t>
  </si>
  <si>
    <t>T_surf</t>
  </si>
  <si>
    <t>C</t>
  </si>
  <si>
    <t>NASA</t>
  </si>
  <si>
    <t>https://science.nasa.gov/mercury/facts/</t>
  </si>
  <si>
    <t>case</t>
  </si>
  <si>
    <t>ICB radius [km]</t>
  </si>
  <si>
    <t>CMB radius [km]</t>
  </si>
  <si>
    <t>sulfur content [%]</t>
  </si>
  <si>
    <t>dMp [%]</t>
  </si>
  <si>
    <t>dI [%]</t>
  </si>
  <si>
    <t>dIm/I [%]</t>
  </si>
  <si>
    <t>total error [%]</t>
  </si>
  <si>
    <t>p_CMB [Gpa</t>
  </si>
  <si>
    <t>p_core [Gpa]</t>
  </si>
  <si>
    <t>X_S</t>
  </si>
  <si>
    <t>%</t>
  </si>
  <si>
    <t>center</t>
  </si>
  <si>
    <t>Temperature</t>
  </si>
  <si>
    <t>NA</t>
  </si>
  <si>
    <t>stifness [GPa]</t>
  </si>
  <si>
    <t>PPI AS2</t>
  </si>
  <si>
    <t>outer librating shell MOI</t>
  </si>
  <si>
    <t>S3.base</t>
  </si>
  <si>
    <t>AS1.M2 - parametric</t>
  </si>
  <si>
    <t>AS1.M2 (Fe,sol - MA, 5.1595%S)</t>
  </si>
  <si>
    <t>S1.1</t>
  </si>
  <si>
    <t>S1.2</t>
  </si>
  <si>
    <t>boundary [km]</t>
  </si>
  <si>
    <t>temperature [K]</t>
  </si>
  <si>
    <t>viscosity</t>
  </si>
  <si>
    <t>reference</t>
  </si>
  <si>
    <t>assumption</t>
  </si>
  <si>
    <t>visc_ice</t>
  </si>
  <si>
    <t>visc_rock</t>
  </si>
  <si>
    <t>bulk_modulus</t>
  </si>
  <si>
    <t>μ</t>
  </si>
  <si>
    <t>AS3</t>
  </si>
  <si>
    <t>PPI AS3</t>
  </si>
  <si>
    <t>validation</t>
  </si>
  <si>
    <t>AS2.M1</t>
  </si>
  <si>
    <t>AS2.Mref</t>
  </si>
  <si>
    <t>AS2.M2</t>
  </si>
  <si>
    <t>AS2.M3</t>
  </si>
  <si>
    <t>AS3.Mref</t>
  </si>
  <si>
    <t>bulk modulus [GPa]</t>
  </si>
  <si>
    <t>shear modulus [GPa]</t>
  </si>
  <si>
    <t>μ_ice</t>
  </si>
  <si>
    <t>Gpa</t>
  </si>
  <si>
    <t>shear_ice</t>
  </si>
  <si>
    <t>η_ice</t>
  </si>
  <si>
    <t>Pas</t>
  </si>
  <si>
    <t>shear_rock</t>
  </si>
  <si>
    <t>μ_rock</t>
  </si>
  <si>
    <t>η_rock</t>
  </si>
  <si>
    <t>μ_eff</t>
  </si>
  <si>
    <t>r_R</t>
  </si>
  <si>
    <t>r_ρ</t>
  </si>
  <si>
    <t>r_∆ρ</t>
  </si>
  <si>
    <t>v</t>
  </si>
  <si>
    <t>AS3.S1</t>
  </si>
  <si>
    <t>whole</t>
  </si>
  <si>
    <t>AS3.M2</t>
  </si>
  <si>
    <t>h</t>
  </si>
  <si>
    <t>AS3.M1_elastic</t>
  </si>
  <si>
    <t>AS3.M1_viscoelastic</t>
  </si>
  <si>
    <t>AS3.M1_fluid</t>
  </si>
  <si>
    <t>viscosity [Pa s]</t>
  </si>
  <si>
    <t>AS3.S7</t>
  </si>
  <si>
    <t>Fig17, S3</t>
  </si>
  <si>
    <t>Fig4,S1</t>
  </si>
  <si>
    <t>value (k2)</t>
  </si>
  <si>
    <t>value (h2)</t>
  </si>
  <si>
    <t>S3, RCMB=1326km</t>
  </si>
  <si>
    <t>S3, sweep RCMB</t>
  </si>
  <si>
    <t>S1, 3-layered</t>
  </si>
  <si>
    <t>S1,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</si>
</sst>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11" fontId="4" fillId="0" borderId="0" xfId="0" applyNumberFormat="1" applyFont="1"/>
    <xf numFmtId="0" fontId="2" fillId="0" borderId="0" xfId="1" applyAlignment="1"/>
    <xf numFmtId="0" fontId="2" fillId="0" borderId="0" xfId="1" applyNumberFormat="1" applyAlignment="1"/>
    <xf numFmtId="0" fontId="0" fillId="2" borderId="1" xfId="0" applyFill="1" applyBorder="1"/>
    <xf numFmtId="0" fontId="0" fillId="2" borderId="2" xfId="0" applyFill="1" applyBorder="1"/>
    <xf numFmtId="0" fontId="2" fillId="0" borderId="0" xfId="1"/>
    <xf numFmtId="0" fontId="0" fillId="0" borderId="0" xfId="0" quotePrefix="1"/>
    <xf numFmtId="0" fontId="1" fillId="0" borderId="3" xfId="0" applyFont="1" applyBorder="1"/>
    <xf numFmtId="0" fontId="0" fillId="0" borderId="4" xfId="0" applyBorder="1"/>
    <xf numFmtId="0" fontId="0" fillId="0" borderId="3" xfId="0" applyBorder="1"/>
    <xf numFmtId="0" fontId="5" fillId="0" borderId="4" xfId="0" applyFont="1" applyBorder="1"/>
    <xf numFmtId="0" fontId="2" fillId="0" borderId="4" xfId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56"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numFmt numFmtId="165" formatCode="0.0000E+00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font>
        <b val="0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600635</xdr:colOff>
      <xdr:row>13</xdr:row>
      <xdr:rowOff>35859</xdr:rowOff>
    </xdr:from>
    <xdr:to>
      <xdr:col>39</xdr:col>
      <xdr:colOff>559306</xdr:colOff>
      <xdr:row>23</xdr:row>
      <xdr:rowOff>151924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27941-2A01-48FA-8CA6-34B577418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7364" y="2366683"/>
          <a:ext cx="3006671" cy="1909006"/>
        </a:xfrm>
        <a:prstGeom prst="rect">
          <a:avLst/>
        </a:prstGeom>
      </xdr:spPr>
    </xdr:pic>
    <xdr:clientData/>
  </xdr:twoCellAnchor>
  <xdr:twoCellAnchor editAs="oneCell">
    <xdr:from>
      <xdr:col>40</xdr:col>
      <xdr:colOff>1</xdr:colOff>
      <xdr:row>13</xdr:row>
      <xdr:rowOff>0</xdr:rowOff>
    </xdr:from>
    <xdr:to>
      <xdr:col>43</xdr:col>
      <xdr:colOff>344715</xdr:colOff>
      <xdr:row>24</xdr:row>
      <xdr:rowOff>69840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27923-C236-061D-BE73-1357843D8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37572" y="2358571"/>
          <a:ext cx="2195286" cy="20655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éo Huegens" id="{F3D40453-295F-4F96-A9FE-C7BF675D9F13}" userId="1d679a80baeebce9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6F3488D-9EF4-4EAA-B3BE-A3FD5A3739A6}" autoFormatId="16" applyNumberFormats="0" applyBorderFormats="0" applyFontFormats="0" applyPatternFormats="0" applyAlignmentFormats="0" applyWidthHeightFormats="0">
  <queryTableRefresh nextId="12">
    <queryTableFields count="11">
      <queryTableField id="1" name="core" tableColumnId="1"/>
      <queryTableField id="2" name="mantle" tableColumnId="2"/>
      <queryTableField id="3" name="ICB radius [km]" tableColumnId="3"/>
      <queryTableField id="4" name="CMB radius [km]" tableColumnId="4"/>
      <queryTableField id="5" name="sulfur content [%]" tableColumnId="5"/>
      <queryTableField id="6" name="dMp [%]" tableColumnId="6"/>
      <queryTableField id="7" name="dI [%]" tableColumnId="7"/>
      <queryTableField id="8" name="dIm/I [%]" tableColumnId="8"/>
      <queryTableField id="9" name="total error [%]" tableColumnId="9"/>
      <queryTableField id="10" name="p_CMB [Gpa" tableColumnId="10"/>
      <queryTableField id="11" name="p_core [Gpa]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0BE93-2FCC-4725-8D2A-9F959218A546}" name="Table3" displayName="Table3" ref="B1:L17" tableType="queryTable" totalsRowShown="0">
  <autoFilter ref="B1:L17" xr:uid="{05D0BE93-2FCC-4725-8D2A-9F959218A546}"/>
  <sortState xmlns:xlrd2="http://schemas.microsoft.com/office/spreadsheetml/2017/richdata2" ref="B2:L17">
    <sortCondition ref="B1:B17"/>
  </sortState>
  <tableColumns count="11">
    <tableColumn id="1" xr3:uid="{20C5EE52-CB95-4685-969E-41D3915E735F}" uniqueName="1" name="core" queryTableFieldId="1" dataDxfId="55"/>
    <tableColumn id="2" xr3:uid="{C2537B62-B949-40E2-AAC0-A79313442393}" uniqueName="2" name="mantle" queryTableFieldId="2" dataDxfId="54"/>
    <tableColumn id="3" xr3:uid="{FE59BD27-3791-414C-85F9-F35B7FB27FF6}" uniqueName="3" name="ICB radius [km]" queryTableFieldId="3"/>
    <tableColumn id="4" xr3:uid="{6D68B10F-46E5-4D6A-91C7-AB57C8E7A50D}" uniqueName="4" name="CMB radius [km]" queryTableFieldId="4"/>
    <tableColumn id="5" xr3:uid="{D63DBD22-7DEB-4253-9CA4-41A3979F2571}" uniqueName="5" name="sulfur content [%]" queryTableFieldId="5"/>
    <tableColumn id="6" xr3:uid="{CCD8B68D-1CB6-4B0F-8BE3-DF2CF8EBEE5A}" uniqueName="6" name="dMp [%]" queryTableFieldId="6"/>
    <tableColumn id="7" xr3:uid="{9BB754E1-27C1-4C49-88CF-44AB0DFA119D}" uniqueName="7" name="dI [%]" queryTableFieldId="7"/>
    <tableColumn id="8" xr3:uid="{37CA5211-7B78-4796-9CC5-C1F54D8C6B99}" uniqueName="8" name="dIm/I [%]" queryTableFieldId="8"/>
    <tableColumn id="9" xr3:uid="{61BF4A84-F3C1-4795-94C0-2C952FFD0F59}" uniqueName="9" name="total error [%]" queryTableFieldId="9"/>
    <tableColumn id="10" xr3:uid="{F1BC276E-3F1C-4245-A720-91CE8EF264CB}" uniqueName="10" name="p_CMB [Gpa" queryTableFieldId="10"/>
    <tableColumn id="11" xr3:uid="{1DAAE497-AD4E-46B4-A0C6-D4C1339E51F3}" uniqueName="11" name="p_core [Gpa]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52EC5-3DC0-4D91-AD22-069EC150492F}" name="material" displayName="material" ref="D3:AN87" totalsRowShown="0" headerRowDxfId="53" dataDxfId="52">
  <autoFilter ref="D3:AN87" xr:uid="{8F152EC5-3DC0-4D91-AD22-069EC150492F}"/>
  <sortState xmlns:xlrd2="http://schemas.microsoft.com/office/spreadsheetml/2017/richdata2" ref="D4:AK87">
    <sortCondition ref="D3:D87"/>
  </sortState>
  <tableColumns count="37">
    <tableColumn id="1" xr3:uid="{C6859E7A-0DF3-4B66-A62D-FC887233952D}" name="material" dataDxfId="51"/>
    <tableColumn id="4" xr3:uid="{F6E5D82F-B4A4-404F-A63B-B821D7BCB98E}" name="T_ref [K]" dataDxfId="50"/>
    <tableColumn id="18" xr3:uid="{07B53A00-DA15-4254-8917-B80BA01C64A3}" name="p_ref [Gpa]" dataDxfId="49"/>
    <tableColumn id="2" xr3:uid="{A5A8CFB9-C5D9-4852-9FED-65CEEB36C603}" name="rho_0 [kg/m3]" dataDxfId="48"/>
    <tableColumn id="21" xr3:uid="{5731FD37-CA6D-4179-AE5B-D637F4A961ED}" name="drho/dp" dataDxfId="47"/>
    <tableColumn id="22" xr3:uid="{D4831BAC-304E-4F35-9628-00666DB71886}" name="drho/dT" dataDxfId="46"/>
    <tableColumn id="23" xr3:uid="{FE74C40C-67B1-41E0-B19E-8BF5DD3F7314}" name="drho/dXs" dataDxfId="45"/>
    <tableColumn id="24" xr3:uid="{5DFF8098-7226-436B-864E-D311AC61D033}" name="drho/dXs^2" dataDxfId="44"/>
    <tableColumn id="25" xr3:uid="{82D1B38C-1712-4F37-A3FD-B94A7A70396E}" name="rho [kg/m3]" dataDxfId="43">
      <calculatedColumnFormula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calculatedColumnFormula>
    </tableColumn>
    <tableColumn id="15" xr3:uid="{53EB9943-896E-4065-8FE7-E886883D9B0A}" name="K_0 [Gpa]" dataDxfId="42"/>
    <tableColumn id="16" xr3:uid="{B158C837-6B72-4F18-86F1-E880C837C010}" name="dK/dT" dataDxfId="41"/>
    <tableColumn id="17" xr3:uid="{34CBCE32-97CF-4DF6-9453-699F8313430A}" name="dK/dp [-]" dataDxfId="40"/>
    <tableColumn id="19" xr3:uid="{38064A0F-3D48-4067-AE97-A58C75F0C794}" name="dK/dXs" dataDxfId="39"/>
    <tableColumn id="20" xr3:uid="{B3989610-1A9A-4F4B-89F3-769E49549DB9}" name="dK/dXs^2" dataDxfId="38"/>
    <tableColumn id="5" xr3:uid="{66B8EF54-0900-4856-9ABC-B5708FF2A5E9}" name="K [GPa]" dataDxfId="37"/>
    <tableColumn id="26" xr3:uid="{0A189309-2D9F-4F55-B6E2-9B450A654D06}" name="a_0" dataDxfId="36"/>
    <tableColumn id="28" xr3:uid="{7683C7ED-A7ED-46EB-92F9-B53D5CD047D8}" name="da/dp" dataDxfId="35"/>
    <tableColumn id="27" xr3:uid="{39F221DB-9BC6-4843-AE53-39C4B9917F1E}" name="da/dT" dataDxfId="34"/>
    <tableColumn id="6" xr3:uid="{1140898D-2BCA-4FFB-9E1A-AD4E4C640AD5}" name="a [1/K]" dataDxfId="33">
      <calculatedColumnFormula>material[[#This Row],[a_0]]+material[[#This Row],[da/dp]]*(material[[#This Row],[p]]-material[[#This Row],[p_ref '[Gpa']]])+material[[#This Row],[da/dT]]*(material[[#This Row],[T]]-material[[#This Row],[T_ref '[K']]])</calculatedColumnFormula>
    </tableColumn>
    <tableColumn id="8" xr3:uid="{932E46EA-B6F3-4F0E-9ED2-E288F02B4C18}" name="y=a*Ks/rho*Cp" dataDxfId="32"/>
    <tableColumn id="35" xr3:uid="{B2C8CBC1-B5B0-49F2-A1FE-579BCB44E9A5}" name="Mw [g/mol]" dataDxfId="31"/>
    <tableColumn id="30" xr3:uid="{ABC12D5A-E7AD-4FBF-B0B8-40E8EA1BF9BB}" name="Cp_A" dataDxfId="30"/>
    <tableColumn id="31" xr3:uid="{C6FCB0FF-5B08-47FC-B357-C60260E2565D}" name="Cp_B" dataDxfId="29"/>
    <tableColumn id="32" xr3:uid="{CA4903F7-4184-4091-A6B9-41D53288A3CF}" name="Cp_C" dataDxfId="28"/>
    <tableColumn id="33" xr3:uid="{636A47CB-5086-4F02-9592-E4E48C59FCA8}" name="Cp_D" dataDxfId="27"/>
    <tableColumn id="34" xr3:uid="{D08328F9-D071-44F0-B944-BFDD25591F48}" name="Cp_E" dataDxfId="26"/>
    <tableColumn id="7" xr3:uid="{4B7E1A24-18E1-4382-A5EB-1651FF63E55E}" name="Cp [J/Kkg]" dataDxfId="25">
      <calculatedColumnFormula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calculatedColumnFormula>
    </tableColumn>
    <tableColumn id="29" xr3:uid="{D38386FE-69C3-48E8-B0A5-ED94BD59C49A}" name="ⲕ [Wm2/J]" dataDxfId="24"/>
    <tableColumn id="13" xr3:uid="{D3751735-7FA4-4EF8-BF83-E9D9E98C816E}" name="k [W/mK]" dataDxfId="23"/>
    <tableColumn id="3" xr3:uid="{7F80310E-B14F-43E9-BE34-C2DE641131BB}" name="visc [mPas]" dataDxfId="22"/>
    <tableColumn id="9" xr3:uid="{D05CB256-DD72-4247-A7CE-9EA7AAA8C0D0}" name="sulfur fraction X_s" dataDxfId="21"/>
    <tableColumn id="10" xr3:uid="{E8E3F2F8-72BA-49CA-9EF4-2963CE5210B6}" name="T" dataDxfId="20"/>
    <tableColumn id="11" xr3:uid="{B1C79DCC-06F7-4B0A-B79D-54CBE24629A0}" name="p" dataDxfId="19"/>
    <tableColumn id="12" xr3:uid="{701B42F1-1012-4484-837E-90A70B6C87AF}" name="source main" dataDxfId="18"/>
    <tableColumn id="36" xr3:uid="{085C3B51-EF7F-4D7A-A135-47EBE7D58B18}" name="source k" dataDxfId="17"/>
    <tableColumn id="37" xr3:uid="{FB2C063D-6C00-4EF2-9669-7959CD4C0914}" name="source Cp" dataDxfId="16"/>
    <tableColumn id="14" xr3:uid="{36E21241-244F-4662-B150-CB74F3043303}" name="Column1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15E85E-8978-4E58-A8B4-C54F1A6E8AFC}" name="MatExport" displayName="MatExport" ref="AW37:BI47" totalsRowShown="0" headerRowDxfId="14" dataDxfId="13">
  <autoFilter ref="AW37:BI47" xr:uid="{4815E85E-8978-4E58-A8B4-C54F1A6E8AFC}"/>
  <tableColumns count="13">
    <tableColumn id="1" xr3:uid="{F6FE93EA-3012-453E-9F91-0F4FB76E176D}" name="material" dataDxfId="12"/>
    <tableColumn id="2" xr3:uid="{14A69B19-D486-4EB2-A643-02FAF87BCD81}" name="T_ref" dataDxfId="11"/>
    <tableColumn id="3" xr3:uid="{AA4FE1FC-8212-48FF-9A1C-986A51437120}" name="p_ref" dataDxfId="10"/>
    <tableColumn id="4" xr3:uid="{2ADE5AEE-29E6-4A2D-ABFA-55ECB48F5B87}" name="rho_0" dataDxfId="9"/>
    <tableColumn id="7" xr3:uid="{FC1E0FB6-4A3E-4740-B9BC-889E6C7A9E65}" name="drho/dXs" dataDxfId="8"/>
    <tableColumn id="8" xr3:uid="{A7C008F8-EEED-40A5-831A-C365734042C3}" name="drho/dXs2" dataDxfId="7"/>
    <tableColumn id="9" xr3:uid="{B3C3650C-BFEB-4E5D-A746-E3CFEC768C51}" name="K_0" dataDxfId="6"/>
    <tableColumn id="12" xr3:uid="{0EB6F5A1-2F4A-4603-8982-416BF2CE2B43}" name="dK/dXs" dataDxfId="5"/>
    <tableColumn id="13" xr3:uid="{369685E0-D572-44B0-9273-FBB14C070FC9}" name="dK/dXs2" dataDxfId="4"/>
    <tableColumn id="14" xr3:uid="{7BC71007-165C-4124-9A5D-380FCBE6E15B}" name="a_0" dataDxfId="3"/>
    <tableColumn id="6" xr3:uid="{D42EBF64-9248-4A14-A086-DA9361F19AB1}" name="Cp" dataDxfId="2"/>
    <tableColumn id="23" xr3:uid="{58627E0E-356C-48DB-827E-B72884FD60D2}" name="k" dataDxfId="1"/>
    <tableColumn id="5" xr3:uid="{3BE9AE2E-6400-4848-A028-E66BADFC8516}" name="vis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9" dT="2024-06-05T14:52:30.26" personId="{F3D40453-295F-4F96-A9FE-C7BF675D9F13}" id="{B73045A9-6563-4955-87B6-EA491C558E92}">
    <text>Free var</text>
  </threadedComment>
  <threadedComment ref="T20" dT="2024-06-05T14:59:07.25" personId="{F3D40453-295F-4F96-A9FE-C7BF675D9F13}" id="{783947A3-C0E6-4D13-949A-3BE6C0E0315B}">
    <text xml:space="preserve">MA
FC
FC
FC
MA
crust
</text>
  </threadedComment>
  <threadedComment ref="O22" dT="2024-04-30T15:24:13.23" personId="{F3D40453-295F-4F96-A9FE-C7BF675D9F13}" id="{7C2466E1-AE80-4406-87B6-E8CAAD0C52C2}">
    <text>Read from Fig2</text>
  </threadedComment>
  <threadedComment ref="T22" dT="2024-06-05T14:59:36.31" personId="{F3D40453-295F-4F96-A9FE-C7BF675D9F13}" id="{7DA81649-5212-4E57-A568-C51ABC13044F}">
    <text xml:space="preserve">Fe,liq
Fe,sol
Fe3S,sol
FeSV,sol
</text>
  </threadedComment>
  <threadedComment ref="H24" dT="2024-04-30T15:19:22.86" personId="{F3D40453-295F-4F96-A9FE-C7BF675D9F13}" id="{2C949B62-2D82-43E1-8F44-68F37F84B118}">
    <text>Read from xs=0.05 on Fig3</text>
  </threadedComment>
  <threadedComment ref="J24" dT="2024-04-30T15:24:13.23" personId="{F3D40453-295F-4F96-A9FE-C7BF675D9F13}" id="{7049D5AF-F941-4404-A0B2-918327215D5D}">
    <text>Read from Fig2</text>
  </threadedComment>
  <threadedComment ref="W27" dT="2024-06-05T14:52:30.26" personId="{F3D40453-295F-4F96-A9FE-C7BF675D9F13}" id="{BC381252-9396-479B-9D06-1C5046FBE7A0}">
    <text>Free var</text>
  </threadedComment>
  <threadedComment ref="O28" dT="2024-06-05T14:52:30.26" personId="{F3D40453-295F-4F96-A9FE-C7BF675D9F13}" id="{EC67E508-62B0-482E-B662-537ACDBAE5C1}">
    <text>Free var</text>
  </threadedComment>
  <threadedComment ref="T28" dT="2024-06-05T14:59:07.25" personId="{F3D40453-295F-4F96-A9FE-C7BF675D9F13}" id="{F278D8B4-A4E9-4A3D-9669-608573FB7CD2}">
    <text xml:space="preserve">MA
FC
FC
FC
MA
crust
</text>
  </threadedComment>
  <threadedComment ref="U28" dT="2024-06-27T12:12:15.58" personId="{F3D40453-295F-4F96-A9FE-C7BF675D9F13}" id="{A3EA189A-8C2D-466A-92CF-88755F03C8E5}">
    <text>=Dref, Te=NA</text>
  </threadedComment>
  <threadedComment ref="L29" dT="2024-06-05T14:59:07.25" personId="{F3D40453-295F-4F96-A9FE-C7BF675D9F13}" id="{B1FFF1BF-D043-4A41-8B27-719EC45AF9FF}">
    <text xml:space="preserve">MA
FC
FC
FC
MA
crust
</text>
  </threadedComment>
  <threadedComment ref="T30" dT="2024-06-05T14:59:36.31" personId="{F3D40453-295F-4F96-A9FE-C7BF675D9F13}" id="{F48003B8-D140-4E90-9B5B-4178EA282500}">
    <text xml:space="preserve">Fe,liq
Fe,sol
Fe3S,sol
FeSV,sol
</text>
  </threadedComment>
  <threadedComment ref="H31" dT="2024-04-30T15:19:22.86" personId="{F3D40453-295F-4F96-A9FE-C7BF675D9F13}" id="{C3E5C6F5-5ED5-404B-97BD-E2A7C533B18A}">
    <text>Read from xs=0.05 on Fig3</text>
  </threadedComment>
  <threadedComment ref="J31" dT="2024-04-30T15:24:13.23" personId="{F3D40453-295F-4F96-A9FE-C7BF675D9F13}" id="{8DF685AD-704D-4C77-BEBD-0D63FCCE22B6}">
    <text>Read from Fig2</text>
  </threadedComment>
  <threadedComment ref="L31" dT="2024-06-05T14:59:36.31" personId="{F3D40453-295F-4F96-A9FE-C7BF675D9F13}" id="{76C5837A-6C3B-4CC7-A0A4-9F4A8BEBD2A0}">
    <text xml:space="preserve">Fe,liq
Fe,sol
Fe3S,sol
FeSV,sol
</text>
  </threadedComment>
  <threadedComment ref="J32" dT="2024-04-30T15:24:13.23" personId="{F3D40453-295F-4F96-A9FE-C7BF675D9F13}" id="{4076FCF4-00F1-4557-BF5C-E835DC09D8C3}">
    <text>Read from Fig2</text>
  </threadedComment>
  <threadedComment ref="AB34" dT="2024-06-27T12:50:10.12" personId="{F3D40453-295F-4F96-A9FE-C7BF675D9F13}" id="{388FB68A-BD01-437E-84E8-95E44E0FA41E}">
    <text>Recomputed for ts=Dref from AS2</text>
  </threadedComment>
  <threadedComment ref="W35" dT="2024-06-05T14:52:30.26" personId="{F3D40453-295F-4F96-A9FE-C7BF675D9F13}" id="{726C3CA8-FBDE-4D90-9780-4C5C11281E37}">
    <text>Free var</text>
  </threadedComment>
  <threadedComment ref="T36" dT="2024-06-05T14:59:07.25" personId="{F3D40453-295F-4F96-A9FE-C7BF675D9F13}" id="{62659B77-C5F0-43BE-AE56-F1DB4C81BEC7}">
    <text xml:space="preserve">MA
FC
FC
FC
MA
crust
</text>
  </threadedComment>
  <threadedComment ref="U36" dT="2024-06-27T12:12:15.58" personId="{F3D40453-295F-4F96-A9FE-C7BF675D9F13}" id="{6EAC48A1-DE7E-44BF-A400-14FFD0D6EA9F}">
    <text>=Dref, Te=NA</text>
  </threadedComment>
  <threadedComment ref="AB36" dT="2024-06-05T14:59:07.25" personId="{F3D40453-295F-4F96-A9FE-C7BF675D9F13}" id="{AF0A2A2B-B375-4007-97E0-483D8B1CF039}">
    <text xml:space="preserve">MA
FC
FC
FC
MA
crust
</text>
  </threadedComment>
  <threadedComment ref="AC36" dT="2024-06-27T12:12:15.58" personId="{F3D40453-295F-4F96-A9FE-C7BF675D9F13}" id="{4BFCC566-92E8-4928-8748-52B17BD7C38D}">
    <text>=Dref, Te=NA</text>
  </threadedComment>
  <threadedComment ref="H38" dT="2024-04-30T15:19:22.86" personId="{F3D40453-295F-4F96-A9FE-C7BF675D9F13}" id="{3F4AEE8F-75BB-40DE-B1BF-D0685A1002F9}">
    <text>Read from xs=0.05 on Fig3</text>
  </threadedComment>
  <threadedComment ref="J38" dT="2024-04-30T15:24:13.23" personId="{F3D40453-295F-4F96-A9FE-C7BF675D9F13}" id="{17382DD3-3CC6-4944-922C-7ED195CF53C3}">
    <text>Read from Fig2</text>
  </threadedComment>
  <threadedComment ref="T38" dT="2024-06-05T14:59:36.31" personId="{F3D40453-295F-4F96-A9FE-C7BF675D9F13}" id="{4805467D-952B-41B4-86D7-6B034FCD91D7}">
    <text xml:space="preserve">Fe,liq
Fe,sol
Fe3S,sol
FeSV,sol
</text>
  </threadedComment>
  <threadedComment ref="AB38" dT="2024-06-05T14:59:36.31" personId="{F3D40453-295F-4F96-A9FE-C7BF675D9F13}" id="{A4073D4E-E1DC-44B0-9181-10733F210188}">
    <text xml:space="preserve">Fe,liq
Fe,sol
Fe3S,sol
FeSV,sol
</text>
  </threadedComment>
  <threadedComment ref="J39" dT="2024-04-30T15:24:13.23" personId="{F3D40453-295F-4F96-A9FE-C7BF675D9F13}" id="{7C0DD50C-3623-48FA-84D7-1EF1D30CD771}">
    <text>Read from Fig2</text>
  </threadedComment>
  <threadedComment ref="W43" dT="2024-06-05T14:52:30.26" personId="{F3D40453-295F-4F96-A9FE-C7BF675D9F13}" id="{46C7DEB7-FDA7-4ECC-B5F2-0B6956A449A2}">
    <text>Free var</text>
  </threadedComment>
  <threadedComment ref="T44" dT="2024-06-05T14:59:07.25" personId="{F3D40453-295F-4F96-A9FE-C7BF675D9F13}" id="{7EC2AF2B-D535-47E2-9C1D-2D569E41F041}">
    <text xml:space="preserve">MA
FC
FC
FC
MA
crust
</text>
  </threadedComment>
  <threadedComment ref="U44" dT="2024-06-27T12:12:15.58" personId="{F3D40453-295F-4F96-A9FE-C7BF675D9F13}" id="{79ECA6B1-BECE-413E-9C45-4A24D2644F7E}">
    <text>=Dref, Te=Na</text>
  </threadedComment>
  <threadedComment ref="H45" dT="2024-04-30T15:19:22.86" personId="{F3D40453-295F-4F96-A9FE-C7BF675D9F13}" id="{568C4B86-2216-406C-86BF-93282A9B44DA}">
    <text>Read from xs=0.05 on Fig3</text>
  </threadedComment>
  <threadedComment ref="J45" dT="2024-04-30T15:24:13.23" personId="{F3D40453-295F-4F96-A9FE-C7BF675D9F13}" id="{E53C2281-5DE5-4BAE-9CA8-AA59645AF35A}">
    <text>Read from Fig2</text>
  </threadedComment>
  <threadedComment ref="J46" dT="2024-04-30T15:24:13.23" personId="{F3D40453-295F-4F96-A9FE-C7BF675D9F13}" id="{F64A0414-C080-44D3-BE04-DD130B25B6AF}">
    <text>Read from Fig2</text>
  </threadedComment>
  <threadedComment ref="T46" dT="2024-06-05T14:59:36.31" personId="{F3D40453-295F-4F96-A9FE-C7BF675D9F13}" id="{7DCC7CBF-AB44-4661-B4E3-98FCB5363E48}">
    <text xml:space="preserve">Fe,liq
Fe,sol
Fe3S,sol
FeSV,sol
</text>
  </threadedComment>
  <threadedComment ref="H52" dT="2024-04-30T15:19:22.86" personId="{F3D40453-295F-4F96-A9FE-C7BF675D9F13}" id="{A1E3EE33-FD30-4342-A18D-A907A127862E}">
    <text>Read from xs=0.05 on Fig3</text>
  </threadedComment>
  <threadedComment ref="J53" dT="2024-04-30T15:24:13.23" personId="{F3D40453-295F-4F96-A9FE-C7BF675D9F13}" id="{AAD794F5-F5C5-42BE-A4C0-4E15D7C71744}">
    <text>Read from Fig2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Y7" dT="2024-05-05T09:37:38.06" personId="{F3D40453-295F-4F96-A9FE-C7BF675D9F13}" id="{54E72A52-25C1-4330-9104-CA93D71C58D6}">
    <text>298-1809</text>
  </threadedComment>
  <threadedComment ref="Y9" dT="2024-05-05T09:49:03.80" personId="{F3D40453-295F-4F96-A9FE-C7BF675D9F13}" id="{EEF09B98-7147-47B4-94A4-CEAA29B7207D}">
    <text>598-1463</text>
  </threadedComment>
  <threadedComment ref="Y11" dT="2024-05-05T09:49:03.80" personId="{F3D40453-295F-4F96-A9FE-C7BF675D9F13}" id="{EAA10F0E-4B05-4707-A693-D1880035CE73}">
    <text>598-1463</text>
  </threadedComment>
  <threadedComment ref="AM16" dT="2024-05-05T09:28:58.23" personId="{F3D40453-295F-4F96-A9FE-C7BF675D9F13}" id="{26832CEC-8769-4EE3-87B5-697603AF4495}">
    <text>Fused silica</text>
  </threadedComment>
  <threadedComment ref="Y18" dT="2024-05-05T09:37:38.06" personId="{F3D40453-295F-4F96-A9FE-C7BF675D9F13}" id="{8552E513-5F49-4CF0-ADF0-3CE42568407B}">
    <text>298-1809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sd.jpl.nasa.gov/planets/phys_par.html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ssd.jpl.nasa.gov/planets/phys_par.html" TargetMode="External"/><Relationship Id="rId1" Type="http://schemas.openxmlformats.org/officeDocument/2006/relationships/hyperlink" Target="https://ssd.jpl.nasa.gov/planets/phys_par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pnas.org/doi/full/10.1073/pnas.2119001119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30E3-6480-4A3B-99B7-DBDC59EB106C}">
  <dimension ref="B2:AO56"/>
  <sheetViews>
    <sheetView tabSelected="1" topLeftCell="AH1" zoomScale="87" zoomScaleNormal="235" workbookViewId="0">
      <selection activeCell="AJ5" sqref="AJ5"/>
    </sheetView>
  </sheetViews>
  <sheetFormatPr defaultRowHeight="14.4" x14ac:dyDescent="0.3"/>
  <cols>
    <col min="2" max="2" width="8.88671875" style="16"/>
    <col min="5" max="5" width="8.88671875" style="15"/>
    <col min="7" max="7" width="8.88671875" style="16"/>
    <col min="10" max="10" width="8.88671875" style="15"/>
    <col min="12" max="12" width="8.88671875" style="16"/>
    <col min="18" max="18" width="8.88671875" style="15"/>
    <col min="31" max="31" width="11.33203125" bestFit="1" customWidth="1"/>
  </cols>
  <sheetData>
    <row r="2" spans="2:39" x14ac:dyDescent="0.3">
      <c r="B2" s="14" t="s">
        <v>100</v>
      </c>
      <c r="C2" s="10" t="s">
        <v>101</v>
      </c>
      <c r="G2" s="14" t="s">
        <v>111</v>
      </c>
      <c r="H2" s="11" t="s">
        <v>112</v>
      </c>
      <c r="L2" s="14" t="s">
        <v>128</v>
      </c>
      <c r="T2" s="1" t="s">
        <v>184</v>
      </c>
      <c r="AB2" s="1" t="s">
        <v>201</v>
      </c>
      <c r="AI2" s="1"/>
      <c r="AM2" s="1"/>
    </row>
    <row r="3" spans="2:39" x14ac:dyDescent="0.3">
      <c r="B3" s="14"/>
      <c r="C3" t="s">
        <v>102</v>
      </c>
      <c r="D3" t="s">
        <v>103</v>
      </c>
      <c r="G3" s="14"/>
      <c r="H3" t="s">
        <v>102</v>
      </c>
      <c r="I3" t="s">
        <v>103</v>
      </c>
      <c r="K3" s="1"/>
    </row>
    <row r="4" spans="2:39" x14ac:dyDescent="0.3">
      <c r="B4" s="16" t="s">
        <v>104</v>
      </c>
      <c r="C4">
        <v>2439</v>
      </c>
      <c r="D4">
        <v>1</v>
      </c>
      <c r="G4" s="16" t="s">
        <v>104</v>
      </c>
      <c r="H4">
        <f>2439</f>
        <v>2439</v>
      </c>
      <c r="I4">
        <v>1</v>
      </c>
      <c r="L4" s="14" t="s">
        <v>129</v>
      </c>
      <c r="M4" s="1" t="s">
        <v>130</v>
      </c>
      <c r="N4" s="1" t="s">
        <v>102</v>
      </c>
      <c r="O4" s="1" t="s">
        <v>103</v>
      </c>
      <c r="P4" s="1" t="s">
        <v>131</v>
      </c>
      <c r="Q4" s="1" t="s">
        <v>95</v>
      </c>
      <c r="T4" s="1" t="s">
        <v>194</v>
      </c>
      <c r="U4" s="1" t="s">
        <v>130</v>
      </c>
      <c r="V4" s="1" t="s">
        <v>102</v>
      </c>
      <c r="W4" s="1" t="s">
        <v>103</v>
      </c>
      <c r="X4" s="1" t="s">
        <v>131</v>
      </c>
      <c r="Y4" s="1" t="s">
        <v>95</v>
      </c>
      <c r="AB4" s="1" t="s">
        <v>194</v>
      </c>
      <c r="AC4" s="1" t="s">
        <v>130</v>
      </c>
      <c r="AD4" s="1" t="s">
        <v>102</v>
      </c>
      <c r="AE4" s="1" t="s">
        <v>103</v>
      </c>
      <c r="AF4" s="1" t="s">
        <v>131</v>
      </c>
      <c r="AG4" s="1" t="s">
        <v>95</v>
      </c>
    </row>
    <row r="5" spans="2:39" x14ac:dyDescent="0.3">
      <c r="B5" s="16" t="s">
        <v>105</v>
      </c>
      <c r="C5">
        <f>3302*10^(20)</f>
        <v>3.3019999999999999E+23</v>
      </c>
      <c r="G5" s="16" t="s">
        <v>105</v>
      </c>
      <c r="H5">
        <f>3.302E+23</f>
        <v>3.3019999999999999E+23</v>
      </c>
      <c r="L5" s="16" t="s">
        <v>132</v>
      </c>
      <c r="M5" t="s">
        <v>133</v>
      </c>
      <c r="N5">
        <v>0.33010299999999998</v>
      </c>
      <c r="O5">
        <v>2.0999999999999999E-5</v>
      </c>
      <c r="P5" t="s">
        <v>134</v>
      </c>
      <c r="Q5" t="s">
        <v>135</v>
      </c>
      <c r="R5" s="18" t="s">
        <v>136</v>
      </c>
      <c r="S5" s="12"/>
      <c r="T5" t="s">
        <v>132</v>
      </c>
      <c r="U5" t="s">
        <v>133</v>
      </c>
      <c r="V5">
        <v>0.33010299999999998</v>
      </c>
      <c r="W5">
        <v>2.0999999999999999E-5</v>
      </c>
      <c r="X5" t="s">
        <v>134</v>
      </c>
      <c r="Y5" t="s">
        <v>135</v>
      </c>
      <c r="Z5" s="12" t="s">
        <v>136</v>
      </c>
      <c r="AB5" t="s">
        <v>132</v>
      </c>
      <c r="AC5" t="s">
        <v>133</v>
      </c>
      <c r="AD5">
        <v>0.33010299999999998</v>
      </c>
      <c r="AE5">
        <v>2.0999999999999999E-5</v>
      </c>
      <c r="AF5" t="s">
        <v>134</v>
      </c>
      <c r="AG5" t="s">
        <v>135</v>
      </c>
      <c r="AH5" s="12" t="s">
        <v>136</v>
      </c>
    </row>
    <row r="6" spans="2:39" x14ac:dyDescent="0.3">
      <c r="B6" s="16" t="s">
        <v>106</v>
      </c>
      <c r="C6">
        <v>5430</v>
      </c>
      <c r="D6">
        <v>10</v>
      </c>
      <c r="G6" s="16" t="s">
        <v>106</v>
      </c>
      <c r="H6">
        <v>5434</v>
      </c>
      <c r="L6" s="16" t="s">
        <v>137</v>
      </c>
      <c r="M6" t="s">
        <v>138</v>
      </c>
      <c r="N6">
        <v>2439.4</v>
      </c>
      <c r="O6">
        <v>0.1</v>
      </c>
      <c r="P6" t="s">
        <v>139</v>
      </c>
      <c r="Q6" t="s">
        <v>140</v>
      </c>
      <c r="T6" t="s">
        <v>137</v>
      </c>
      <c r="U6" t="s">
        <v>138</v>
      </c>
      <c r="V6">
        <v>2439.4</v>
      </c>
      <c r="W6">
        <v>0.1</v>
      </c>
      <c r="X6" t="s">
        <v>139</v>
      </c>
      <c r="Y6" t="s">
        <v>140</v>
      </c>
      <c r="AB6" t="s">
        <v>137</v>
      </c>
      <c r="AC6" t="s">
        <v>138</v>
      </c>
      <c r="AD6">
        <v>2439.4</v>
      </c>
      <c r="AE6">
        <v>0.1</v>
      </c>
      <c r="AF6" t="s">
        <v>139</v>
      </c>
      <c r="AG6" t="s">
        <v>140</v>
      </c>
    </row>
    <row r="7" spans="2:39" x14ac:dyDescent="0.3">
      <c r="B7" s="16" t="s">
        <v>107</v>
      </c>
      <c r="G7" s="16" t="s">
        <v>107</v>
      </c>
      <c r="L7" s="16" t="s">
        <v>141</v>
      </c>
      <c r="M7" t="s">
        <v>142</v>
      </c>
      <c r="N7">
        <v>0.34599999999999997</v>
      </c>
      <c r="O7">
        <v>1.4E-2</v>
      </c>
      <c r="P7" s="13" t="s">
        <v>143</v>
      </c>
      <c r="Q7" t="s">
        <v>144</v>
      </c>
      <c r="T7" t="s">
        <v>141</v>
      </c>
      <c r="U7" t="s">
        <v>142</v>
      </c>
      <c r="V7">
        <v>0.34599999999999997</v>
      </c>
      <c r="W7">
        <v>1.4E-2</v>
      </c>
      <c r="X7" s="13" t="s">
        <v>143</v>
      </c>
      <c r="Y7" t="s">
        <v>144</v>
      </c>
      <c r="AB7" t="s">
        <v>141</v>
      </c>
      <c r="AC7" t="s">
        <v>142</v>
      </c>
      <c r="AD7">
        <v>0.34599999999999997</v>
      </c>
      <c r="AE7">
        <v>1.4E-2</v>
      </c>
      <c r="AF7" s="13" t="s">
        <v>143</v>
      </c>
      <c r="AG7" t="s">
        <v>144</v>
      </c>
    </row>
    <row r="8" spans="2:39" x14ac:dyDescent="0.3">
      <c r="B8" s="16" t="s">
        <v>108</v>
      </c>
      <c r="C8">
        <f>-0.00006</f>
        <v>-6.0000000000000002E-5</v>
      </c>
      <c r="D8">
        <f>0.00002</f>
        <v>2.0000000000000002E-5</v>
      </c>
      <c r="G8" s="16" t="s">
        <v>108</v>
      </c>
      <c r="L8" s="16" t="s">
        <v>185</v>
      </c>
      <c r="M8" t="s">
        <v>145</v>
      </c>
      <c r="N8">
        <v>0.43099999999999999</v>
      </c>
      <c r="O8">
        <v>2.5000000000000001E-2</v>
      </c>
      <c r="P8" s="13" t="s">
        <v>143</v>
      </c>
      <c r="Q8" t="s">
        <v>144</v>
      </c>
      <c r="T8" t="s">
        <v>185</v>
      </c>
      <c r="U8" t="s">
        <v>145</v>
      </c>
      <c r="V8">
        <v>0.43099999999999999</v>
      </c>
      <c r="W8">
        <v>2.5000000000000001E-2</v>
      </c>
      <c r="X8" s="13" t="s">
        <v>143</v>
      </c>
      <c r="Y8" t="s">
        <v>144</v>
      </c>
      <c r="AB8" t="s">
        <v>185</v>
      </c>
      <c r="AC8" t="s">
        <v>145</v>
      </c>
      <c r="AD8">
        <v>0.43099999999999999</v>
      </c>
      <c r="AE8">
        <v>2.5000000000000001E-2</v>
      </c>
      <c r="AF8" s="13" t="s">
        <v>143</v>
      </c>
      <c r="AG8" t="s">
        <v>144</v>
      </c>
    </row>
    <row r="9" spans="2:39" x14ac:dyDescent="0.3">
      <c r="B9" s="16" t="s">
        <v>109</v>
      </c>
      <c r="C9">
        <f>0.00001</f>
        <v>1.0000000000000001E-5</v>
      </c>
      <c r="D9">
        <f>0.000005</f>
        <v>5.0000000000000004E-6</v>
      </c>
      <c r="G9" s="16" t="s">
        <v>109</v>
      </c>
      <c r="AC9" t="s">
        <v>218</v>
      </c>
      <c r="AD9">
        <v>1.22</v>
      </c>
      <c r="AG9" t="s">
        <v>231</v>
      </c>
    </row>
    <row r="10" spans="2:39" x14ac:dyDescent="0.3">
      <c r="B10" s="16" t="s">
        <v>110</v>
      </c>
      <c r="C10">
        <v>58.6462</v>
      </c>
      <c r="G10" s="16" t="s">
        <v>110</v>
      </c>
      <c r="L10" s="14" t="s">
        <v>129</v>
      </c>
      <c r="M10" s="1" t="s">
        <v>130</v>
      </c>
      <c r="N10" s="1" t="s">
        <v>146</v>
      </c>
      <c r="O10" s="1" t="s">
        <v>147</v>
      </c>
      <c r="P10" s="1" t="s">
        <v>131</v>
      </c>
      <c r="Q10" s="1" t="s">
        <v>95</v>
      </c>
      <c r="T10" s="1" t="s">
        <v>202</v>
      </c>
      <c r="AC10" t="s">
        <v>219</v>
      </c>
      <c r="AD10">
        <v>0.8</v>
      </c>
      <c r="AG10" t="s">
        <v>231</v>
      </c>
    </row>
    <row r="11" spans="2:39" x14ac:dyDescent="0.3">
      <c r="L11" s="16" t="s">
        <v>148</v>
      </c>
      <c r="M11" t="s">
        <v>149</v>
      </c>
      <c r="N11">
        <v>2900</v>
      </c>
      <c r="O11">
        <v>3300</v>
      </c>
      <c r="P11" t="s">
        <v>150</v>
      </c>
      <c r="Q11">
        <v>4</v>
      </c>
      <c r="AC11" t="s">
        <v>220</v>
      </c>
      <c r="AD11">
        <v>0.54</v>
      </c>
      <c r="AG11" t="s">
        <v>231</v>
      </c>
    </row>
    <row r="12" spans="2:39" x14ac:dyDescent="0.3">
      <c r="L12" s="16" t="s">
        <v>151</v>
      </c>
      <c r="M12" t="s">
        <v>152</v>
      </c>
      <c r="N12">
        <v>50</v>
      </c>
      <c r="O12">
        <v>200</v>
      </c>
      <c r="P12" t="s">
        <v>139</v>
      </c>
      <c r="Q12" t="s">
        <v>153</v>
      </c>
      <c r="AC12" t="s">
        <v>221</v>
      </c>
      <c r="AD12">
        <v>0.65</v>
      </c>
      <c r="AG12" t="s">
        <v>231</v>
      </c>
    </row>
    <row r="13" spans="2:39" x14ac:dyDescent="0.3">
      <c r="L13" s="16" t="s">
        <v>154</v>
      </c>
      <c r="M13" t="s">
        <v>155</v>
      </c>
      <c r="N13">
        <v>2350</v>
      </c>
      <c r="O13">
        <v>2550</v>
      </c>
      <c r="P13" t="s">
        <v>156</v>
      </c>
      <c r="Q13" t="s">
        <v>157</v>
      </c>
      <c r="AC13" t="s">
        <v>222</v>
      </c>
      <c r="AD13">
        <v>0.36</v>
      </c>
      <c r="AG13" t="s">
        <v>231</v>
      </c>
    </row>
    <row r="14" spans="2:39" x14ac:dyDescent="0.3">
      <c r="B14" s="14" t="s">
        <v>189</v>
      </c>
      <c r="C14" s="1" t="s">
        <v>104</v>
      </c>
      <c r="D14" t="s">
        <v>113</v>
      </c>
      <c r="E14" s="15" t="s">
        <v>106</v>
      </c>
      <c r="G14" s="14" t="s">
        <v>186</v>
      </c>
      <c r="H14" t="s">
        <v>104</v>
      </c>
      <c r="I14" t="s">
        <v>113</v>
      </c>
      <c r="J14" s="15" t="s">
        <v>106</v>
      </c>
      <c r="L14" s="16" t="s">
        <v>158</v>
      </c>
      <c r="M14" t="s">
        <v>155</v>
      </c>
      <c r="N14">
        <f>N13</f>
        <v>2350</v>
      </c>
      <c r="O14">
        <f>O13</f>
        <v>2550</v>
      </c>
      <c r="P14" t="s">
        <v>156</v>
      </c>
      <c r="Q14" t="s">
        <v>159</v>
      </c>
    </row>
    <row r="15" spans="2:39" x14ac:dyDescent="0.3">
      <c r="B15" s="16" t="s">
        <v>114</v>
      </c>
      <c r="C15">
        <v>2440</v>
      </c>
      <c r="D15">
        <v>0</v>
      </c>
      <c r="E15" s="15">
        <v>0</v>
      </c>
      <c r="G15" s="16" t="s">
        <v>114</v>
      </c>
      <c r="H15">
        <v>2439</v>
      </c>
      <c r="J15" s="15">
        <v>0</v>
      </c>
      <c r="L15" s="16" t="s">
        <v>160</v>
      </c>
      <c r="M15" t="s">
        <v>161</v>
      </c>
      <c r="N15">
        <v>1600</v>
      </c>
      <c r="O15">
        <v>2000</v>
      </c>
      <c r="P15" t="s">
        <v>156</v>
      </c>
      <c r="Q15" t="s">
        <v>162</v>
      </c>
      <c r="AB15" s="1" t="s">
        <v>195</v>
      </c>
      <c r="AC15" s="1" t="s">
        <v>130</v>
      </c>
      <c r="AD15" s="1" t="s">
        <v>102</v>
      </c>
      <c r="AE15" s="1" t="s">
        <v>103</v>
      </c>
      <c r="AF15" s="1" t="s">
        <v>131</v>
      </c>
      <c r="AG15" s="1" t="s">
        <v>95</v>
      </c>
    </row>
    <row r="16" spans="2:39" x14ac:dyDescent="0.3">
      <c r="B16" s="16" t="s">
        <v>67</v>
      </c>
      <c r="C16" s="1">
        <v>1860</v>
      </c>
      <c r="D16">
        <v>7.5</v>
      </c>
      <c r="E16" s="15">
        <v>3350</v>
      </c>
      <c r="G16" s="16" t="s">
        <v>116</v>
      </c>
      <c r="H16" s="4">
        <f>H15-100</f>
        <v>2339</v>
      </c>
      <c r="J16" s="15" t="s">
        <v>120</v>
      </c>
      <c r="L16" s="16" t="s">
        <v>163</v>
      </c>
      <c r="M16" t="s">
        <v>164</v>
      </c>
      <c r="N16">
        <v>-180</v>
      </c>
      <c r="O16">
        <v>430</v>
      </c>
      <c r="P16" t="s">
        <v>165</v>
      </c>
      <c r="Q16" t="s">
        <v>166</v>
      </c>
      <c r="R16" s="15" t="s">
        <v>167</v>
      </c>
      <c r="AB16" t="s">
        <v>198</v>
      </c>
      <c r="AC16" t="s">
        <v>156</v>
      </c>
      <c r="AD16">
        <f>10^5</f>
        <v>100000</v>
      </c>
      <c r="AF16" t="s">
        <v>199</v>
      </c>
      <c r="AG16" t="s">
        <v>200</v>
      </c>
    </row>
    <row r="17" spans="2:41" x14ac:dyDescent="0.3">
      <c r="B17" s="16" t="s">
        <v>115</v>
      </c>
      <c r="C17">
        <v>0</v>
      </c>
      <c r="D17">
        <v>39</v>
      </c>
      <c r="E17" s="15">
        <v>8000</v>
      </c>
      <c r="G17" s="16" t="s">
        <v>67</v>
      </c>
      <c r="H17" t="s">
        <v>121</v>
      </c>
      <c r="N17">
        <f>N16+273.15</f>
        <v>93.149999999999977</v>
      </c>
      <c r="O17">
        <f>O16+273.15</f>
        <v>703.15</v>
      </c>
      <c r="AB17" t="s">
        <v>212</v>
      </c>
      <c r="AC17" t="s">
        <v>210</v>
      </c>
      <c r="AD17">
        <v>3.3</v>
      </c>
      <c r="AF17" t="s">
        <v>211</v>
      </c>
      <c r="AG17" t="s">
        <v>200</v>
      </c>
    </row>
    <row r="18" spans="2:41" x14ac:dyDescent="0.3">
      <c r="G18" s="16" t="s">
        <v>122</v>
      </c>
      <c r="H18" s="1">
        <v>1790</v>
      </c>
      <c r="T18" s="1" t="s">
        <v>204</v>
      </c>
      <c r="U18" t="s">
        <v>191</v>
      </c>
      <c r="V18" t="s">
        <v>113</v>
      </c>
      <c r="W18" t="s">
        <v>92</v>
      </c>
      <c r="X18" t="s">
        <v>192</v>
      </c>
      <c r="Y18" t="s">
        <v>183</v>
      </c>
      <c r="AB18" t="s">
        <v>196</v>
      </c>
      <c r="AC18" t="s">
        <v>213</v>
      </c>
      <c r="AD18">
        <f>10^18</f>
        <v>1E+18</v>
      </c>
      <c r="AF18" t="s">
        <v>214</v>
      </c>
      <c r="AG18" t="s">
        <v>200</v>
      </c>
    </row>
    <row r="19" spans="2:41" x14ac:dyDescent="0.3">
      <c r="G19" s="16" t="s">
        <v>119</v>
      </c>
      <c r="H19">
        <v>0</v>
      </c>
      <c r="J19" s="17">
        <v>8000</v>
      </c>
      <c r="L19" s="14" t="s">
        <v>188</v>
      </c>
      <c r="M19" t="s">
        <v>104</v>
      </c>
      <c r="N19" t="s">
        <v>113</v>
      </c>
      <c r="O19" t="s">
        <v>106</v>
      </c>
      <c r="T19" t="s">
        <v>71</v>
      </c>
      <c r="U19">
        <v>0</v>
      </c>
      <c r="V19">
        <v>0</v>
      </c>
      <c r="W19">
        <f>AVERAGE(2900,3100)</f>
        <v>3000</v>
      </c>
      <c r="X19">
        <v>398.15</v>
      </c>
      <c r="Y19">
        <f>VLOOKUP($T19,MatExport[#All],7,FALSE)
+VLOOKUP($T19,MatExport[#All],5,FALSE)*($M$34/100)
+VLOOKUP($T19,MatExport[#All],6,FALSE)*($M$34/100)^2</f>
        <v>120</v>
      </c>
      <c r="AB19" t="s">
        <v>215</v>
      </c>
      <c r="AC19" t="s">
        <v>216</v>
      </c>
      <c r="AD19">
        <v>70</v>
      </c>
      <c r="AF19" t="s">
        <v>211</v>
      </c>
      <c r="AG19" t="s">
        <v>200</v>
      </c>
    </row>
    <row r="20" spans="2:41" x14ac:dyDescent="0.3">
      <c r="B20" s="14" t="s">
        <v>190</v>
      </c>
      <c r="C20" s="1" t="s">
        <v>104</v>
      </c>
      <c r="D20" t="s">
        <v>113</v>
      </c>
      <c r="E20" s="15" t="s">
        <v>106</v>
      </c>
      <c r="L20" s="16" t="s">
        <v>114</v>
      </c>
      <c r="M20" t="str">
        <f>M13</f>
        <v>T_core</v>
      </c>
      <c r="O20">
        <v>0</v>
      </c>
      <c r="T20" t="s">
        <v>89</v>
      </c>
      <c r="U20" s="1">
        <v>43.1</v>
      </c>
      <c r="V20">
        <v>1.4930000000000001</v>
      </c>
      <c r="W20">
        <f>VLOOKUP(T20,MatExport[],4,FALSE)</f>
        <v>3307.6</v>
      </c>
      <c r="X20">
        <v>1099.75</v>
      </c>
      <c r="Y20">
        <f>VLOOKUP($T20,MatExport[#All],7,FALSE)
+VLOOKUP($T20,MatExport[#All],5,FALSE)*($M$34/100)
+VLOOKUP($T20,MatExport[#All],6,FALSE)*($M$34/100)^2</f>
        <v>129.89999999999998</v>
      </c>
      <c r="AB20" t="s">
        <v>197</v>
      </c>
      <c r="AC20" t="s">
        <v>217</v>
      </c>
      <c r="AD20">
        <f>10^20</f>
        <v>1E+20</v>
      </c>
      <c r="AF20" t="s">
        <v>214</v>
      </c>
      <c r="AG20" t="s">
        <v>200</v>
      </c>
    </row>
    <row r="21" spans="2:41" x14ac:dyDescent="0.3">
      <c r="B21" s="16" t="s">
        <v>114</v>
      </c>
      <c r="C21">
        <v>2440</v>
      </c>
      <c r="D21">
        <v>0</v>
      </c>
      <c r="E21" s="15">
        <v>0</v>
      </c>
      <c r="G21" s="14" t="s">
        <v>123</v>
      </c>
      <c r="H21" t="s">
        <v>104</v>
      </c>
      <c r="I21" t="s">
        <v>113</v>
      </c>
      <c r="J21" s="15" t="s">
        <v>106</v>
      </c>
      <c r="L21" s="16" t="s">
        <v>116</v>
      </c>
      <c r="M21" t="str">
        <f>M14</f>
        <v>T_core</v>
      </c>
      <c r="O21">
        <v>2900</v>
      </c>
      <c r="T21" t="s">
        <v>85</v>
      </c>
      <c r="U21">
        <f>VLOOKUP(_xlfn.CONCAT($L$31,$L$29),AS1Model2!$A$1:$L$17,5,FALSE)</f>
        <v>2011.0545999999999</v>
      </c>
      <c r="V21">
        <v>2.4287999999999998</v>
      </c>
      <c r="W21">
        <f>VLOOKUP(T21,MatExport[],4,FALSE)</f>
        <v>7019</v>
      </c>
      <c r="X21">
        <v>1800</v>
      </c>
      <c r="Y21">
        <f>VLOOKUP($T21,MatExport[#All],7,FALSE)
+VLOOKUP($T21,MatExport[#All],5,FALSE)*($M$34/100)
+VLOOKUP($T21,MatExport[#All],6,FALSE)*($M$34/100)^2</f>
        <v>-862.70086415590015</v>
      </c>
    </row>
    <row r="22" spans="2:41" x14ac:dyDescent="0.3">
      <c r="B22" s="16" t="s">
        <v>116</v>
      </c>
      <c r="C22" t="s">
        <v>117</v>
      </c>
      <c r="E22" s="15">
        <v>3590</v>
      </c>
      <c r="G22" s="16" t="s">
        <v>114</v>
      </c>
      <c r="H22">
        <f>H15</f>
        <v>2439</v>
      </c>
      <c r="J22" s="15">
        <v>0</v>
      </c>
      <c r="L22" s="16" t="s">
        <v>67</v>
      </c>
      <c r="M22" s="10">
        <v>2011.0545999999999</v>
      </c>
      <c r="O22">
        <v>3400</v>
      </c>
      <c r="T22" t="s">
        <v>55</v>
      </c>
      <c r="U22">
        <f>VLOOKUP(_xlfn.CONCAT($L$31,$L$29),AS1Model2!$A$1:$L$17,4,FALSE)</f>
        <v>1342.6297999999999</v>
      </c>
      <c r="V22">
        <v>21.718399999999999</v>
      </c>
      <c r="W22">
        <f>VLOOKUP(T22,MatExport[],4,FALSE)</f>
        <v>7225</v>
      </c>
      <c r="X22">
        <v>2450</v>
      </c>
      <c r="Y22">
        <f>VLOOKUP($T22,MatExport[#All],7,FALSE)
+VLOOKUP($T22,MatExport[#All],5,FALSE)*($M$34/100)
+VLOOKUP($T22,MatExport[#All],6,FALSE)*($M$34/100)^2</f>
        <v>127</v>
      </c>
      <c r="AB22" s="1" t="s">
        <v>202</v>
      </c>
      <c r="AC22" s="1" t="s">
        <v>234</v>
      </c>
      <c r="AD22" s="1" t="s">
        <v>103</v>
      </c>
      <c r="AE22" s="1" t="s">
        <v>235</v>
      </c>
      <c r="AF22" s="1" t="s">
        <v>103</v>
      </c>
      <c r="AG22" s="1" t="s">
        <v>95</v>
      </c>
    </row>
    <row r="23" spans="2:41" x14ac:dyDescent="0.3">
      <c r="B23" s="16" t="s">
        <v>118</v>
      </c>
      <c r="C23">
        <f>0.7*C21</f>
        <v>1708</v>
      </c>
      <c r="E23" s="15">
        <v>5450</v>
      </c>
      <c r="G23" s="16" t="s">
        <v>116</v>
      </c>
      <c r="H23">
        <f>H16</f>
        <v>2339</v>
      </c>
      <c r="J23" s="15">
        <v>2900</v>
      </c>
      <c r="L23" s="16" t="s">
        <v>122</v>
      </c>
      <c r="M23" s="10">
        <v>1342.6297999999999</v>
      </c>
      <c r="N23" s="10">
        <v>4.3327999999999998</v>
      </c>
      <c r="O23">
        <v>3700</v>
      </c>
      <c r="T23" t="s">
        <v>180</v>
      </c>
      <c r="U23">
        <f>2439.4</f>
        <v>2439.4</v>
      </c>
      <c r="V23">
        <v>34.403199999999998</v>
      </c>
      <c r="W23" t="s">
        <v>182</v>
      </c>
      <c r="X23">
        <v>2450</v>
      </c>
      <c r="Y23" t="s">
        <v>182</v>
      </c>
      <c r="AC23">
        <v>0.44</v>
      </c>
      <c r="AD23" t="s">
        <v>182</v>
      </c>
      <c r="AE23">
        <v>0.8</v>
      </c>
      <c r="AF23" t="s">
        <v>182</v>
      </c>
      <c r="AG23" t="s">
        <v>231</v>
      </c>
    </row>
    <row r="24" spans="2:41" x14ac:dyDescent="0.3">
      <c r="B24" s="16" t="s">
        <v>119</v>
      </c>
      <c r="C24">
        <v>0</v>
      </c>
      <c r="E24" s="15">
        <v>8000</v>
      </c>
      <c r="G24" s="16" t="s">
        <v>67</v>
      </c>
      <c r="H24">
        <v>2040</v>
      </c>
      <c r="J24" s="15">
        <v>3400</v>
      </c>
      <c r="L24" s="16" t="s">
        <v>119</v>
      </c>
      <c r="M24">
        <v>0</v>
      </c>
      <c r="N24" s="11">
        <v>35.403199999999998</v>
      </c>
      <c r="O24">
        <f>O17</f>
        <v>703.15</v>
      </c>
      <c r="T24" t="s">
        <v>178</v>
      </c>
      <c r="U24">
        <f>VLOOKUP(_xlfn.CONCAT($L$31,$L$29),AS1Model2!$A$1:$L$17,6,FALSE)</f>
        <v>5.1595000000000004</v>
      </c>
      <c r="V24" t="s">
        <v>179</v>
      </c>
      <c r="AC24">
        <v>0.45100000000000001</v>
      </c>
      <c r="AD24">
        <v>1.4E-2</v>
      </c>
      <c r="AG24" t="s">
        <v>223</v>
      </c>
    </row>
    <row r="25" spans="2:41" x14ac:dyDescent="0.3">
      <c r="G25" s="16" t="s">
        <v>122</v>
      </c>
      <c r="H25">
        <f>H18</f>
        <v>1790</v>
      </c>
      <c r="J25" s="15">
        <v>3700</v>
      </c>
      <c r="AJ25" t="s">
        <v>232</v>
      </c>
      <c r="AO25" t="s">
        <v>233</v>
      </c>
    </row>
    <row r="26" spans="2:41" x14ac:dyDescent="0.3">
      <c r="G26" s="16" t="s">
        <v>119</v>
      </c>
      <c r="H26">
        <v>0</v>
      </c>
      <c r="J26" s="15">
        <f>J19</f>
        <v>8000</v>
      </c>
      <c r="T26" s="1" t="s">
        <v>203</v>
      </c>
      <c r="U26" t="s">
        <v>191</v>
      </c>
      <c r="V26" t="s">
        <v>113</v>
      </c>
      <c r="W26" t="s">
        <v>92</v>
      </c>
      <c r="X26" t="s">
        <v>192</v>
      </c>
      <c r="Y26" t="s">
        <v>183</v>
      </c>
      <c r="AC26">
        <f>AVERAGE(0.3,0.45)</f>
        <v>0.375</v>
      </c>
      <c r="AD26">
        <f>(0.45-0.3)/2</f>
        <v>7.5000000000000011E-2</v>
      </c>
      <c r="AE26">
        <f>AVERAGE(0.6,0.8)</f>
        <v>0.7</v>
      </c>
      <c r="AF26">
        <f>(0.8-0.6)/2</f>
        <v>0.10000000000000003</v>
      </c>
      <c r="AG26" t="s">
        <v>239</v>
      </c>
    </row>
    <row r="27" spans="2:41" x14ac:dyDescent="0.3">
      <c r="L27" s="14" t="s">
        <v>187</v>
      </c>
      <c r="M27" t="s">
        <v>104</v>
      </c>
      <c r="N27" t="s">
        <v>113</v>
      </c>
      <c r="O27" t="s">
        <v>106</v>
      </c>
      <c r="P27" t="s">
        <v>181</v>
      </c>
      <c r="Q27" t="s">
        <v>183</v>
      </c>
      <c r="T27" t="s">
        <v>71</v>
      </c>
      <c r="U27">
        <v>0</v>
      </c>
      <c r="V27">
        <v>0</v>
      </c>
      <c r="W27">
        <f>AVERAGE(2900,3100)</f>
        <v>3000</v>
      </c>
      <c r="X27">
        <v>398.15</v>
      </c>
      <c r="Y27">
        <f>VLOOKUP($T27,MatExport[#All],7,FALSE)
+VLOOKUP($T27,MatExport[#All],5,FALSE)*($M$34/100)
+VLOOKUP($T27,MatExport[#All],6,FALSE)*($M$34/100)^2</f>
        <v>120</v>
      </c>
      <c r="AC27">
        <f>AVERAGE(0.3,0.4)</f>
        <v>0.35</v>
      </c>
      <c r="AD27">
        <f>(0.4-0)/2</f>
        <v>0.2</v>
      </c>
      <c r="AG27" t="s">
        <v>238</v>
      </c>
    </row>
    <row r="28" spans="2:41" x14ac:dyDescent="0.3">
      <c r="G28" s="14" t="s">
        <v>124</v>
      </c>
      <c r="H28" t="s">
        <v>104</v>
      </c>
      <c r="I28" t="s">
        <v>113</v>
      </c>
      <c r="J28" s="15" t="s">
        <v>106</v>
      </c>
      <c r="L28" s="16" t="s">
        <v>71</v>
      </c>
      <c r="M28">
        <v>0</v>
      </c>
      <c r="N28">
        <v>0</v>
      </c>
      <c r="O28">
        <f>AVERAGE(2900,3100)</f>
        <v>3000</v>
      </c>
      <c r="P28">
        <v>398.15</v>
      </c>
      <c r="Q28">
        <f>VLOOKUP(L28,MatExport[#All],7,FALSE)
+VLOOKUP(L28,MatExport[#All],5,FALSE)*($M$34/100)
+VLOOKUP(L28,MatExport[#All],6,FALSE)*($M$34/100)^2</f>
        <v>120</v>
      </c>
      <c r="T28" t="s">
        <v>89</v>
      </c>
      <c r="U28" s="1">
        <v>108.43</v>
      </c>
      <c r="V28">
        <v>1.4930000000000001</v>
      </c>
      <c r="W28">
        <f>VLOOKUP(T28,MatExport[],4,FALSE)</f>
        <v>3307.6</v>
      </c>
      <c r="X28">
        <v>1099.75</v>
      </c>
      <c r="Y28">
        <f>VLOOKUP($T28,MatExport[#All],7,FALSE)
+VLOOKUP($T28,MatExport[#All],5,FALSE)*($M$34/100)
+VLOOKUP($T28,MatExport[#All],6,FALSE)*($M$34/100)^2</f>
        <v>129.89999999999998</v>
      </c>
      <c r="AC28">
        <f>AVERAGE(0.25,0.75)</f>
        <v>0.5</v>
      </c>
      <c r="AD28">
        <f>(0.75-0.25)/2</f>
        <v>0.25</v>
      </c>
      <c r="AE28">
        <f>AVERAGE(0.5,1.3)</f>
        <v>0.9</v>
      </c>
      <c r="AF28">
        <f>(1.3-0.5)/2</f>
        <v>0.4</v>
      </c>
      <c r="AG28" t="s">
        <v>237</v>
      </c>
    </row>
    <row r="29" spans="2:41" x14ac:dyDescent="0.3">
      <c r="G29" s="16" t="s">
        <v>114</v>
      </c>
      <c r="H29">
        <f>H22</f>
        <v>2439</v>
      </c>
      <c r="J29" s="15">
        <v>0</v>
      </c>
      <c r="L29" s="16" t="s">
        <v>89</v>
      </c>
      <c r="M29">
        <f>AVERAGE(50,200)</f>
        <v>125</v>
      </c>
      <c r="N29">
        <v>1.4930000000000001</v>
      </c>
      <c r="O29">
        <f>VLOOKUP(L29,MatExport[],4,FALSE)</f>
        <v>3307.6</v>
      </c>
      <c r="P29">
        <v>1099.75</v>
      </c>
      <c r="Q29">
        <f>VLOOKUP(L29,MatExport[#All],7,FALSE)
+VLOOKUP(L29,MatExport[#All],5,FALSE)*($M$34/100)
+VLOOKUP(L29,MatExport[#All],6,FALSE)*($M$34/100)^2</f>
        <v>129.89999999999998</v>
      </c>
      <c r="T29" t="s">
        <v>85</v>
      </c>
      <c r="U29">
        <f>VLOOKUP(_xlfn.CONCAT($L$31,$L$29),AS1Model2!$A$1:$L$17,5,FALSE)</f>
        <v>2011.0545999999999</v>
      </c>
      <c r="V29">
        <v>2.4287999999999998</v>
      </c>
      <c r="W29">
        <f>VLOOKUP(T29,MatExport[],4,FALSE)</f>
        <v>7019</v>
      </c>
      <c r="X29">
        <v>1800</v>
      </c>
      <c r="Y29">
        <f>VLOOKUP($T29,MatExport[#All],7,FALSE)
+VLOOKUP($T29,MatExport[#All],5,FALSE)*($M$34/100)
+VLOOKUP($T29,MatExport[#All],6,FALSE)*($M$34/100)^2</f>
        <v>-862.70086415590015</v>
      </c>
      <c r="AC29">
        <f>AVERAGE(0.4,0.425)</f>
        <v>0.41249999999999998</v>
      </c>
      <c r="AD29">
        <f>(0.425-0.4)/2</f>
        <v>1.2499999999999983E-2</v>
      </c>
      <c r="AE29">
        <f>AVERAGE(0.75,0.9)</f>
        <v>0.82499999999999996</v>
      </c>
      <c r="AF29">
        <f>(0.9-0.75)/2</f>
        <v>7.5000000000000011E-2</v>
      </c>
      <c r="AG29" t="s">
        <v>236</v>
      </c>
    </row>
    <row r="30" spans="2:41" x14ac:dyDescent="0.3">
      <c r="G30" s="16" t="s">
        <v>116</v>
      </c>
      <c r="H30">
        <f>H23</f>
        <v>2339</v>
      </c>
      <c r="J30" s="15">
        <v>2900</v>
      </c>
      <c r="L30" s="16" t="s">
        <v>85</v>
      </c>
      <c r="M30">
        <f>VLOOKUP(_xlfn.CONCAT($L$31,$L$29),AS1Model2!$A$1:$L$17,5,FALSE)</f>
        <v>2011.0545999999999</v>
      </c>
      <c r="N30">
        <v>2.4287999999999998</v>
      </c>
      <c r="O30">
        <f>VLOOKUP(L30,MatExport[],4,FALSE)</f>
        <v>7019</v>
      </c>
      <c r="P30">
        <v>1800</v>
      </c>
      <c r="Q30">
        <f>VLOOKUP(L30,MatExport[#All],7,FALSE)
+VLOOKUP(L30,MatExport[#All],5,FALSE)*($M$34/100)
+VLOOKUP(L30,MatExport[#All],6,FALSE)*($M$34/100)^2</f>
        <v>-862.70086415590015</v>
      </c>
      <c r="T30" t="s">
        <v>55</v>
      </c>
      <c r="U30">
        <f>VLOOKUP(_xlfn.CONCAT($L$31,$L$29),AS1Model2!$A$1:$L$17,4,FALSE)</f>
        <v>1342.6297999999999</v>
      </c>
      <c r="V30">
        <v>21.718399999999999</v>
      </c>
      <c r="W30">
        <f>VLOOKUP(T30,MatExport[],4,FALSE)</f>
        <v>7225</v>
      </c>
      <c r="X30">
        <v>2450</v>
      </c>
      <c r="Y30">
        <f>VLOOKUP($T30,MatExport[#All],7,FALSE)
+VLOOKUP($T30,MatExport[#All],5,FALSE)*($M$34/100)
+VLOOKUP($T30,MatExport[#All],6,FALSE)*($M$34/100)^2</f>
        <v>127</v>
      </c>
    </row>
    <row r="31" spans="2:41" x14ac:dyDescent="0.3">
      <c r="G31" s="16" t="s">
        <v>67</v>
      </c>
      <c r="H31">
        <v>2050</v>
      </c>
      <c r="J31" s="15">
        <v>3320</v>
      </c>
      <c r="L31" s="16" t="s">
        <v>55</v>
      </c>
      <c r="M31">
        <f>VLOOKUP(_xlfn.CONCAT($L$31,$L$29),AS1Model2!$A$1:$L$17,4,FALSE)</f>
        <v>1342.6297999999999</v>
      </c>
      <c r="N31">
        <v>21.718399999999999</v>
      </c>
      <c r="O31">
        <f>VLOOKUP(L31,MatExport[],4,FALSE)</f>
        <v>7225</v>
      </c>
      <c r="P31">
        <v>2450</v>
      </c>
      <c r="Q31">
        <f>VLOOKUP(L31,MatExport[#All],7,FALSE)
+VLOOKUP(L31,MatExport[#All],5,FALSE)*($M$34/100)
+VLOOKUP(L31,MatExport[#All],6,FALSE)*($M$34/100)^2</f>
        <v>127</v>
      </c>
      <c r="T31" t="s">
        <v>180</v>
      </c>
      <c r="U31">
        <f>2439.4</f>
        <v>2439.4</v>
      </c>
      <c r="V31">
        <v>34.403199999999998</v>
      </c>
      <c r="W31" t="s">
        <v>182</v>
      </c>
      <c r="X31">
        <v>2450</v>
      </c>
      <c r="Y31" t="s">
        <v>182</v>
      </c>
    </row>
    <row r="32" spans="2:41" x14ac:dyDescent="0.3">
      <c r="G32" s="16" t="s">
        <v>122</v>
      </c>
      <c r="H32">
        <f>H25</f>
        <v>1790</v>
      </c>
      <c r="J32" s="15">
        <v>3420</v>
      </c>
      <c r="L32" s="16" t="s">
        <v>180</v>
      </c>
      <c r="M32">
        <f>2439.4</f>
        <v>2439.4</v>
      </c>
      <c r="N32">
        <v>34.403199999999998</v>
      </c>
      <c r="O32" t="s">
        <v>182</v>
      </c>
      <c r="P32">
        <v>2450</v>
      </c>
      <c r="Q32" t="s">
        <v>182</v>
      </c>
      <c r="T32" t="s">
        <v>178</v>
      </c>
      <c r="U32">
        <f>VLOOKUP(_xlfn.CONCAT($L$31,$L$29),AS1Model2!$A$1:$L$17,6,FALSE)</f>
        <v>5.1595000000000004</v>
      </c>
      <c r="V32" t="s">
        <v>179</v>
      </c>
    </row>
    <row r="33" spans="7:37" x14ac:dyDescent="0.3">
      <c r="G33" s="16" t="s">
        <v>119</v>
      </c>
      <c r="H33">
        <v>0</v>
      </c>
      <c r="J33" s="15">
        <f>J26</f>
        <v>8000</v>
      </c>
    </row>
    <row r="34" spans="7:37" x14ac:dyDescent="0.3">
      <c r="L34" s="16" t="s">
        <v>178</v>
      </c>
      <c r="M34">
        <f>VLOOKUP(_xlfn.CONCAT($L$31,$L$29),AS1Model2!$A$1:$L$17,6,FALSE)</f>
        <v>5.1595000000000004</v>
      </c>
      <c r="N34" t="s">
        <v>179</v>
      </c>
      <c r="T34" s="1" t="s">
        <v>205</v>
      </c>
      <c r="U34" t="s">
        <v>191</v>
      </c>
      <c r="V34" t="s">
        <v>113</v>
      </c>
      <c r="W34" t="s">
        <v>92</v>
      </c>
      <c r="X34" t="s">
        <v>192</v>
      </c>
      <c r="Y34" t="s">
        <v>183</v>
      </c>
      <c r="AB34" s="1" t="s">
        <v>207</v>
      </c>
      <c r="AC34" t="s">
        <v>191</v>
      </c>
      <c r="AD34" t="s">
        <v>113</v>
      </c>
      <c r="AE34" t="s">
        <v>92</v>
      </c>
      <c r="AF34" t="s">
        <v>192</v>
      </c>
      <c r="AG34" t="s">
        <v>208</v>
      </c>
      <c r="AH34" t="s">
        <v>209</v>
      </c>
      <c r="AI34" t="s">
        <v>230</v>
      </c>
    </row>
    <row r="35" spans="7:37" x14ac:dyDescent="0.3">
      <c r="G35" s="14" t="s">
        <v>125</v>
      </c>
      <c r="H35" t="s">
        <v>104</v>
      </c>
      <c r="I35" t="s">
        <v>113</v>
      </c>
      <c r="J35" s="15" t="s">
        <v>106</v>
      </c>
      <c r="T35" t="s">
        <v>71</v>
      </c>
      <c r="U35">
        <v>0</v>
      </c>
      <c r="V35">
        <v>0</v>
      </c>
      <c r="W35">
        <f>AVERAGE(2900,3100)</f>
        <v>3000</v>
      </c>
      <c r="X35">
        <v>398.15</v>
      </c>
      <c r="Y35">
        <f>VLOOKUP($T35,MatExport[#All],7,FALSE)
+VLOOKUP($T35,MatExport[#All],5,FALSE)*($M$34/100)
+VLOOKUP($T35,MatExport[#All],6,FALSE)*($M$34/100)^2</f>
        <v>120</v>
      </c>
      <c r="AB35" t="s">
        <v>71</v>
      </c>
      <c r="AC35">
        <v>0</v>
      </c>
      <c r="AD35">
        <v>0</v>
      </c>
      <c r="AE35" s="5">
        <v>3100</v>
      </c>
      <c r="AF35">
        <v>398.15</v>
      </c>
      <c r="AG35">
        <f>VLOOKUP($T19,MatExport[#All],7,FALSE)
+VLOOKUP($T19,MatExport[#All],5,FALSE)*($M$34/100)
+VLOOKUP($T19,MatExport[#All],6,FALSE)*($M$34/100)^2</f>
        <v>120</v>
      </c>
      <c r="AH35" s="5">
        <f>$AD$19</f>
        <v>70</v>
      </c>
      <c r="AI35">
        <f>10^23</f>
        <v>9.9999999999999992E+22</v>
      </c>
    </row>
    <row r="36" spans="7:37" x14ac:dyDescent="0.3">
      <c r="G36" s="16" t="s">
        <v>114</v>
      </c>
      <c r="H36">
        <f>H29</f>
        <v>2439</v>
      </c>
      <c r="J36" s="15">
        <v>0</v>
      </c>
      <c r="T36" t="s">
        <v>89</v>
      </c>
      <c r="U36" s="1">
        <v>112.45399999999999</v>
      </c>
      <c r="V36">
        <v>1.4930000000000001</v>
      </c>
      <c r="W36">
        <f>VLOOKUP(T36,MatExport[],4,FALSE)</f>
        <v>3307.6</v>
      </c>
      <c r="X36">
        <v>1099.75</v>
      </c>
      <c r="Y36">
        <f>VLOOKUP($T36,MatExport[#All],7,FALSE)
+VLOOKUP($T36,MatExport[#All],5,FALSE)*($M$34/100)
+VLOOKUP($T36,MatExport[#All],6,FALSE)*($M$34/100)^2</f>
        <v>129.89999999999998</v>
      </c>
      <c r="AB36" t="s">
        <v>89</v>
      </c>
      <c r="AC36">
        <v>112.45399999999999</v>
      </c>
      <c r="AD36">
        <v>1.3422000000000001</v>
      </c>
      <c r="AE36">
        <f>VLOOKUP(AB36,MatExport[],4,FALSE)</f>
        <v>3307.6</v>
      </c>
      <c r="AF36">
        <v>1099.75</v>
      </c>
      <c r="AG36">
        <f>VLOOKUP($T20,MatExport[#All],7,FALSE)
+VLOOKUP($T20,MatExport[#All],5,FALSE)*($M$34/100)
+VLOOKUP($T20,MatExport[#All],6,FALSE)*($M$34/100)^2</f>
        <v>129.89999999999998</v>
      </c>
      <c r="AH36" s="5">
        <f>$AD$19</f>
        <v>70</v>
      </c>
      <c r="AI36">
        <f>AD20</f>
        <v>1E+20</v>
      </c>
    </row>
    <row r="37" spans="7:37" x14ac:dyDescent="0.3">
      <c r="G37" s="16" t="s">
        <v>116</v>
      </c>
      <c r="H37">
        <f>H30</f>
        <v>2339</v>
      </c>
      <c r="J37" s="15">
        <v>2900</v>
      </c>
      <c r="T37" t="s">
        <v>85</v>
      </c>
      <c r="U37">
        <f>VLOOKUP(_xlfn.CONCAT($L$31,$L$29),AS1Model2!$A$1:$L$17,5,FALSE)</f>
        <v>2011.0545999999999</v>
      </c>
      <c r="V37">
        <v>2.4287999999999998</v>
      </c>
      <c r="W37">
        <f>VLOOKUP(T37,MatExport[],4,FALSE)</f>
        <v>7019</v>
      </c>
      <c r="X37">
        <v>1800</v>
      </c>
      <c r="Y37">
        <f>VLOOKUP($T37,MatExport[#All],7,FALSE)
+VLOOKUP($T37,MatExport[#All],5,FALSE)*($M$34/100)
+VLOOKUP($T37,MatExport[#All],6,FALSE)*($M$34/100)^2</f>
        <v>-862.70086415590015</v>
      </c>
      <c r="AB37" t="s">
        <v>85</v>
      </c>
      <c r="AC37">
        <v>1326.0509999999999</v>
      </c>
      <c r="AD37">
        <v>4.3647</v>
      </c>
      <c r="AE37">
        <f>VLOOKUP(AB37,MatExport[],4,FALSE)</f>
        <v>7019</v>
      </c>
      <c r="AF37">
        <v>1800</v>
      </c>
      <c r="AG37">
        <v>0</v>
      </c>
      <c r="AH37" s="5">
        <f>$AD$19</f>
        <v>70</v>
      </c>
      <c r="AI37" s="5">
        <v>0</v>
      </c>
    </row>
    <row r="38" spans="7:37" x14ac:dyDescent="0.3">
      <c r="G38" s="16" t="s">
        <v>67</v>
      </c>
      <c r="H38">
        <v>2050</v>
      </c>
      <c r="J38" s="15">
        <v>3360</v>
      </c>
      <c r="T38" t="s">
        <v>55</v>
      </c>
      <c r="U38">
        <f>VLOOKUP(_xlfn.CONCAT($L$31,$L$29),AS1Model2!$A$1:$L$17,4,FALSE)</f>
        <v>1342.6297999999999</v>
      </c>
      <c r="V38">
        <v>21.718399999999999</v>
      </c>
      <c r="W38">
        <f>VLOOKUP(T38,MatExport[],4,FALSE)</f>
        <v>7225</v>
      </c>
      <c r="X38">
        <v>2450</v>
      </c>
      <c r="Y38">
        <f>VLOOKUP($T38,MatExport[#All],7,FALSE)
+VLOOKUP($T38,MatExport[#All],5,FALSE)*($M$34/100)
+VLOOKUP($T38,MatExport[#All],6,FALSE)*($M$34/100)^2</f>
        <v>127</v>
      </c>
      <c r="AB38" t="s">
        <v>55</v>
      </c>
      <c r="AC38">
        <v>2011.5958000000001</v>
      </c>
      <c r="AD38">
        <v>21.886399999999998</v>
      </c>
      <c r="AE38">
        <f>VLOOKUP(AB38,MatExport[],4,FALSE)</f>
        <v>7225</v>
      </c>
      <c r="AF38">
        <v>2450</v>
      </c>
      <c r="AG38">
        <f>VLOOKUP($T22,MatExport[#All],7,FALSE)
+VLOOKUP($T22,MatExport[#All],5,FALSE)*($M$34/100)
+VLOOKUP($T22,MatExport[#All],6,FALSE)*($M$34/100)^2</f>
        <v>127</v>
      </c>
      <c r="AH38" s="5">
        <f>$AD$19</f>
        <v>70</v>
      </c>
      <c r="AI38">
        <f>10^20</f>
        <v>1E+20</v>
      </c>
    </row>
    <row r="39" spans="7:37" x14ac:dyDescent="0.3">
      <c r="G39" s="16" t="s">
        <v>122</v>
      </c>
      <c r="H39">
        <f>H32</f>
        <v>1790</v>
      </c>
      <c r="J39" s="15">
        <v>3520</v>
      </c>
      <c r="T39" t="s">
        <v>180</v>
      </c>
      <c r="U39">
        <f>2439.4</f>
        <v>2439.4</v>
      </c>
      <c r="V39">
        <v>34.403199999999998</v>
      </c>
      <c r="W39" t="s">
        <v>182</v>
      </c>
      <c r="X39">
        <v>2450</v>
      </c>
      <c r="Y39" t="s">
        <v>182</v>
      </c>
      <c r="AB39" t="s">
        <v>180</v>
      </c>
      <c r="AC39">
        <f>2439.4</f>
        <v>2439.4</v>
      </c>
      <c r="AD39">
        <v>35.418999999999997</v>
      </c>
      <c r="AE39" t="s">
        <v>182</v>
      </c>
      <c r="AF39">
        <v>2450</v>
      </c>
      <c r="AG39" t="s">
        <v>182</v>
      </c>
      <c r="AH39" t="s">
        <v>182</v>
      </c>
      <c r="AI39" t="s">
        <v>182</v>
      </c>
    </row>
    <row r="40" spans="7:37" x14ac:dyDescent="0.3">
      <c r="G40" s="16" t="s">
        <v>119</v>
      </c>
      <c r="H40">
        <v>0</v>
      </c>
      <c r="J40" s="15">
        <f>J33</f>
        <v>8000</v>
      </c>
      <c r="T40" t="s">
        <v>178</v>
      </c>
      <c r="U40">
        <f>VLOOKUP(_xlfn.CONCAT($L$31,$L$29),AS1Model2!$A$1:$L$17,6,FALSE)</f>
        <v>5.1595000000000004</v>
      </c>
      <c r="V40" t="s">
        <v>179</v>
      </c>
      <c r="AB40" t="s">
        <v>178</v>
      </c>
      <c r="AC40">
        <v>5.2923999999999998</v>
      </c>
      <c r="AD40" t="s">
        <v>179</v>
      </c>
    </row>
    <row r="42" spans="7:37" x14ac:dyDescent="0.3">
      <c r="G42" s="14" t="s">
        <v>126</v>
      </c>
      <c r="H42" t="s">
        <v>104</v>
      </c>
      <c r="I42" t="s">
        <v>113</v>
      </c>
      <c r="J42" s="15" t="s">
        <v>106</v>
      </c>
      <c r="T42" s="1" t="s">
        <v>206</v>
      </c>
      <c r="U42" t="s">
        <v>191</v>
      </c>
      <c r="V42" t="s">
        <v>113</v>
      </c>
      <c r="W42" t="s">
        <v>92</v>
      </c>
      <c r="X42" t="s">
        <v>192</v>
      </c>
      <c r="Y42" t="s">
        <v>183</v>
      </c>
      <c r="AB42" s="1" t="s">
        <v>227</v>
      </c>
      <c r="AC42" t="s">
        <v>191</v>
      </c>
      <c r="AD42" t="s">
        <v>113</v>
      </c>
      <c r="AE42" t="s">
        <v>92</v>
      </c>
      <c r="AF42" t="s">
        <v>192</v>
      </c>
      <c r="AG42" t="s">
        <v>208</v>
      </c>
      <c r="AH42" t="s">
        <v>209</v>
      </c>
      <c r="AI42" t="s">
        <v>193</v>
      </c>
      <c r="AJ42" t="s">
        <v>226</v>
      </c>
      <c r="AK42" t="s">
        <v>48</v>
      </c>
    </row>
    <row r="43" spans="7:37" x14ac:dyDescent="0.3">
      <c r="G43" s="16" t="s">
        <v>114</v>
      </c>
      <c r="H43">
        <f>H50</f>
        <v>2439</v>
      </c>
      <c r="J43" s="15">
        <v>0</v>
      </c>
      <c r="T43" t="s">
        <v>71</v>
      </c>
      <c r="U43">
        <v>0</v>
      </c>
      <c r="V43">
        <v>0</v>
      </c>
      <c r="W43">
        <f>AVERAGE(2900,3100)</f>
        <v>3000</v>
      </c>
      <c r="X43">
        <v>398.15</v>
      </c>
      <c r="Y43">
        <f>VLOOKUP($T43,MatExport[#All],7,FALSE)
+VLOOKUP($T43,MatExport[#All],5,FALSE)*($M$34/100)
+VLOOKUP($T43,MatExport[#All],6,FALSE)*($M$34/100)^2</f>
        <v>120</v>
      </c>
      <c r="AB43" t="s">
        <v>224</v>
      </c>
      <c r="AC43">
        <f>AC39</f>
        <v>2439.4</v>
      </c>
      <c r="AD43" t="s">
        <v>182</v>
      </c>
      <c r="AE43">
        <f>AE35*(($AC36-$AC35)/$AC$39)^3+AE36*(($AC37-$AC36)/$AC$39)^3+AE37*(($AC38-$AC36)/$AC$39)^3+AE38*(($AC39-$AC38)/$AC$39)^3</f>
        <v>3758.6090581055701</v>
      </c>
      <c r="AF43" t="s">
        <v>182</v>
      </c>
      <c r="AG43">
        <f>AG35*(($AC36-$AC35)/$AC$39)^3+AG36*(($AC37-$AC36)/$AC$39)^3+AG37*(($AC38-$AC36)/$AC$39)^3+AG38*(($AC39-$AC38)/$AC$39)^3</f>
        <v>16.691730056956946</v>
      </c>
      <c r="AH43">
        <f>AH35*(($AC36-$AC35)/$AC$39)^3+AH36*(($AC37-$AC36)/$AC$39)^3+AH37*(($AC38-$AC36)/$AC$39)^3+AH38*(($AC39-$AC38)/$AC$39)^3</f>
        <v>42.034682506824353</v>
      </c>
    </row>
    <row r="44" spans="7:37" x14ac:dyDescent="0.3">
      <c r="G44" s="16" t="s">
        <v>116</v>
      </c>
      <c r="H44">
        <f>H51</f>
        <v>2339</v>
      </c>
      <c r="J44" s="15">
        <v>2900</v>
      </c>
      <c r="T44" t="s">
        <v>89</v>
      </c>
      <c r="U44" s="1">
        <v>112.45399999999999</v>
      </c>
      <c r="V44">
        <v>1.4930000000000001</v>
      </c>
      <c r="W44">
        <f>VLOOKUP(T44,MatExport[],4,FALSE)</f>
        <v>3307.6</v>
      </c>
      <c r="X44">
        <v>1099.75</v>
      </c>
      <c r="Y44">
        <f>VLOOKUP($T44,MatExport[#All],7,FALSE)
+VLOOKUP($T44,MatExport[#All],5,FALSE)*($M$34/100)
+VLOOKUP($T44,MatExport[#All],6,FALSE)*($M$34/100)^2</f>
        <v>129.89999999999998</v>
      </c>
    </row>
    <row r="45" spans="7:37" x14ac:dyDescent="0.3">
      <c r="G45" s="16" t="s">
        <v>67</v>
      </c>
      <c r="H45">
        <v>2070</v>
      </c>
      <c r="J45" s="15">
        <v>3280</v>
      </c>
      <c r="T45" t="s">
        <v>85</v>
      </c>
      <c r="U45">
        <f>VLOOKUP(_xlfn.CONCAT($L$31,$L$29),AS1Model2!$A$1:$L$17,5,FALSE)</f>
        <v>2011.0545999999999</v>
      </c>
      <c r="V45">
        <v>2.4287999999999998</v>
      </c>
      <c r="W45">
        <f>VLOOKUP(T45,MatExport[],4,FALSE)</f>
        <v>7019</v>
      </c>
      <c r="X45">
        <v>1800</v>
      </c>
      <c r="Y45">
        <f>VLOOKUP($T45,MatExport[#All],7,FALSE)
+VLOOKUP($T45,MatExport[#All],5,FALSE)*($M$34/100)
+VLOOKUP($T45,MatExport[#All],6,FALSE)*($M$34/100)^2</f>
        <v>-862.70086415590015</v>
      </c>
      <c r="AB45" s="1" t="s">
        <v>228</v>
      </c>
      <c r="AC45" t="s">
        <v>191</v>
      </c>
      <c r="AD45" t="s">
        <v>113</v>
      </c>
      <c r="AE45" t="s">
        <v>92</v>
      </c>
      <c r="AF45" t="s">
        <v>192</v>
      </c>
      <c r="AG45" t="s">
        <v>208</v>
      </c>
      <c r="AH45" t="s">
        <v>209</v>
      </c>
      <c r="AI45" t="s">
        <v>193</v>
      </c>
      <c r="AJ45" t="s">
        <v>226</v>
      </c>
    </row>
    <row r="46" spans="7:37" x14ac:dyDescent="0.3">
      <c r="G46" s="16" t="s">
        <v>122</v>
      </c>
      <c r="H46">
        <f>H53</f>
        <v>1790</v>
      </c>
      <c r="J46" s="15">
        <v>3390</v>
      </c>
      <c r="T46" t="s">
        <v>55</v>
      </c>
      <c r="U46">
        <f>VLOOKUP(_xlfn.CONCAT($L$31,$L$29),AS1Model2!$A$1:$L$17,4,FALSE)</f>
        <v>1342.6297999999999</v>
      </c>
      <c r="V46">
        <v>21.718399999999999</v>
      </c>
      <c r="W46">
        <f>VLOOKUP(T46,MatExport[],4,FALSE)</f>
        <v>7225</v>
      </c>
      <c r="X46">
        <v>2450</v>
      </c>
      <c r="Y46">
        <f>VLOOKUP($T46,MatExport[#All],7,FALSE)
+VLOOKUP($T46,MatExport[#All],5,FALSE)*($M$34/100)
+VLOOKUP($T46,MatExport[#All],6,FALSE)*($M$34/100)^2</f>
        <v>127</v>
      </c>
      <c r="AB46" t="s">
        <v>224</v>
      </c>
      <c r="AC46">
        <f>AC43</f>
        <v>2439.4</v>
      </c>
      <c r="AD46" t="str">
        <f t="shared" ref="AD46:AH46" si="0">AD43</f>
        <v>NA</v>
      </c>
      <c r="AE46">
        <f t="shared" si="0"/>
        <v>3758.6090581055701</v>
      </c>
      <c r="AF46" t="str">
        <f t="shared" si="0"/>
        <v>NA</v>
      </c>
      <c r="AG46">
        <f t="shared" si="0"/>
        <v>16.691730056956946</v>
      </c>
      <c r="AH46">
        <f t="shared" si="0"/>
        <v>42.034682506824353</v>
      </c>
    </row>
    <row r="47" spans="7:37" x14ac:dyDescent="0.3">
      <c r="G47" s="16" t="s">
        <v>119</v>
      </c>
      <c r="H47">
        <v>0</v>
      </c>
      <c r="J47" s="15">
        <f>J40</f>
        <v>8000</v>
      </c>
      <c r="T47" t="s">
        <v>180</v>
      </c>
      <c r="U47">
        <f>2439.4</f>
        <v>2439.4</v>
      </c>
      <c r="V47">
        <v>34.403199999999998</v>
      </c>
      <c r="W47" t="s">
        <v>182</v>
      </c>
      <c r="X47">
        <v>2450</v>
      </c>
      <c r="Y47" t="s">
        <v>182</v>
      </c>
    </row>
    <row r="48" spans="7:37" x14ac:dyDescent="0.3">
      <c r="T48" t="s">
        <v>178</v>
      </c>
      <c r="U48">
        <f>VLOOKUP(_xlfn.CONCAT($L$31,$L$29),AS1Model2!$A$1:$L$17,6,FALSE)</f>
        <v>5.1595000000000004</v>
      </c>
      <c r="V48" t="s">
        <v>179</v>
      </c>
      <c r="AB48" s="1" t="s">
        <v>229</v>
      </c>
      <c r="AC48" t="s">
        <v>191</v>
      </c>
      <c r="AD48" t="s">
        <v>113</v>
      </c>
      <c r="AE48" t="s">
        <v>92</v>
      </c>
      <c r="AF48" t="s">
        <v>192</v>
      </c>
      <c r="AG48" t="s">
        <v>208</v>
      </c>
      <c r="AH48" t="s">
        <v>209</v>
      </c>
      <c r="AI48" t="s">
        <v>193</v>
      </c>
      <c r="AJ48" t="s">
        <v>226</v>
      </c>
    </row>
    <row r="49" spans="7:37" x14ac:dyDescent="0.3">
      <c r="G49" s="14" t="s">
        <v>127</v>
      </c>
      <c r="H49" t="s">
        <v>104</v>
      </c>
      <c r="I49" t="s">
        <v>113</v>
      </c>
      <c r="J49" s="15" t="s">
        <v>106</v>
      </c>
      <c r="AB49" t="s">
        <v>224</v>
      </c>
      <c r="AC49">
        <f>AC43</f>
        <v>2439.4</v>
      </c>
      <c r="AD49" t="str">
        <f t="shared" ref="AD49:AH49" si="1">AD43</f>
        <v>NA</v>
      </c>
      <c r="AE49">
        <f t="shared" si="1"/>
        <v>3758.6090581055701</v>
      </c>
      <c r="AF49" t="str">
        <f t="shared" si="1"/>
        <v>NA</v>
      </c>
      <c r="AG49">
        <f t="shared" si="1"/>
        <v>16.691730056956946</v>
      </c>
      <c r="AH49">
        <f t="shared" si="1"/>
        <v>42.034682506824353</v>
      </c>
    </row>
    <row r="50" spans="7:37" x14ac:dyDescent="0.3">
      <c r="G50" s="16" t="s">
        <v>114</v>
      </c>
      <c r="H50">
        <f>H36</f>
        <v>2439</v>
      </c>
      <c r="J50" s="15">
        <v>0</v>
      </c>
    </row>
    <row r="51" spans="7:37" x14ac:dyDescent="0.3">
      <c r="G51" s="16" t="s">
        <v>116</v>
      </c>
      <c r="H51">
        <f>H37</f>
        <v>2339</v>
      </c>
      <c r="J51" s="15">
        <v>2900</v>
      </c>
      <c r="AB51" s="1" t="s">
        <v>225</v>
      </c>
      <c r="AC51" t="s">
        <v>191</v>
      </c>
      <c r="AD51" t="s">
        <v>113</v>
      </c>
      <c r="AE51" t="s">
        <v>92</v>
      </c>
      <c r="AF51" t="s">
        <v>192</v>
      </c>
      <c r="AG51" t="s">
        <v>208</v>
      </c>
      <c r="AH51" t="s">
        <v>209</v>
      </c>
      <c r="AI51" t="s">
        <v>193</v>
      </c>
      <c r="AJ51" t="s">
        <v>226</v>
      </c>
      <c r="AK51" t="s">
        <v>48</v>
      </c>
    </row>
    <row r="52" spans="7:37" x14ac:dyDescent="0.3">
      <c r="G52" s="16" t="s">
        <v>67</v>
      </c>
      <c r="H52">
        <v>2040</v>
      </c>
      <c r="J52" s="15">
        <v>3090</v>
      </c>
      <c r="AB52" t="s">
        <v>71</v>
      </c>
      <c r="AC52">
        <f>AC35</f>
        <v>0</v>
      </c>
      <c r="AD52">
        <f t="shared" ref="AD52:AI52" si="2">AD35</f>
        <v>0</v>
      </c>
      <c r="AE52">
        <f t="shared" si="2"/>
        <v>3100</v>
      </c>
      <c r="AF52">
        <f t="shared" si="2"/>
        <v>398.15</v>
      </c>
      <c r="AG52">
        <f t="shared" si="2"/>
        <v>120</v>
      </c>
      <c r="AH52">
        <f t="shared" si="2"/>
        <v>70</v>
      </c>
      <c r="AI52">
        <f t="shared" si="2"/>
        <v>9.9999999999999992E+22</v>
      </c>
    </row>
    <row r="53" spans="7:37" x14ac:dyDescent="0.3">
      <c r="G53" s="16" t="s">
        <v>122</v>
      </c>
      <c r="H53">
        <f>H39</f>
        <v>1790</v>
      </c>
      <c r="J53" s="15">
        <v>3250</v>
      </c>
      <c r="AB53" t="s">
        <v>89</v>
      </c>
      <c r="AC53">
        <f t="shared" ref="AC53:AI56" si="3">AC36</f>
        <v>112.45399999999999</v>
      </c>
      <c r="AD53">
        <f t="shared" si="3"/>
        <v>1.3422000000000001</v>
      </c>
      <c r="AE53">
        <f t="shared" si="3"/>
        <v>3307.6</v>
      </c>
      <c r="AF53">
        <f t="shared" si="3"/>
        <v>1099.75</v>
      </c>
      <c r="AG53">
        <f t="shared" si="3"/>
        <v>129.89999999999998</v>
      </c>
      <c r="AH53">
        <f t="shared" si="3"/>
        <v>70</v>
      </c>
      <c r="AI53">
        <f t="shared" si="3"/>
        <v>1E+20</v>
      </c>
    </row>
    <row r="54" spans="7:37" x14ac:dyDescent="0.3">
      <c r="G54" s="16" t="s">
        <v>119</v>
      </c>
      <c r="H54">
        <v>0</v>
      </c>
      <c r="J54" s="15">
        <f>J47</f>
        <v>8000</v>
      </c>
      <c r="AB54" t="s">
        <v>85</v>
      </c>
      <c r="AC54">
        <f t="shared" si="3"/>
        <v>1326.0509999999999</v>
      </c>
      <c r="AD54">
        <f t="shared" si="3"/>
        <v>4.3647</v>
      </c>
      <c r="AE54">
        <f t="shared" si="3"/>
        <v>7019</v>
      </c>
      <c r="AF54">
        <f t="shared" si="3"/>
        <v>1800</v>
      </c>
      <c r="AG54">
        <f t="shared" si="3"/>
        <v>0</v>
      </c>
      <c r="AH54">
        <f t="shared" si="3"/>
        <v>70</v>
      </c>
      <c r="AI54">
        <f t="shared" si="3"/>
        <v>0</v>
      </c>
    </row>
    <row r="55" spans="7:37" x14ac:dyDescent="0.3">
      <c r="AB55" t="s">
        <v>55</v>
      </c>
      <c r="AC55">
        <f t="shared" si="3"/>
        <v>2011.5958000000001</v>
      </c>
      <c r="AD55">
        <f t="shared" si="3"/>
        <v>21.886399999999998</v>
      </c>
      <c r="AE55">
        <f t="shared" si="3"/>
        <v>7225</v>
      </c>
      <c r="AF55">
        <f t="shared" si="3"/>
        <v>2450</v>
      </c>
      <c r="AG55">
        <f t="shared" si="3"/>
        <v>127</v>
      </c>
      <c r="AH55">
        <f t="shared" si="3"/>
        <v>70</v>
      </c>
      <c r="AI55">
        <f t="shared" si="3"/>
        <v>1E+20</v>
      </c>
    </row>
    <row r="56" spans="7:37" x14ac:dyDescent="0.3">
      <c r="AB56" t="s">
        <v>180</v>
      </c>
      <c r="AC56">
        <f t="shared" si="3"/>
        <v>2439.4</v>
      </c>
      <c r="AD56">
        <f t="shared" si="3"/>
        <v>35.418999999999997</v>
      </c>
      <c r="AE56" t="str">
        <f t="shared" si="3"/>
        <v>NA</v>
      </c>
      <c r="AF56">
        <f t="shared" si="3"/>
        <v>2450</v>
      </c>
      <c r="AG56" t="str">
        <f t="shared" si="3"/>
        <v>NA</v>
      </c>
      <c r="AH56" t="str">
        <f t="shared" si="3"/>
        <v>NA</v>
      </c>
      <c r="AI56" t="str">
        <f t="shared" si="3"/>
        <v>NA</v>
      </c>
    </row>
  </sheetData>
  <phoneticPr fontId="6" type="noConversion"/>
  <hyperlinks>
    <hyperlink ref="R5" r:id="rId1" xr:uid="{1231B06C-7F06-44CD-B22C-5589D3ABEEC3}"/>
    <hyperlink ref="Z5" r:id="rId2" xr:uid="{7ED2418C-04A1-4B81-AAD6-9C03995326A4}"/>
    <hyperlink ref="AH5" r:id="rId3" xr:uid="{427C5272-4608-4461-9643-DA8CBB2537B1}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2CB5-D312-48C8-8FD6-BCCB4FB7FA3F}">
  <dimension ref="A1:L17"/>
  <sheetViews>
    <sheetView zoomScale="63" workbookViewId="0">
      <selection activeCell="E21" sqref="E21"/>
    </sheetView>
  </sheetViews>
  <sheetFormatPr defaultRowHeight="14.4" x14ac:dyDescent="0.3"/>
  <cols>
    <col min="2" max="2" width="7.6640625" bestFit="1" customWidth="1"/>
    <col min="3" max="3" width="9.109375" bestFit="1" customWidth="1"/>
    <col min="4" max="4" width="16.109375" bestFit="1" customWidth="1"/>
    <col min="5" max="5" width="17.33203125" bestFit="1" customWidth="1"/>
    <col min="6" max="6" width="18.33203125" bestFit="1" customWidth="1"/>
    <col min="7" max="7" width="10.44140625" bestFit="1" customWidth="1"/>
    <col min="8" max="8" width="9.6640625" bestFit="1" customWidth="1"/>
    <col min="9" max="9" width="11.21875" bestFit="1" customWidth="1"/>
    <col min="10" max="10" width="14.88671875" bestFit="1" customWidth="1"/>
    <col min="11" max="11" width="13.77734375" bestFit="1" customWidth="1"/>
    <col min="12" max="12" width="14.109375" bestFit="1" customWidth="1"/>
  </cols>
  <sheetData>
    <row r="1" spans="1:12" x14ac:dyDescent="0.3">
      <c r="A1" t="s">
        <v>168</v>
      </c>
      <c r="B1" t="s">
        <v>115</v>
      </c>
      <c r="C1" t="s">
        <v>67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</row>
    <row r="2" spans="1:12" x14ac:dyDescent="0.3">
      <c r="A2" t="str">
        <f>_xlfn.CONCAT(Table3[[#This Row],[core]:[mantle]])</f>
        <v>Fe,liqFC</v>
      </c>
      <c r="B2" t="s">
        <v>50</v>
      </c>
      <c r="C2" t="s">
        <v>88</v>
      </c>
      <c r="D2">
        <v>1888.1428000000001</v>
      </c>
      <c r="E2">
        <v>2017.4460999999999</v>
      </c>
      <c r="F2">
        <v>0.54296</v>
      </c>
      <c r="G2">
        <v>3.4979000000000003E-2</v>
      </c>
      <c r="H2">
        <v>-4.2084999999999997E-2</v>
      </c>
      <c r="I2">
        <v>-4.0989999999999999E-2</v>
      </c>
      <c r="J2">
        <v>0.11805399999999999</v>
      </c>
      <c r="K2">
        <v>4.3766299999999996</v>
      </c>
      <c r="L2">
        <v>36.435400000000001</v>
      </c>
    </row>
    <row r="3" spans="1:12" x14ac:dyDescent="0.3">
      <c r="A3" t="str">
        <f>_xlfn.CONCAT(Table3[[#This Row],[core]:[mantle]])</f>
        <v>Fe,liqMA</v>
      </c>
      <c r="B3" t="s">
        <v>50</v>
      </c>
      <c r="C3" t="s">
        <v>89</v>
      </c>
      <c r="D3">
        <v>2062.6376</v>
      </c>
      <c r="E3">
        <v>2062.6376</v>
      </c>
      <c r="F3">
        <v>0</v>
      </c>
      <c r="G3">
        <v>1.8743000000000001</v>
      </c>
      <c r="H3">
        <v>1.2197</v>
      </c>
      <c r="I3">
        <v>18.931100000000001</v>
      </c>
      <c r="J3">
        <v>22.025100000000002</v>
      </c>
      <c r="K3">
        <v>4.1680999999999999</v>
      </c>
      <c r="L3">
        <v>36.148800000000001</v>
      </c>
    </row>
    <row r="4" spans="1:12" x14ac:dyDescent="0.3">
      <c r="A4" t="str">
        <f>_xlfn.CONCAT(Table3[[#This Row],[core]:[mantle]])</f>
        <v>Fe,liqMC</v>
      </c>
      <c r="B4" t="s">
        <v>50</v>
      </c>
      <c r="C4" t="s">
        <v>90</v>
      </c>
      <c r="D4">
        <v>2063.7269999999999</v>
      </c>
      <c r="E4">
        <v>2063.7269999999999</v>
      </c>
      <c r="F4">
        <v>0</v>
      </c>
      <c r="G4">
        <v>1.9641999999999999</v>
      </c>
      <c r="H4">
        <v>1.355</v>
      </c>
      <c r="I4">
        <v>20.080400000000001</v>
      </c>
      <c r="J4">
        <v>23.3996</v>
      </c>
      <c r="K4">
        <v>4.1440000000000001</v>
      </c>
      <c r="L4">
        <v>36.1188</v>
      </c>
    </row>
    <row r="5" spans="1:12" x14ac:dyDescent="0.3">
      <c r="A5" t="str">
        <f>_xlfn.CONCAT(Table3[[#This Row],[core]:[mantle]])</f>
        <v>Fe,liqcrust</v>
      </c>
      <c r="B5" t="s">
        <v>50</v>
      </c>
      <c r="C5" t="s">
        <v>71</v>
      </c>
      <c r="D5">
        <v>2067.2076000000002</v>
      </c>
      <c r="E5">
        <v>2067.2076000000002</v>
      </c>
      <c r="F5">
        <v>0</v>
      </c>
      <c r="G5">
        <v>2.2667000000000002</v>
      </c>
      <c r="H5">
        <v>1.8026</v>
      </c>
      <c r="I5">
        <v>23.8276</v>
      </c>
      <c r="J5">
        <v>27.896900000000002</v>
      </c>
      <c r="K5">
        <v>4.0637999999999996</v>
      </c>
      <c r="L5">
        <v>36.015999999999998</v>
      </c>
    </row>
    <row r="6" spans="1:12" x14ac:dyDescent="0.3">
      <c r="A6" t="str">
        <f>_xlfn.CONCAT(Table3[[#This Row],[core]:[mantle]])</f>
        <v>Fe,solMA</v>
      </c>
      <c r="B6" t="s">
        <v>55</v>
      </c>
      <c r="C6" t="s">
        <v>89</v>
      </c>
      <c r="D6">
        <v>1342.6297999999999</v>
      </c>
      <c r="E6">
        <v>2011.0545999999999</v>
      </c>
      <c r="F6">
        <v>5.1595000000000004</v>
      </c>
      <c r="G6">
        <v>1.5131E-2</v>
      </c>
      <c r="H6">
        <v>-1.1369000000000001E-2</v>
      </c>
      <c r="I6">
        <v>7.0977999999999996E-3</v>
      </c>
      <c r="J6">
        <v>3.3597800000000004E-2</v>
      </c>
      <c r="K6">
        <v>4.3327999999999998</v>
      </c>
      <c r="L6">
        <v>35.403199999999998</v>
      </c>
    </row>
    <row r="7" spans="1:12" x14ac:dyDescent="0.3">
      <c r="A7" t="str">
        <f>_xlfn.CONCAT(Table3[[#This Row],[core]:[mantle]])</f>
        <v>Fe,solFC</v>
      </c>
      <c r="B7" t="s">
        <v>55</v>
      </c>
      <c r="C7" t="s">
        <v>88</v>
      </c>
      <c r="D7">
        <v>1398.0869</v>
      </c>
      <c r="E7">
        <v>2008.1233999999999</v>
      </c>
      <c r="F7">
        <v>4.5038</v>
      </c>
      <c r="G7">
        <v>-2.8170000000000001E-2</v>
      </c>
      <c r="H7">
        <v>4.1540000000000001E-2</v>
      </c>
      <c r="I7">
        <v>5.0541999999999997E-2</v>
      </c>
      <c r="J7">
        <v>0.120252</v>
      </c>
      <c r="K7">
        <v>4.3167</v>
      </c>
      <c r="L7">
        <v>35.427700000000002</v>
      </c>
    </row>
    <row r="8" spans="1:12" x14ac:dyDescent="0.3">
      <c r="A8" t="str">
        <f>_xlfn.CONCAT(Table3[[#This Row],[core]:[mantle]])</f>
        <v>Fe,solcrust</v>
      </c>
      <c r="B8" t="s">
        <v>55</v>
      </c>
      <c r="C8" t="s">
        <v>71</v>
      </c>
      <c r="D8">
        <v>1573.1604</v>
      </c>
      <c r="E8">
        <v>1998.4059999999999</v>
      </c>
      <c r="F8">
        <v>2.0550999999999999</v>
      </c>
      <c r="G8">
        <v>0.12981999999999999</v>
      </c>
      <c r="H8">
        <v>4.4084999999999999E-2</v>
      </c>
      <c r="I8">
        <v>-0.28791</v>
      </c>
      <c r="J8">
        <v>0.46181499999999998</v>
      </c>
      <c r="K8">
        <v>4.2503000000000002</v>
      </c>
      <c r="L8">
        <v>35.328099999999999</v>
      </c>
    </row>
    <row r="9" spans="1:12" x14ac:dyDescent="0.3">
      <c r="A9" t="str">
        <f>_xlfn.CONCAT(Table3[[#This Row],[core]:[mantle]])</f>
        <v>Fe,solMC</v>
      </c>
      <c r="B9" t="s">
        <v>55</v>
      </c>
      <c r="C9" t="s">
        <v>90</v>
      </c>
      <c r="D9">
        <v>1231.0659000000001</v>
      </c>
      <c r="E9">
        <v>2017.3362999999999</v>
      </c>
      <c r="F9">
        <v>6.5133000000000001</v>
      </c>
      <c r="G9">
        <v>-0.36159999999999998</v>
      </c>
      <c r="H9">
        <v>0.34863</v>
      </c>
      <c r="I9">
        <v>0.53971999999999998</v>
      </c>
      <c r="J9">
        <v>1.2499499999999999</v>
      </c>
      <c r="K9">
        <v>4.3959000000000001</v>
      </c>
      <c r="L9">
        <v>35.923900000000003</v>
      </c>
    </row>
    <row r="10" spans="1:12" x14ac:dyDescent="0.3">
      <c r="A10" t="str">
        <f>_xlfn.CONCAT(Table3[[#This Row],[core]:[mantle]])</f>
        <v>Fe3S,solFC</v>
      </c>
      <c r="B10" t="s">
        <v>84</v>
      </c>
      <c r="C10" t="s">
        <v>88</v>
      </c>
      <c r="D10">
        <v>1396.9869000000001</v>
      </c>
      <c r="E10">
        <v>2008.1402</v>
      </c>
      <c r="F10">
        <v>4.5507</v>
      </c>
      <c r="G10">
        <v>-2.1179E-2</v>
      </c>
      <c r="H10">
        <v>5.9466999999999999E-2</v>
      </c>
      <c r="I10">
        <v>3.1524999999999997E-2</v>
      </c>
      <c r="J10">
        <v>0.11217099999999999</v>
      </c>
      <c r="K10">
        <v>4.3163</v>
      </c>
      <c r="L10">
        <v>35.348999999999997</v>
      </c>
    </row>
    <row r="11" spans="1:12" x14ac:dyDescent="0.3">
      <c r="A11" t="str">
        <f>_xlfn.CONCAT(Table3[[#This Row],[core]:[mantle]])</f>
        <v>Fe3S,solMA</v>
      </c>
      <c r="B11" t="s">
        <v>84</v>
      </c>
      <c r="C11" t="s">
        <v>89</v>
      </c>
      <c r="D11">
        <v>1331.1224</v>
      </c>
      <c r="E11">
        <v>2011.0038</v>
      </c>
      <c r="F11">
        <v>5.1750999999999996</v>
      </c>
      <c r="G11">
        <v>-5.9451999999999998E-2</v>
      </c>
      <c r="H11">
        <v>6.6348000000000004E-2</v>
      </c>
      <c r="I11">
        <v>0.10052</v>
      </c>
      <c r="J11">
        <v>0.22631999999999999</v>
      </c>
      <c r="K11">
        <v>4.3365</v>
      </c>
      <c r="L11">
        <v>35.390999999999998</v>
      </c>
    </row>
    <row r="12" spans="1:12" x14ac:dyDescent="0.3">
      <c r="A12" t="str">
        <f>_xlfn.CONCAT(Table3[[#This Row],[core]:[mantle]])</f>
        <v>Fe3S,solcrust</v>
      </c>
      <c r="B12" t="s">
        <v>84</v>
      </c>
      <c r="C12" t="s">
        <v>71</v>
      </c>
      <c r="D12">
        <v>1579.0065</v>
      </c>
      <c r="E12">
        <v>1998.3835999999999</v>
      </c>
      <c r="F12">
        <v>2.1570999999999998</v>
      </c>
      <c r="G12">
        <v>0.13947000000000001</v>
      </c>
      <c r="H12">
        <v>0.1137</v>
      </c>
      <c r="I12">
        <v>-0.37290000000000001</v>
      </c>
      <c r="J12">
        <v>0.62607000000000002</v>
      </c>
      <c r="K12">
        <v>4.2496999999999998</v>
      </c>
      <c r="L12">
        <v>35.243099999999998</v>
      </c>
    </row>
    <row r="13" spans="1:12" x14ac:dyDescent="0.3">
      <c r="A13" t="str">
        <f>_xlfn.CONCAT(Table3[[#This Row],[core]:[mantle]])</f>
        <v>Fe3S,solMC</v>
      </c>
      <c r="B13" t="s">
        <v>84</v>
      </c>
      <c r="C13" t="s">
        <v>90</v>
      </c>
      <c r="D13">
        <v>1226.2437</v>
      </c>
      <c r="E13">
        <v>2017.299</v>
      </c>
      <c r="F13">
        <v>6.5340999999999996</v>
      </c>
      <c r="G13">
        <v>-0.33233000000000001</v>
      </c>
      <c r="H13">
        <v>0.28881000000000001</v>
      </c>
      <c r="I13">
        <v>0.50538000000000005</v>
      </c>
      <c r="J13">
        <v>1.1265200000000002</v>
      </c>
      <c r="K13">
        <v>4.3944000000000001</v>
      </c>
      <c r="L13">
        <v>35.797400000000003</v>
      </c>
    </row>
    <row r="14" spans="1:12" x14ac:dyDescent="0.3">
      <c r="A14" t="str">
        <f>_xlfn.CONCAT(Table3[[#This Row],[core]:[mantle]])</f>
        <v>FeSV,solMC</v>
      </c>
      <c r="B14" t="s">
        <v>86</v>
      </c>
      <c r="C14" t="s">
        <v>90</v>
      </c>
      <c r="D14">
        <v>974.15880000000004</v>
      </c>
      <c r="E14">
        <v>2017.1188</v>
      </c>
      <c r="F14">
        <v>7.0773999999999999</v>
      </c>
      <c r="G14">
        <v>1.5732999999999999E-3</v>
      </c>
      <c r="H14">
        <v>-0.24612000000000001</v>
      </c>
      <c r="I14">
        <v>-0.21956999999999999</v>
      </c>
      <c r="J14">
        <v>0.46726329999999999</v>
      </c>
      <c r="K14">
        <v>4.3692000000000002</v>
      </c>
      <c r="L14">
        <v>34.450400000000002</v>
      </c>
    </row>
    <row r="15" spans="1:12" x14ac:dyDescent="0.3">
      <c r="A15" t="str">
        <f>_xlfn.CONCAT(Table3[[#This Row],[core]:[mantle]])</f>
        <v>FeSV,solcrust</v>
      </c>
      <c r="B15" t="s">
        <v>86</v>
      </c>
      <c r="C15" t="s">
        <v>71</v>
      </c>
      <c r="D15">
        <v>1167.5359000000001</v>
      </c>
      <c r="E15">
        <v>1998.1427000000001</v>
      </c>
      <c r="F15">
        <v>3.8662000000000001</v>
      </c>
      <c r="G15">
        <v>0.13841000000000001</v>
      </c>
      <c r="H15">
        <v>-0.11634</v>
      </c>
      <c r="I15">
        <v>-0.25763000000000003</v>
      </c>
      <c r="J15">
        <v>0.51238000000000006</v>
      </c>
      <c r="K15">
        <v>4.2496</v>
      </c>
      <c r="L15">
        <v>33.941499999999998</v>
      </c>
    </row>
    <row r="16" spans="1:12" x14ac:dyDescent="0.3">
      <c r="A16" t="str">
        <f>_xlfn.CONCAT(Table3[[#This Row],[core]:[mantle]])</f>
        <v>FeSV,solFC</v>
      </c>
      <c r="B16" t="s">
        <v>86</v>
      </c>
      <c r="C16" t="s">
        <v>88</v>
      </c>
      <c r="D16">
        <v>1074.5059000000001</v>
      </c>
      <c r="E16">
        <v>2007.9802999999999</v>
      </c>
      <c r="F16">
        <v>5.5446</v>
      </c>
      <c r="G16">
        <v>0.17066999999999999</v>
      </c>
      <c r="H16">
        <v>-0.19105</v>
      </c>
      <c r="I16">
        <v>-0.27689000000000002</v>
      </c>
      <c r="J16">
        <v>0.63861000000000001</v>
      </c>
      <c r="K16">
        <v>4.3070000000000004</v>
      </c>
      <c r="L16">
        <v>34.150799999999997</v>
      </c>
    </row>
    <row r="17" spans="1:12" x14ac:dyDescent="0.3">
      <c r="A17" t="str">
        <f>_xlfn.CONCAT(Table3[[#This Row],[core]:[mantle]])</f>
        <v>FeSV,solMA</v>
      </c>
      <c r="B17" t="s">
        <v>86</v>
      </c>
      <c r="C17" t="s">
        <v>89</v>
      </c>
      <c r="D17">
        <v>1044.2945999999999</v>
      </c>
      <c r="E17">
        <v>2010.8921</v>
      </c>
      <c r="F17">
        <v>6.0339</v>
      </c>
      <c r="G17">
        <v>0.17233999999999999</v>
      </c>
      <c r="H17">
        <v>-0.21146000000000001</v>
      </c>
      <c r="I17">
        <v>-0.26884000000000002</v>
      </c>
      <c r="J17">
        <v>0.65264000000000011</v>
      </c>
      <c r="K17">
        <v>4.3253000000000004</v>
      </c>
      <c r="L17">
        <v>34.230899999999998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I126"/>
  <sheetViews>
    <sheetView topLeftCell="AY25" zoomScale="85" zoomScaleNormal="85" workbookViewId="0">
      <selection activeCell="BI44" sqref="BI44"/>
    </sheetView>
  </sheetViews>
  <sheetFormatPr defaultColWidth="5.77734375" defaultRowHeight="14.4" x14ac:dyDescent="0.3"/>
  <cols>
    <col min="3" max="3" width="5.77734375" style="1"/>
    <col min="4" max="4" width="5.88671875" bestFit="1" customWidth="1"/>
    <col min="5" max="5" width="8.44140625" style="1" bestFit="1" customWidth="1"/>
    <col min="6" max="6" width="10.109375" style="1" bestFit="1" customWidth="1"/>
    <col min="7" max="7" width="8.44140625" bestFit="1" customWidth="1"/>
    <col min="8" max="9" width="5.88671875" bestFit="1" customWidth="1"/>
    <col min="10" max="10" width="8" bestFit="1" customWidth="1"/>
    <col min="11" max="11" width="7.33203125" bestFit="1" customWidth="1"/>
    <col min="12" max="13" width="6.109375" bestFit="1" customWidth="1"/>
    <col min="14" max="17" width="5.88671875" bestFit="1" customWidth="1"/>
    <col min="18" max="18" width="5.88671875" style="1" bestFit="1" customWidth="1"/>
    <col min="19" max="19" width="10.77734375" bestFit="1" customWidth="1"/>
    <col min="20" max="20" width="5.88671875" bestFit="1" customWidth="1"/>
    <col min="21" max="21" width="9.88671875" bestFit="1" customWidth="1"/>
    <col min="22" max="22" width="11.33203125" style="1" bestFit="1" customWidth="1"/>
    <col min="23" max="25" width="6" bestFit="1" customWidth="1"/>
    <col min="26" max="26" width="8.5546875" bestFit="1" customWidth="1"/>
    <col min="27" max="27" width="11.33203125" bestFit="1" customWidth="1"/>
    <col min="28" max="29" width="12" bestFit="1" customWidth="1"/>
    <col min="30" max="30" width="6.21875" style="1" bestFit="1" customWidth="1"/>
    <col min="31" max="31" width="6" bestFit="1" customWidth="1"/>
    <col min="32" max="32" width="7.44140625" bestFit="1" customWidth="1"/>
    <col min="33" max="33" width="6" style="1" bestFit="1" customWidth="1"/>
    <col min="34" max="36" width="6" bestFit="1" customWidth="1"/>
    <col min="37" max="39" width="5.88671875" bestFit="1" customWidth="1"/>
    <col min="48" max="48" width="5.88671875" bestFit="1" customWidth="1"/>
    <col min="50" max="52" width="10.5546875" bestFit="1" customWidth="1"/>
    <col min="53" max="53" width="11.21875" bestFit="1" customWidth="1"/>
    <col min="54" max="55" width="10.5546875" bestFit="1" customWidth="1"/>
    <col min="56" max="56" width="11.21875" bestFit="1" customWidth="1"/>
    <col min="57" max="61" width="10.5546875" bestFit="1" customWidth="1"/>
  </cols>
  <sheetData>
    <row r="1" spans="3:61" x14ac:dyDescent="0.3">
      <c r="E1" s="1" t="s">
        <v>0</v>
      </c>
      <c r="F1" s="1" t="s">
        <v>1</v>
      </c>
    </row>
    <row r="2" spans="3:61" x14ac:dyDescent="0.3">
      <c r="C2" s="1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</row>
    <row r="3" spans="3:61" x14ac:dyDescent="0.3"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t="s">
        <v>31</v>
      </c>
      <c r="AG3" s="1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W3" t="str">
        <f>material[[#Headers],[material]]</f>
        <v>material</v>
      </c>
      <c r="AX3" t="s">
        <v>41</v>
      </c>
      <c r="AY3" t="s">
        <v>42</v>
      </c>
      <c r="AZ3" t="s">
        <v>43</v>
      </c>
      <c r="BA3" t="str">
        <f>material[[#Headers],[drho/dXs]]</f>
        <v>drho/dXs</v>
      </c>
      <c r="BB3" t="s">
        <v>44</v>
      </c>
      <c r="BC3" t="s">
        <v>45</v>
      </c>
      <c r="BD3" t="str">
        <f>material[[#Headers],[dK/dXs]]</f>
        <v>dK/dXs</v>
      </c>
      <c r="BE3" t="s">
        <v>46</v>
      </c>
      <c r="BF3" t="str">
        <f>material[[#Headers],[a_0]]</f>
        <v>a_0</v>
      </c>
      <c r="BG3" t="s">
        <v>47</v>
      </c>
      <c r="BH3" t="s">
        <v>48</v>
      </c>
      <c r="BI3" t="s">
        <v>49</v>
      </c>
    </row>
    <row r="4" spans="3:61" x14ac:dyDescent="0.3">
      <c r="D4" t="s">
        <v>50</v>
      </c>
      <c r="E4">
        <v>1770</v>
      </c>
      <c r="F4" s="2">
        <v>0</v>
      </c>
      <c r="G4">
        <v>7019</v>
      </c>
      <c r="L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4">
        <v>87</v>
      </c>
      <c r="O4">
        <v>5</v>
      </c>
      <c r="R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87</v>
      </c>
      <c r="S4">
        <f>0.000095</f>
        <v>9.5000000000000005E-5</v>
      </c>
      <c r="V4" s="3">
        <f>material[[#This Row],[a_0]]+material[[#This Row],[da/dp]]*(material[[#This Row],[p]]-material[[#This Row],[p_ref '[Gpa']]])+material[[#This Row],[da/dT]]*(material[[#This Row],[T]]-material[[#This Row],[T_ref '[K']]])</f>
        <v>9.5000000000000005E-5</v>
      </c>
      <c r="X4">
        <v>55.844999999999999</v>
      </c>
      <c r="Y4">
        <v>46.024000000000001</v>
      </c>
      <c r="Z4">
        <f>-0.00000001884667</f>
        <v>-1.8846670000000001E-8</v>
      </c>
      <c r="AA4">
        <f>0.00000000609475</f>
        <v>6.0947499999999999E-9</v>
      </c>
      <c r="AB4">
        <f>-0.0000000006640301</f>
        <v>-6.6403009999999996E-10</v>
      </c>
      <c r="AC4">
        <f>-0.000000008246121</f>
        <v>-8.2461210000000004E-9</v>
      </c>
      <c r="AD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'[Gpa']]]*1000000000)/(G3*material[[#This Row],[y=a*Ks/rho*Cp]]),
material[[#This Row],[Cp_A]])),
0)</f>
        <v>824.13823977079414</v>
      </c>
      <c r="AF4" s="4">
        <f>AVERAGE(90,110)</f>
        <v>100</v>
      </c>
      <c r="AG4" s="4">
        <f>AVERAGE(6.1,6.5,7.1,7.4,6.4,6.7)</f>
        <v>6.7</v>
      </c>
      <c r="AK4">
        <v>3</v>
      </c>
      <c r="AM4" t="s">
        <v>51</v>
      </c>
      <c r="AO4" s="5" t="s">
        <v>52</v>
      </c>
      <c r="AW4" t="str">
        <f t="shared" ref="AW4:AZ31" si="0">D4</f>
        <v>Fe,liq</v>
      </c>
      <c r="AX4" s="6">
        <f t="shared" si="0"/>
        <v>1770</v>
      </c>
      <c r="AY4" s="6">
        <f t="shared" si="0"/>
        <v>0</v>
      </c>
      <c r="AZ4" s="6">
        <f t="shared" si="0"/>
        <v>7019</v>
      </c>
      <c r="BA4" s="6">
        <f t="shared" ref="BA4:BB31" si="1">J4</f>
        <v>0</v>
      </c>
      <c r="BB4" s="6">
        <f t="shared" si="1"/>
        <v>0</v>
      </c>
      <c r="BC4" s="6">
        <f>material[[#This Row],[K_0 '[Gpa']]]</f>
        <v>87</v>
      </c>
      <c r="BD4" s="6">
        <f>material[[#This Row],[dK/dXs]]</f>
        <v>0</v>
      </c>
      <c r="BE4" s="6">
        <f>material[[#This Row],[dK/dXs^2]]</f>
        <v>0</v>
      </c>
      <c r="BF4" s="6">
        <f>material[[#This Row],[a_0]]</f>
        <v>9.5000000000000005E-5</v>
      </c>
      <c r="BG4" s="6">
        <f>material[[#This Row],[Cp '[J/Kkg']]]</f>
        <v>824.13823977079414</v>
      </c>
      <c r="BH4" s="6">
        <f>material[[#This Row],[k '[W/mK']]]*10^3</f>
        <v>100000</v>
      </c>
      <c r="BI4">
        <f>material[[#This Row],[visc '[mPas']]]*10^(-3)</f>
        <v>6.7000000000000002E-3</v>
      </c>
    </row>
    <row r="5" spans="3:61" x14ac:dyDescent="0.3">
      <c r="D5" t="s">
        <v>50</v>
      </c>
      <c r="E5">
        <v>1811</v>
      </c>
      <c r="F5" s="2">
        <v>100000</v>
      </c>
      <c r="G5">
        <f>(0.000000013105*(material[[#This Row],[T]]-material[[#This Row],[T_ref '[K']]])+0.00014247)^(-1)</f>
        <v>8421.9856102796057</v>
      </c>
      <c r="L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8421.9856102796057</v>
      </c>
      <c r="M5">
        <v>85.1</v>
      </c>
      <c r="N5">
        <v>-3.5000000000000003E-2</v>
      </c>
      <c r="R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148.48500000000001</v>
      </c>
      <c r="V5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5">
        <v>55.844999999999999</v>
      </c>
      <c r="Y5">
        <v>46.024000000000001</v>
      </c>
      <c r="Z5">
        <f>-0.00000001884667</f>
        <v>-1.8846670000000001E-8</v>
      </c>
      <c r="AA5">
        <f>0.00000000609475</f>
        <v>6.0947499999999999E-9</v>
      </c>
      <c r="AB5">
        <f>-0.0000000006640301</f>
        <v>-6.6403009999999996E-10</v>
      </c>
      <c r="AC5">
        <f>-0.000000008246121</f>
        <v>-8.2461210000000004E-9</v>
      </c>
      <c r="AD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'[Gpa']]]*1000000000)/(G4*material[[#This Row],[y=a*Ks/rho*Cp]]),
material[[#This Row],[Cp_A]])),
0)</f>
        <v>824.13823977079414</v>
      </c>
      <c r="AF5" s="4">
        <f>AVERAGE(90,110)</f>
        <v>100</v>
      </c>
      <c r="AG5" s="4">
        <f>AVERAGE(6.1,6.5,7.1,7.4,6.4,6.7)</f>
        <v>6.7</v>
      </c>
      <c r="AK5">
        <v>4</v>
      </c>
      <c r="AM5" t="s">
        <v>51</v>
      </c>
      <c r="AO5" s="4" t="s">
        <v>53</v>
      </c>
      <c r="AW5" t="str">
        <f t="shared" si="0"/>
        <v>Fe,liq</v>
      </c>
      <c r="AX5" s="6">
        <f t="shared" si="0"/>
        <v>1811</v>
      </c>
      <c r="AY5" s="6">
        <f t="shared" si="0"/>
        <v>100000</v>
      </c>
      <c r="AZ5" s="6">
        <f t="shared" si="0"/>
        <v>8421.9856102796057</v>
      </c>
      <c r="BA5" s="6">
        <f t="shared" si="1"/>
        <v>0</v>
      </c>
      <c r="BB5" s="6">
        <f t="shared" si="1"/>
        <v>0</v>
      </c>
      <c r="BC5" s="6">
        <f>material[[#This Row],[K_0 '[Gpa']]]</f>
        <v>85.1</v>
      </c>
      <c r="BD5" s="6">
        <f>material[[#This Row],[dK/dXs]]</f>
        <v>0</v>
      </c>
      <c r="BE5" s="6">
        <f>material[[#This Row],[dK/dXs^2]]</f>
        <v>0</v>
      </c>
      <c r="BF5" s="6">
        <f>material[[#This Row],[a_0]]</f>
        <v>0</v>
      </c>
      <c r="BG5" s="6">
        <f>material[[#This Row],[Cp '[J/Kkg']]]</f>
        <v>824.13823977079414</v>
      </c>
      <c r="BH5" s="6">
        <f>material[[#This Row],[k '[W/mK']]]*10^3</f>
        <v>100000</v>
      </c>
      <c r="BI5">
        <f>material[[#This Row],[visc '[mPas']]]*10^(-3)</f>
        <v>6.7000000000000002E-3</v>
      </c>
    </row>
    <row r="6" spans="3:61" x14ac:dyDescent="0.3">
      <c r="C6" s="1" t="s">
        <v>54</v>
      </c>
      <c r="D6" t="s">
        <v>50</v>
      </c>
      <c r="E6" s="5">
        <v>298</v>
      </c>
      <c r="F6" s="7">
        <f>100000</f>
        <v>100000</v>
      </c>
      <c r="G6">
        <v>7019</v>
      </c>
      <c r="L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6">
        <f>81.3</f>
        <v>81.3</v>
      </c>
      <c r="O6">
        <v>5.6</v>
      </c>
      <c r="P6">
        <f>-391</f>
        <v>-391</v>
      </c>
      <c r="Q6">
        <f>554</f>
        <v>554</v>
      </c>
      <c r="R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81.299440000000004</v>
      </c>
      <c r="S6">
        <f>0.00011</f>
        <v>1.1E-4</v>
      </c>
      <c r="V6" s="3">
        <f>material[[#This Row],[a_0]]+material[[#This Row],[da/dp]]*(material[[#This Row],[p]]-material[[#This Row],[p_ref '[Gpa']]])+material[[#This Row],[da/dT]]*(material[[#This Row],[T]]-material[[#This Row],[T_ref '[K']]])</f>
        <v>1.1E-4</v>
      </c>
      <c r="X6">
        <v>55.844999999999999</v>
      </c>
      <c r="Y6">
        <v>46.024000000000001</v>
      </c>
      <c r="Z6">
        <f>-0.00000001884667</f>
        <v>-1.8846670000000001E-8</v>
      </c>
      <c r="AA6">
        <f>0.00000000609475</f>
        <v>6.0947499999999999E-9</v>
      </c>
      <c r="AB6">
        <f>-0.0000000006640301</f>
        <v>-6.6403009999999996E-10</v>
      </c>
      <c r="AC6">
        <f>-0.000000008246121</f>
        <v>-8.2461210000000004E-9</v>
      </c>
      <c r="AD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'[Gpa']]]*1000000000)/(G5*material[[#This Row],[y=a*Ks/rho*Cp]]),
material[[#This Row],[Cp_A]])),
0)</f>
        <v>824.13823977079414</v>
      </c>
      <c r="AF6" s="4">
        <f>AVERAGE(90,110)</f>
        <v>100</v>
      </c>
      <c r="AG6" s="4">
        <f>AVERAGE(6.1,6.5,7.1,7.4,6.4,6.7)</f>
        <v>6.7</v>
      </c>
      <c r="AH6">
        <v>0</v>
      </c>
      <c r="AK6">
        <v>5</v>
      </c>
      <c r="AM6" t="s">
        <v>51</v>
      </c>
      <c r="AN6" t="s">
        <v>54</v>
      </c>
      <c r="AW6" t="str">
        <f t="shared" si="0"/>
        <v>Fe,liq</v>
      </c>
      <c r="AX6" s="6">
        <f t="shared" si="0"/>
        <v>298</v>
      </c>
      <c r="AY6" s="6">
        <f t="shared" si="0"/>
        <v>100000</v>
      </c>
      <c r="AZ6" s="6">
        <f t="shared" si="0"/>
        <v>7019</v>
      </c>
      <c r="BA6" s="6">
        <f t="shared" si="1"/>
        <v>0</v>
      </c>
      <c r="BB6" s="6">
        <f t="shared" si="1"/>
        <v>0</v>
      </c>
      <c r="BC6" s="6">
        <f>material[[#This Row],[K_0 '[Gpa']]]</f>
        <v>81.3</v>
      </c>
      <c r="BD6" s="6">
        <f>material[[#This Row],[dK/dXs]]</f>
        <v>-391</v>
      </c>
      <c r="BE6" s="6">
        <f>material[[#This Row],[dK/dXs^2]]</f>
        <v>554</v>
      </c>
      <c r="BF6" s="6">
        <f>material[[#This Row],[a_0]]</f>
        <v>1.1E-4</v>
      </c>
      <c r="BG6" s="6">
        <f>material[[#This Row],[Cp '[J/Kkg']]]</f>
        <v>824.13823977079414</v>
      </c>
      <c r="BH6" s="6">
        <f>material[[#This Row],[k '[W/mK']]]*10^3</f>
        <v>100000</v>
      </c>
      <c r="BI6">
        <f>material[[#This Row],[visc '[mPas']]]*10^(-3)</f>
        <v>6.7000000000000002E-3</v>
      </c>
    </row>
    <row r="7" spans="3:61" x14ac:dyDescent="0.3">
      <c r="D7" t="s">
        <v>55</v>
      </c>
      <c r="E7">
        <v>293</v>
      </c>
      <c r="F7" s="2">
        <v>0</v>
      </c>
      <c r="G7">
        <v>8170</v>
      </c>
      <c r="L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8170</v>
      </c>
      <c r="M7">
        <v>165</v>
      </c>
      <c r="O7">
        <v>5.5</v>
      </c>
      <c r="R7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165</v>
      </c>
      <c r="S7">
        <f>0.000064</f>
        <v>6.3999999999999997E-5</v>
      </c>
      <c r="V7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7">
        <v>55.844999999999999</v>
      </c>
      <c r="Y7">
        <v>23.974489999999999</v>
      </c>
      <c r="Z7">
        <v>8.3677499999999991</v>
      </c>
      <c r="AA7">
        <v>2.7700000000000001E-4</v>
      </c>
      <c r="AB7">
        <v>-8.6000000000000003E-5</v>
      </c>
      <c r="AC7">
        <v>-5.0000000000000004E-6</v>
      </c>
      <c r="AD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'[Gpa']]]*1000000000)/(G6*material[[#This Row],[y=a*Ks/rho*Cp]]),
material[[#This Row],[Cp_A]])),
0)</f>
        <v>429.30414540245317</v>
      </c>
      <c r="AF7">
        <f>232</f>
        <v>232</v>
      </c>
      <c r="AG7" s="5">
        <v>0</v>
      </c>
      <c r="AK7">
        <v>3</v>
      </c>
      <c r="AL7" t="s">
        <v>56</v>
      </c>
      <c r="AM7" t="s">
        <v>51</v>
      </c>
      <c r="AW7" t="str">
        <f t="shared" si="0"/>
        <v>Fe,sol</v>
      </c>
      <c r="AX7" s="6">
        <f t="shared" si="0"/>
        <v>293</v>
      </c>
      <c r="AY7" s="6">
        <f t="shared" si="0"/>
        <v>0</v>
      </c>
      <c r="AZ7" s="6">
        <f t="shared" si="0"/>
        <v>8170</v>
      </c>
      <c r="BA7" s="6">
        <f t="shared" si="1"/>
        <v>0</v>
      </c>
      <c r="BB7" s="6">
        <f t="shared" si="1"/>
        <v>0</v>
      </c>
      <c r="BC7" s="6">
        <f>material[[#This Row],[K_0 '[Gpa']]]</f>
        <v>165</v>
      </c>
      <c r="BD7" s="6">
        <f>material[[#This Row],[dK/dXs]]</f>
        <v>0</v>
      </c>
      <c r="BE7" s="6">
        <f>material[[#This Row],[dK/dXs^2]]</f>
        <v>0</v>
      </c>
      <c r="BF7" s="6">
        <f>material[[#This Row],[a_0]]</f>
        <v>6.3999999999999997E-5</v>
      </c>
      <c r="BG7" s="6">
        <f>material[[#This Row],[Cp '[J/Kkg']]]</f>
        <v>429.30414540245317</v>
      </c>
      <c r="BH7" s="6">
        <f>material[[#This Row],[k '[W/mK']]]*10^3</f>
        <v>232000</v>
      </c>
      <c r="BI7">
        <f>material[[#This Row],[visc '[mPas']]]*10^(-3)</f>
        <v>0</v>
      </c>
    </row>
    <row r="8" spans="3:61" x14ac:dyDescent="0.3">
      <c r="C8" s="1" t="s">
        <v>54</v>
      </c>
      <c r="D8" t="s">
        <v>55</v>
      </c>
      <c r="E8" s="5">
        <v>298</v>
      </c>
      <c r="F8" s="7">
        <f>100000</f>
        <v>100000</v>
      </c>
      <c r="G8">
        <v>7225</v>
      </c>
      <c r="L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7225</v>
      </c>
      <c r="M8">
        <f>1.27*100000000000/1000000000</f>
        <v>127</v>
      </c>
      <c r="O8">
        <v>5</v>
      </c>
      <c r="R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126.9995</v>
      </c>
      <c r="S8">
        <f>0.000092</f>
        <v>9.2E-5</v>
      </c>
      <c r="V8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8">
        <v>55.844999999999999</v>
      </c>
      <c r="Y8">
        <v>23.974489999999999</v>
      </c>
      <c r="Z8">
        <v>8.3677499999999991</v>
      </c>
      <c r="AA8">
        <v>2.7700000000000001E-4</v>
      </c>
      <c r="AB8">
        <v>-8.6000000000000003E-5</v>
      </c>
      <c r="AC8">
        <v>-5.0000000000000004E-6</v>
      </c>
      <c r="AD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'[Gpa']]]*1000000000)/(G7*material[[#This Row],[y=a*Ks/rho*Cp]]),
material[[#This Row],[Cp_A]])),
0)</f>
        <v>429.30414540245317</v>
      </c>
      <c r="AF8">
        <f>232</f>
        <v>232</v>
      </c>
      <c r="AG8" s="5">
        <v>0</v>
      </c>
      <c r="AK8">
        <v>5</v>
      </c>
      <c r="AM8" t="s">
        <v>51</v>
      </c>
      <c r="AN8" t="s">
        <v>54</v>
      </c>
      <c r="AW8" t="str">
        <f t="shared" si="0"/>
        <v>Fe,sol</v>
      </c>
      <c r="AX8" s="6">
        <f t="shared" si="0"/>
        <v>298</v>
      </c>
      <c r="AY8" s="6">
        <f t="shared" si="0"/>
        <v>100000</v>
      </c>
      <c r="AZ8" s="6">
        <f t="shared" si="0"/>
        <v>7225</v>
      </c>
      <c r="BA8" s="6">
        <f t="shared" si="1"/>
        <v>0</v>
      </c>
      <c r="BB8" s="6">
        <f t="shared" si="1"/>
        <v>0</v>
      </c>
      <c r="BC8" s="6">
        <f>material[[#This Row],[K_0 '[Gpa']]]</f>
        <v>127</v>
      </c>
      <c r="BD8" s="6">
        <f>material[[#This Row],[dK/dXs]]</f>
        <v>0</v>
      </c>
      <c r="BE8" s="6">
        <f>material[[#This Row],[dK/dXs^2]]</f>
        <v>0</v>
      </c>
      <c r="BF8" s="6">
        <f>material[[#This Row],[a_0]]</f>
        <v>9.2E-5</v>
      </c>
      <c r="BG8" s="6">
        <f>material[[#This Row],[Cp '[J/Kkg']]]</f>
        <v>429.30414540245317</v>
      </c>
      <c r="BH8" s="6">
        <f>material[[#This Row],[k '[W/mK']]]*10^3</f>
        <v>232000</v>
      </c>
      <c r="BI8">
        <f>material[[#This Row],[visc '[mPas']]]*10^(-3)</f>
        <v>0</v>
      </c>
    </row>
    <row r="9" spans="3:61" x14ac:dyDescent="0.3">
      <c r="C9" s="1" t="s">
        <v>54</v>
      </c>
      <c r="D9" t="s">
        <v>57</v>
      </c>
      <c r="E9">
        <v>293</v>
      </c>
      <c r="F9" s="2">
        <v>0</v>
      </c>
      <c r="G9">
        <v>7033</v>
      </c>
      <c r="L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7033</v>
      </c>
      <c r="M9">
        <v>150</v>
      </c>
      <c r="O9">
        <v>4</v>
      </c>
      <c r="R9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150</v>
      </c>
      <c r="S9">
        <f>0.000064</f>
        <v>6.3999999999999997E-5</v>
      </c>
      <c r="V9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9">
        <v>87.91</v>
      </c>
      <c r="Y9">
        <v>95.827799999999996</v>
      </c>
      <c r="Z9">
        <v>-85.561499999999995</v>
      </c>
      <c r="AA9">
        <v>48.720300000000002</v>
      </c>
      <c r="AB9">
        <v>-1.01E-4</v>
      </c>
      <c r="AC9">
        <v>7.1000000000000005E-5</v>
      </c>
      <c r="AD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'[Gpa']]]*1000000000)/(G8*material[[#This Row],[y=a*Ks/rho*Cp]]),
material[[#This Row],[Cp_A]])),
0)</f>
        <v>1090.0671140939598</v>
      </c>
      <c r="AF9">
        <v>3.6</v>
      </c>
      <c r="AG9" s="4">
        <f t="shared" ref="AG9:AG15" si="2">AVERAGE(5.7,4.8,4.8,4.7)</f>
        <v>5</v>
      </c>
      <c r="AK9">
        <v>3</v>
      </c>
      <c r="AM9" t="s">
        <v>58</v>
      </c>
      <c r="AN9" t="s">
        <v>54</v>
      </c>
      <c r="AW9" t="str">
        <f t="shared" si="0"/>
        <v>Fe-3S, sol</v>
      </c>
      <c r="AX9" s="6">
        <f t="shared" si="0"/>
        <v>293</v>
      </c>
      <c r="AY9" s="6">
        <f t="shared" si="0"/>
        <v>0</v>
      </c>
      <c r="AZ9" s="6">
        <f t="shared" si="0"/>
        <v>7033</v>
      </c>
      <c r="BA9" s="6">
        <f t="shared" si="1"/>
        <v>0</v>
      </c>
      <c r="BB9" s="6">
        <f t="shared" si="1"/>
        <v>0</v>
      </c>
      <c r="BC9" s="6">
        <f>material[[#This Row],[K_0 '[Gpa']]]</f>
        <v>150</v>
      </c>
      <c r="BD9" s="6">
        <f>material[[#This Row],[dK/dXs]]</f>
        <v>0</v>
      </c>
      <c r="BE9" s="6">
        <f>material[[#This Row],[dK/dXs^2]]</f>
        <v>0</v>
      </c>
      <c r="BF9" s="6">
        <f>material[[#This Row],[a_0]]</f>
        <v>6.3999999999999997E-5</v>
      </c>
      <c r="BG9" s="6">
        <f>material[[#This Row],[Cp '[J/Kkg']]]</f>
        <v>1090.0671140939598</v>
      </c>
      <c r="BH9" s="6">
        <f>material[[#This Row],[k '[W/mK']]]*10^3</f>
        <v>3600</v>
      </c>
      <c r="BI9">
        <f>material[[#This Row],[visc '[mPas']]]*10^(-3)</f>
        <v>5.0000000000000001E-3</v>
      </c>
    </row>
    <row r="10" spans="3:61" x14ac:dyDescent="0.3">
      <c r="D10" t="s">
        <v>59</v>
      </c>
      <c r="E10" s="4">
        <f>AVERAGE(1773,2123)</f>
        <v>1948</v>
      </c>
      <c r="F10" s="2">
        <v>100000</v>
      </c>
      <c r="G10">
        <v>5500</v>
      </c>
      <c r="L1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5500</v>
      </c>
      <c r="M10">
        <v>63</v>
      </c>
      <c r="O10">
        <v>4.8</v>
      </c>
      <c r="R10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62.999519999999997</v>
      </c>
      <c r="V10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0">
        <v>87.91</v>
      </c>
      <c r="Y10">
        <v>62.550800000000002</v>
      </c>
      <c r="Z10">
        <v>1.9999999999999999E-6</v>
      </c>
      <c r="AA10">
        <v>-6.72062E-7</v>
      </c>
      <c r="AB10">
        <f>0.00000006411921</f>
        <v>6.4119210000000001E-8</v>
      </c>
      <c r="AC10">
        <f>-0.0000004303011</f>
        <v>-4.303011E-7</v>
      </c>
      <c r="AD1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'[Gpa']]]*1000000000)/(G9*material[[#This Row],[y=a*Ks/rho*Cp]]),
material[[#This Row],[Cp_A]])),
0)</f>
        <v>711.53224889091121</v>
      </c>
      <c r="AF10">
        <v>3.6</v>
      </c>
      <c r="AG10" s="4">
        <f t="shared" si="2"/>
        <v>5</v>
      </c>
      <c r="AH10">
        <v>0.1</v>
      </c>
      <c r="AK10">
        <v>4</v>
      </c>
      <c r="AM10" t="s">
        <v>58</v>
      </c>
      <c r="AO10" s="8"/>
      <c r="AW10" t="str">
        <f t="shared" si="0"/>
        <v>Fe-S(10wt%)</v>
      </c>
      <c r="AX10" s="6">
        <f t="shared" si="0"/>
        <v>1948</v>
      </c>
      <c r="AY10" s="6">
        <f t="shared" si="0"/>
        <v>100000</v>
      </c>
      <c r="AZ10" s="6">
        <f t="shared" si="0"/>
        <v>5500</v>
      </c>
      <c r="BA10" s="6">
        <f t="shared" si="1"/>
        <v>0</v>
      </c>
      <c r="BB10" s="6">
        <f t="shared" si="1"/>
        <v>0</v>
      </c>
      <c r="BC10" s="6">
        <f>material[[#This Row],[K_0 '[Gpa']]]</f>
        <v>63</v>
      </c>
      <c r="BD10" s="6">
        <f>material[[#This Row],[dK/dXs]]</f>
        <v>0</v>
      </c>
      <c r="BE10" s="6">
        <f>material[[#This Row],[dK/dXs^2]]</f>
        <v>0</v>
      </c>
      <c r="BF10" s="6">
        <f>material[[#This Row],[a_0]]</f>
        <v>0</v>
      </c>
      <c r="BG10" s="6">
        <f>material[[#This Row],[Cp '[J/Kkg']]]</f>
        <v>711.53224889091121</v>
      </c>
      <c r="BH10" s="6">
        <f>material[[#This Row],[k '[W/mK']]]*10^3</f>
        <v>3600</v>
      </c>
      <c r="BI10">
        <f>material[[#This Row],[visc '[mPas']]]*10^(-3)</f>
        <v>5.0000000000000001E-3</v>
      </c>
    </row>
    <row r="11" spans="3:61" x14ac:dyDescent="0.3">
      <c r="C11" s="1" t="s">
        <v>54</v>
      </c>
      <c r="D11" t="s">
        <v>60</v>
      </c>
      <c r="E11">
        <v>1000</v>
      </c>
      <c r="F11" s="2">
        <v>0</v>
      </c>
      <c r="G11">
        <v>4872</v>
      </c>
      <c r="L1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4872</v>
      </c>
      <c r="M11">
        <v>54.3</v>
      </c>
      <c r="O11">
        <v>4</v>
      </c>
      <c r="R11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54.3</v>
      </c>
      <c r="S11">
        <f>0.000104</f>
        <v>1.0399999999999999E-4</v>
      </c>
      <c r="V11" s="3">
        <f>material[[#This Row],[a_0]]+material[[#This Row],[da/dp]]*(material[[#This Row],[p]]-material[[#This Row],[p_ref '[Gpa']]])+material[[#This Row],[da/dT]]*(material[[#This Row],[T]]-material[[#This Row],[T_ref '[K']]])</f>
        <v>1.0399999999999999E-4</v>
      </c>
      <c r="X11">
        <v>87.91</v>
      </c>
      <c r="Y11">
        <v>95.827799999999996</v>
      </c>
      <c r="Z11">
        <v>-85.561499999999995</v>
      </c>
      <c r="AA11">
        <v>48.720300000000002</v>
      </c>
      <c r="AB11">
        <v>-1.01E-4</v>
      </c>
      <c r="AC11">
        <v>7.1000000000000005E-5</v>
      </c>
      <c r="AD1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'[Gpa']]]*1000000000)/(G10*material[[#This Row],[y=a*Ks/rho*Cp]]),
material[[#This Row],[Cp_A]])),
0)</f>
        <v>1090.0671140939598</v>
      </c>
      <c r="AF11">
        <v>3.6</v>
      </c>
      <c r="AG11" s="4">
        <f t="shared" si="2"/>
        <v>5</v>
      </c>
      <c r="AK11">
        <v>3</v>
      </c>
      <c r="AL11" t="s">
        <v>61</v>
      </c>
      <c r="AM11" t="s">
        <v>58</v>
      </c>
      <c r="AN11" t="s">
        <v>54</v>
      </c>
      <c r="AW11" t="str">
        <f t="shared" si="0"/>
        <v>Fe-S(V), sol</v>
      </c>
      <c r="AX11" s="6">
        <f t="shared" si="0"/>
        <v>1000</v>
      </c>
      <c r="AY11" s="6">
        <f t="shared" si="0"/>
        <v>0</v>
      </c>
      <c r="AZ11" s="6">
        <f t="shared" si="0"/>
        <v>4872</v>
      </c>
      <c r="BA11" s="6">
        <f t="shared" si="1"/>
        <v>0</v>
      </c>
      <c r="BB11" s="6">
        <f t="shared" si="1"/>
        <v>0</v>
      </c>
      <c r="BC11" s="6">
        <f>material[[#This Row],[K_0 '[Gpa']]]</f>
        <v>54.3</v>
      </c>
      <c r="BD11" s="6">
        <f>material[[#This Row],[dK/dXs]]</f>
        <v>0</v>
      </c>
      <c r="BE11" s="6">
        <f>material[[#This Row],[dK/dXs^2]]</f>
        <v>0</v>
      </c>
      <c r="BF11" s="6">
        <f>material[[#This Row],[a_0]]</f>
        <v>1.0399999999999999E-4</v>
      </c>
      <c r="BG11" s="6">
        <f>material[[#This Row],[Cp '[J/Kkg']]]</f>
        <v>1090.0671140939598</v>
      </c>
      <c r="BH11" s="6">
        <f>material[[#This Row],[k '[W/mK']]]*10^3</f>
        <v>3600</v>
      </c>
      <c r="BI11">
        <f>material[[#This Row],[visc '[mPas']]]*10^(-3)</f>
        <v>5.0000000000000001E-3</v>
      </c>
    </row>
    <row r="12" spans="3:61" x14ac:dyDescent="0.3">
      <c r="C12" s="1" t="s">
        <v>54</v>
      </c>
      <c r="D12" t="s">
        <v>62</v>
      </c>
      <c r="E12">
        <v>1770</v>
      </c>
      <c r="F12" s="2">
        <v>0</v>
      </c>
      <c r="G12">
        <v>7019</v>
      </c>
      <c r="J12">
        <v>-20012</v>
      </c>
      <c r="K12">
        <v>31524</v>
      </c>
      <c r="L1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7019</v>
      </c>
      <c r="M12">
        <v>85.9</v>
      </c>
      <c r="O12">
        <v>5.0999999999999996</v>
      </c>
      <c r="P12">
        <v>-462.4</v>
      </c>
      <c r="Q12">
        <v>780.8</v>
      </c>
      <c r="R12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85.9</v>
      </c>
      <c r="S12">
        <f>0.000092</f>
        <v>9.2E-5</v>
      </c>
      <c r="V12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2">
        <v>87.91</v>
      </c>
      <c r="Y12">
        <v>62.550800000000002</v>
      </c>
      <c r="Z12">
        <v>1.9999999999999999E-6</v>
      </c>
      <c r="AA12">
        <v>-6.72062E-7</v>
      </c>
      <c r="AB12">
        <f>0.00000006411921</f>
        <v>6.4119210000000001E-8</v>
      </c>
      <c r="AC12">
        <f>-0.0000004303011</f>
        <v>-4.303011E-7</v>
      </c>
      <c r="AD1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'[Gpa']]]*1000000000)/(G11*material[[#This Row],[y=a*Ks/rho*Cp]]),
material[[#This Row],[Cp_A]])),
0)</f>
        <v>711.53224889091121</v>
      </c>
      <c r="AF12">
        <v>3.6</v>
      </c>
      <c r="AG12" s="4">
        <f t="shared" si="2"/>
        <v>5</v>
      </c>
      <c r="AH12">
        <v>0</v>
      </c>
      <c r="AK12">
        <v>3</v>
      </c>
      <c r="AL12" t="s">
        <v>63</v>
      </c>
      <c r="AM12" t="s">
        <v>58</v>
      </c>
      <c r="AN12" t="s">
        <v>54</v>
      </c>
      <c r="AW12" t="str">
        <f t="shared" si="0"/>
        <v>Fe-S,liq</v>
      </c>
      <c r="AX12" s="6">
        <f t="shared" si="0"/>
        <v>1770</v>
      </c>
      <c r="AY12" s="6">
        <f t="shared" si="0"/>
        <v>0</v>
      </c>
      <c r="AZ12" s="6">
        <f t="shared" si="0"/>
        <v>7019</v>
      </c>
      <c r="BA12" s="6">
        <f t="shared" si="1"/>
        <v>-20012</v>
      </c>
      <c r="BB12" s="6">
        <f t="shared" si="1"/>
        <v>31524</v>
      </c>
      <c r="BC12" s="6">
        <f>material[[#This Row],[K_0 '[Gpa']]]</f>
        <v>85.9</v>
      </c>
      <c r="BD12" s="6">
        <f>material[[#This Row],[dK/dXs]]</f>
        <v>-462.4</v>
      </c>
      <c r="BE12" s="6">
        <f>material[[#This Row],[dK/dXs^2]]</f>
        <v>780.8</v>
      </c>
      <c r="BF12" s="6">
        <f>material[[#This Row],[a_0]]</f>
        <v>9.2E-5</v>
      </c>
      <c r="BG12" s="6">
        <f>material[[#This Row],[Cp '[J/Kkg']]]</f>
        <v>711.53224889091121</v>
      </c>
      <c r="BH12" s="6">
        <f>material[[#This Row],[k '[W/mK']]]*10^3</f>
        <v>3600</v>
      </c>
      <c r="BI12">
        <f>material[[#This Row],[visc '[mPas']]]*10^(-3)</f>
        <v>5.0000000000000001E-3</v>
      </c>
    </row>
    <row r="13" spans="3:61" x14ac:dyDescent="0.3">
      <c r="D13" t="s">
        <v>62</v>
      </c>
      <c r="E13">
        <v>273</v>
      </c>
      <c r="F13" s="2">
        <v>100000</v>
      </c>
      <c r="G13">
        <v>4598</v>
      </c>
      <c r="I13">
        <v>-0.57999999999999996</v>
      </c>
      <c r="L1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4756.34</v>
      </c>
      <c r="R13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0</v>
      </c>
      <c r="V13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X13">
        <v>87.91</v>
      </c>
      <c r="Y13">
        <v>62.550800000000002</v>
      </c>
      <c r="Z13">
        <v>1.9999999999999999E-6</v>
      </c>
      <c r="AA13">
        <v>-6.72062E-7</v>
      </c>
      <c r="AB13">
        <f>0.00000006411921</f>
        <v>6.4119210000000001E-8</v>
      </c>
      <c r="AC13">
        <f>-0.0000004303011</f>
        <v>-4.303011E-7</v>
      </c>
      <c r="AD1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'[Gpa']]]*1000000000)/(G12*material[[#This Row],[y=a*Ks/rho*Cp]]),
material[[#This Row],[Cp_A]])),
0)</f>
        <v>711.53224889091121</v>
      </c>
      <c r="AF13">
        <v>3.6</v>
      </c>
      <c r="AG13" s="4">
        <f t="shared" si="2"/>
        <v>5</v>
      </c>
      <c r="AI13">
        <v>0</v>
      </c>
      <c r="AK13">
        <v>4</v>
      </c>
      <c r="AM13" t="s">
        <v>58</v>
      </c>
      <c r="AW13" t="str">
        <f t="shared" si="0"/>
        <v>Fe-S,liq</v>
      </c>
      <c r="AX13" s="6">
        <f t="shared" si="0"/>
        <v>273</v>
      </c>
      <c r="AY13" s="6">
        <f t="shared" si="0"/>
        <v>100000</v>
      </c>
      <c r="AZ13" s="6">
        <f t="shared" si="0"/>
        <v>4598</v>
      </c>
      <c r="BA13" s="6">
        <f t="shared" si="1"/>
        <v>0</v>
      </c>
      <c r="BB13" s="6">
        <f t="shared" si="1"/>
        <v>0</v>
      </c>
      <c r="BC13" s="6">
        <f>material[[#This Row],[K_0 '[Gpa']]]</f>
        <v>0</v>
      </c>
      <c r="BD13" s="6">
        <f>material[[#This Row],[dK/dXs]]</f>
        <v>0</v>
      </c>
      <c r="BE13" s="6">
        <f>material[[#This Row],[dK/dXs^2]]</f>
        <v>0</v>
      </c>
      <c r="BF13" s="6">
        <f>material[[#This Row],[a_0]]</f>
        <v>0</v>
      </c>
      <c r="BG13" s="6">
        <f>material[[#This Row],[Cp '[J/Kkg']]]</f>
        <v>711.53224889091121</v>
      </c>
      <c r="BH13" s="6">
        <f>material[[#This Row],[k '[W/mK']]]*10^3</f>
        <v>3600</v>
      </c>
      <c r="BI13">
        <f>material[[#This Row],[visc '[mPas']]]*10^(-3)</f>
        <v>5.0000000000000001E-3</v>
      </c>
    </row>
    <row r="14" spans="3:61" x14ac:dyDescent="0.3">
      <c r="C14" s="1" t="s">
        <v>54</v>
      </c>
      <c r="D14" t="s">
        <v>64</v>
      </c>
      <c r="E14">
        <v>1723</v>
      </c>
      <c r="F14" s="2">
        <v>0</v>
      </c>
      <c r="G14">
        <v>6000</v>
      </c>
      <c r="L1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6000</v>
      </c>
      <c r="M14">
        <v>73</v>
      </c>
      <c r="O14">
        <v>4</v>
      </c>
      <c r="R14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73</v>
      </c>
      <c r="S14">
        <f>0.000092</f>
        <v>9.2E-5</v>
      </c>
      <c r="V14" s="3">
        <f>material[[#This Row],[a_0]]+material[[#This Row],[da/dp]]*(material[[#This Row],[p]]-material[[#This Row],[p_ref '[Gpa']]])+material[[#This Row],[da/dT]]*(material[[#This Row],[T]]-material[[#This Row],[T_ref '[K']]])</f>
        <v>9.2E-5</v>
      </c>
      <c r="X14">
        <v>83.93</v>
      </c>
      <c r="Y14">
        <f>AVERAGE(VLOOKUP("Fe,sol",material[],Y$2,FALSE),VLOOKUP("Si,sol",material[],Y$2,FALSE))</f>
        <v>25.585265</v>
      </c>
      <c r="Z14">
        <f>AVERAGE(VLOOKUP("Fe,sol",material[],Z$2,FALSE),VLOOKUP("Si,sol",material[],Z$2,FALSE))</f>
        <v>4.1838749999400839</v>
      </c>
      <c r="AA14">
        <f>AVERAGE(VLOOKUP("Fe,sol",material[],AA$2,FALSE),VLOOKUP("Si,sol",material[],AA$2,FALSE))</f>
        <v>1.3850002676631001E-4</v>
      </c>
      <c r="AB14">
        <f>AVERAGE(VLOOKUP("Fe,sol",material[],AB$2,FALSE),VLOOKUP("Si,sol",material[],AB$2,FALSE))</f>
        <v>-4.3000003478306003E-5</v>
      </c>
      <c r="AC14">
        <f>AVERAGE(VLOOKUP("Fe,sol",material[],AC$2,FALSE),VLOOKUP("Si,sol",material[],AC$2,FALSE))</f>
        <v>-2.5000021471875001E-6</v>
      </c>
      <c r="AD1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'[Gpa']]]*1000000000)/(G13*material[[#This Row],[y=a*Ks/rho*Cp]]),
material[[#This Row],[Cp_A]])),
0)</f>
        <v>304.84052186345764</v>
      </c>
      <c r="AF14" s="4">
        <f>AVERAGE(100,110)</f>
        <v>105</v>
      </c>
      <c r="AG14" s="4">
        <f t="shared" si="2"/>
        <v>5</v>
      </c>
      <c r="AK14">
        <v>3</v>
      </c>
      <c r="AL14" t="s">
        <v>65</v>
      </c>
      <c r="AN14" t="s">
        <v>54</v>
      </c>
      <c r="AO14" s="1"/>
      <c r="AP14" s="1"/>
      <c r="AQ14" s="1"/>
      <c r="AR14" s="1"/>
      <c r="AS14" s="1"/>
      <c r="AT14" s="1"/>
      <c r="AU14" s="1"/>
      <c r="AV14" s="1"/>
      <c r="AW14" t="str">
        <f t="shared" si="0"/>
        <v>Fe-Si(17wt%), liq</v>
      </c>
      <c r="AX14" s="6">
        <f t="shared" si="0"/>
        <v>1723</v>
      </c>
      <c r="AY14" s="6">
        <f t="shared" si="0"/>
        <v>0</v>
      </c>
      <c r="AZ14" s="6">
        <f t="shared" si="0"/>
        <v>6000</v>
      </c>
      <c r="BA14" s="6">
        <f t="shared" si="1"/>
        <v>0</v>
      </c>
      <c r="BB14" s="6">
        <f t="shared" si="1"/>
        <v>0</v>
      </c>
      <c r="BC14" s="6">
        <f>material[[#This Row],[K_0 '[Gpa']]]</f>
        <v>73</v>
      </c>
      <c r="BD14" s="6">
        <f>material[[#This Row],[dK/dXs]]</f>
        <v>0</v>
      </c>
      <c r="BE14" s="6">
        <f>material[[#This Row],[dK/dXs^2]]</f>
        <v>0</v>
      </c>
      <c r="BF14" s="6">
        <f>material[[#This Row],[a_0]]</f>
        <v>9.2E-5</v>
      </c>
      <c r="BG14" s="6">
        <f>material[[#This Row],[Cp '[J/Kkg']]]</f>
        <v>304.84052186345764</v>
      </c>
      <c r="BH14" s="6">
        <f>material[[#This Row],[k '[W/mK']]]*10^3</f>
        <v>105000</v>
      </c>
      <c r="BI14">
        <f>material[[#This Row],[visc '[mPas']]]*10^(-3)</f>
        <v>5.0000000000000001E-3</v>
      </c>
    </row>
    <row r="15" spans="3:61" x14ac:dyDescent="0.3">
      <c r="D15" t="s">
        <v>66</v>
      </c>
      <c r="E15">
        <v>300</v>
      </c>
      <c r="F15" s="2">
        <v>0</v>
      </c>
      <c r="G15">
        <v>7147</v>
      </c>
      <c r="L1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7147</v>
      </c>
      <c r="M15">
        <v>141</v>
      </c>
      <c r="O15">
        <v>5.7</v>
      </c>
      <c r="R15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141</v>
      </c>
      <c r="S15">
        <f>0.000064</f>
        <v>6.3999999999999997E-5</v>
      </c>
      <c r="V15" s="3">
        <f>material[[#This Row],[a_0]]+material[[#This Row],[da/dp]]*(material[[#This Row],[p]]-material[[#This Row],[p_ref '[Gpa']]])+material[[#This Row],[da/dT]]*(material[[#This Row],[T]]-material[[#This Row],[T_ref '[K']]])</f>
        <v>6.3999999999999997E-5</v>
      </c>
      <c r="X15">
        <v>83.93</v>
      </c>
      <c r="Y15">
        <f>AVERAGE(VLOOKUP("Fe,sol",material[],Y$2,FALSE),VLOOKUP("Si,sol",material[],Y$2,FALSE))</f>
        <v>25.585265</v>
      </c>
      <c r="Z15">
        <f>AVERAGE(VLOOKUP("Fe,sol",material[],Z$2,FALSE),VLOOKUP("Si,sol",material[],Z$2,FALSE))</f>
        <v>4.1838749999400839</v>
      </c>
      <c r="AA15">
        <f>AVERAGE(VLOOKUP("Fe,sol",material[],AA$2,FALSE),VLOOKUP("Si,sol",material[],AA$2,FALSE))</f>
        <v>1.3850002676631001E-4</v>
      </c>
      <c r="AB15">
        <f>AVERAGE(VLOOKUP("Fe,sol",material[],AB$2,FALSE),VLOOKUP("Si,sol",material[],AB$2,FALSE))</f>
        <v>-4.3000003478306003E-5</v>
      </c>
      <c r="AC15">
        <f>AVERAGE(VLOOKUP("Fe,sol",material[],AC$2,FALSE),VLOOKUP("Si,sol",material[],AC$2,FALSE))</f>
        <v>-2.5000021471875001E-6</v>
      </c>
      <c r="AD1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'[Gpa']]]*1000000000)/(G14*material[[#This Row],[y=a*Ks/rho*Cp]]),
material[[#This Row],[Cp_A]])),
0)</f>
        <v>304.84052186345764</v>
      </c>
      <c r="AF15" s="4">
        <f>AVERAGE(100,110)</f>
        <v>105</v>
      </c>
      <c r="AG15" s="4">
        <f t="shared" si="2"/>
        <v>5</v>
      </c>
      <c r="AK15">
        <v>3</v>
      </c>
      <c r="AL15" s="9" t="s">
        <v>65</v>
      </c>
      <c r="AW15" t="str">
        <f t="shared" si="0"/>
        <v>Fe-Si(17wt%), sol</v>
      </c>
      <c r="AX15" s="6">
        <f t="shared" si="0"/>
        <v>300</v>
      </c>
      <c r="AY15" s="6">
        <f t="shared" si="0"/>
        <v>0</v>
      </c>
      <c r="AZ15" s="6">
        <f t="shared" si="0"/>
        <v>7147</v>
      </c>
      <c r="BA15" s="6">
        <f t="shared" si="1"/>
        <v>0</v>
      </c>
      <c r="BB15" s="6">
        <f t="shared" si="1"/>
        <v>0</v>
      </c>
      <c r="BC15" s="6">
        <f>material[[#This Row],[K_0 '[Gpa']]]</f>
        <v>141</v>
      </c>
      <c r="BD15" s="6">
        <f>material[[#This Row],[dK/dXs]]</f>
        <v>0</v>
      </c>
      <c r="BE15" s="6">
        <f>material[[#This Row],[dK/dXs^2]]</f>
        <v>0</v>
      </c>
      <c r="BF15" s="6">
        <f>material[[#This Row],[a_0]]</f>
        <v>6.3999999999999997E-5</v>
      </c>
      <c r="BG15" s="6">
        <f>material[[#This Row],[Cp '[J/Kkg']]]</f>
        <v>304.84052186345764</v>
      </c>
      <c r="BH15" s="6">
        <f>material[[#This Row],[k '[W/mK']]]*10^3</f>
        <v>105000</v>
      </c>
      <c r="BI15">
        <f>material[[#This Row],[visc '[mPas']]]*10^(-3)</f>
        <v>5.0000000000000001E-3</v>
      </c>
    </row>
    <row r="16" spans="3:61" x14ac:dyDescent="0.3">
      <c r="C16" s="1" t="s">
        <v>54</v>
      </c>
      <c r="D16" t="s">
        <v>67</v>
      </c>
      <c r="E16">
        <v>440</v>
      </c>
      <c r="F16" s="2">
        <v>0</v>
      </c>
      <c r="G16" s="4">
        <f>AVERAGE(2800,3600)</f>
        <v>3200</v>
      </c>
      <c r="H16" s="4"/>
      <c r="I16" s="4"/>
      <c r="J16" s="4"/>
      <c r="K16" s="4"/>
      <c r="L1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6">
        <v>120</v>
      </c>
      <c r="O16">
        <v>4.25</v>
      </c>
      <c r="R16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120</v>
      </c>
      <c r="S16">
        <f>0.00003</f>
        <v>3.0000000000000001E-5</v>
      </c>
      <c r="V16" s="3">
        <f>material[[#This Row],[a_0]]+material[[#This Row],[da/dp]]*(material[[#This Row],[p]]-material[[#This Row],[p_ref '[Gpa']]])+material[[#This Row],[da/dT]]*(material[[#This Row],[T]]-material[[#This Row],[T_ref '[K']]])</f>
        <v>3.0000000000000001E-5</v>
      </c>
      <c r="Y16">
        <v>422</v>
      </c>
      <c r="AD1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'[Gpa']]]*1000000000)/(G15*material[[#This Row],[y=a*Ks/rho*Cp]]),
material[[#This Row],[Cp_A]])),
0)</f>
        <v>422</v>
      </c>
      <c r="AE16" s="4">
        <f>AVERAGE(0.0000017,0.00000075,0.000001,0.0000003,0.0000014,0.0000004)</f>
        <v>9.2499999999999993E-7</v>
      </c>
      <c r="AF16">
        <f>material[[#This Row],[ⲕ '[Wm2/J']]]*material[[#This Row],[rho '[kg/m3']]]*material[[#This Row],[Cp '[J/Kkg']]]</f>
        <v>1.24912</v>
      </c>
      <c r="AG16" s="5">
        <v>0</v>
      </c>
      <c r="AK16">
        <v>3</v>
      </c>
      <c r="AM16" t="s">
        <v>51</v>
      </c>
      <c r="AN16" t="s">
        <v>54</v>
      </c>
      <c r="AW16" t="str">
        <f t="shared" si="0"/>
        <v>mantle</v>
      </c>
      <c r="AX16" s="6">
        <f t="shared" si="0"/>
        <v>440</v>
      </c>
      <c r="AY16" s="6">
        <f t="shared" si="0"/>
        <v>0</v>
      </c>
      <c r="AZ16" s="6">
        <f t="shared" si="0"/>
        <v>3200</v>
      </c>
      <c r="BA16" s="6">
        <f t="shared" si="1"/>
        <v>0</v>
      </c>
      <c r="BB16" s="6">
        <f t="shared" si="1"/>
        <v>0</v>
      </c>
      <c r="BC16" s="6">
        <f>material[[#This Row],[K_0 '[Gpa']]]</f>
        <v>120</v>
      </c>
      <c r="BD16" s="6">
        <f>material[[#This Row],[dK/dXs]]</f>
        <v>0</v>
      </c>
      <c r="BE16" s="6">
        <f>material[[#This Row],[dK/dXs^2]]</f>
        <v>0</v>
      </c>
      <c r="BF16" s="6">
        <f>material[[#This Row],[a_0]]</f>
        <v>3.0000000000000001E-5</v>
      </c>
      <c r="BG16" s="6">
        <f>material[[#This Row],[Cp '[J/Kkg']]]</f>
        <v>422</v>
      </c>
      <c r="BH16" s="6">
        <f>material[[#This Row],[k '[W/mK']]]*10^3</f>
        <v>1249.1200000000001</v>
      </c>
      <c r="BI16">
        <f>material[[#This Row],[visc '[mPas']]]*10^(-3)</f>
        <v>0</v>
      </c>
    </row>
    <row r="17" spans="3:61" x14ac:dyDescent="0.3">
      <c r="D17" t="s">
        <v>68</v>
      </c>
      <c r="E17" s="5">
        <v>298</v>
      </c>
      <c r="F17" s="7">
        <f>100000</f>
        <v>100000</v>
      </c>
      <c r="L1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1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17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7">
        <v>27.19604</v>
      </c>
      <c r="Z17">
        <v>-1.198306E-10</v>
      </c>
      <c r="AA17">
        <v>5.3532620000000002E-11</v>
      </c>
      <c r="AB17">
        <v>-6.9566120000000001E-12</v>
      </c>
      <c r="AC17">
        <v>-4.2943750000000001E-12</v>
      </c>
      <c r="AD1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'[Gpa']]]*1000000000)/(G16*material[[#This Row],[y=a*Ks/rho*Cp]]),
material[[#This Row],[Cp_A]])),
0)</f>
        <v>27.19604</v>
      </c>
      <c r="AG17" s="5">
        <v>0</v>
      </c>
      <c r="AM17" t="s">
        <v>69</v>
      </c>
      <c r="AW17" t="str">
        <f t="shared" si="0"/>
        <v>Si,sol</v>
      </c>
      <c r="AX17" s="6">
        <f t="shared" si="0"/>
        <v>298</v>
      </c>
      <c r="AY17" s="6">
        <f t="shared" si="0"/>
        <v>100000</v>
      </c>
      <c r="AZ17" s="6">
        <f t="shared" si="0"/>
        <v>0</v>
      </c>
      <c r="BA17" s="6">
        <f t="shared" si="1"/>
        <v>0</v>
      </c>
      <c r="BB17" s="6">
        <f t="shared" si="1"/>
        <v>0</v>
      </c>
      <c r="BC17" s="6">
        <f>material[[#This Row],[K_0 '[Gpa']]]</f>
        <v>0</v>
      </c>
      <c r="BD17" s="6">
        <f>material[[#This Row],[dK/dXs]]</f>
        <v>0</v>
      </c>
      <c r="BE17" s="6">
        <f>material[[#This Row],[dK/dXs^2]]</f>
        <v>0</v>
      </c>
      <c r="BF17" s="6">
        <f>material[[#This Row],[a_0]]</f>
        <v>0</v>
      </c>
      <c r="BG17" s="6">
        <f>material[[#This Row],[Cp '[J/Kkg']]]</f>
        <v>27.19604</v>
      </c>
      <c r="BH17" s="6">
        <f>material[[#This Row],[k '[W/mK']]]*10^3</f>
        <v>0</v>
      </c>
      <c r="BI17">
        <f>material[[#This Row],[visc '[mPas']]]*10^(-3)</f>
        <v>0</v>
      </c>
    </row>
    <row r="18" spans="3:61" x14ac:dyDescent="0.3">
      <c r="D18" t="s">
        <v>70</v>
      </c>
      <c r="E18">
        <v>1573</v>
      </c>
      <c r="F18" s="2">
        <v>100000</v>
      </c>
      <c r="G18">
        <v>7413</v>
      </c>
      <c r="L1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7413</v>
      </c>
      <c r="M18">
        <v>103</v>
      </c>
      <c r="N18">
        <v>-0.02</v>
      </c>
      <c r="O18">
        <v>5</v>
      </c>
      <c r="R18">
        <f>material[[#This Row],[K_0 '[Gpa']]]+material[[#This Row],[dK/dT]]*(material[[#This Row],[T]]-material[[#This Row],[T_ref '[K']]])+(material[[#This Row],[dK/dp '[-']]]/1000000000)*(material[[#This Row],[p]]-material[[#This Row],[p_ref '[Gpa']]])+material[[#This Row],[dK/dXs]]*material[[#This Row],[sulfur fraction X_s]]+material[[#This Row],[dK/dXs^2]]*material[[#This Row],[sulfur fraction X_s]]^2</f>
        <v>134.45950000000002</v>
      </c>
      <c r="S18">
        <f>0.000077</f>
        <v>7.7000000000000001E-5</v>
      </c>
      <c r="V18" s="3">
        <f>material[[#This Row],[a_0]]+material[[#This Row],[da/dp]]*(material[[#This Row],[p]]-material[[#This Row],[p_ref '[Gpa']]])+material[[#This Row],[da/dT]]*(material[[#This Row],[T]]-material[[#This Row],[T_ref '[K']]])</f>
        <v>7.7000000000000001E-5</v>
      </c>
      <c r="Y18">
        <v>23.974489999999999</v>
      </c>
      <c r="Z18">
        <v>8.3677499999999991</v>
      </c>
      <c r="AA18">
        <v>2.7700000000000001E-4</v>
      </c>
      <c r="AB18">
        <v>-8.6000000000000003E-5</v>
      </c>
      <c r="AC18">
        <v>-5.0000000000000004E-6</v>
      </c>
      <c r="AD1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'[Gpa']]]*1000000000)/(G17*material[[#This Row],[y=a*Ks/rho*Cp]]),
material[[#This Row],[Cp_A]])),
0)</f>
        <v>23.974489999999999</v>
      </c>
      <c r="AF18">
        <f>232</f>
        <v>232</v>
      </c>
      <c r="AG18" s="5">
        <v>0</v>
      </c>
      <c r="AK18">
        <v>4</v>
      </c>
      <c r="AW18" t="str">
        <f t="shared" si="0"/>
        <v>y-Fe</v>
      </c>
      <c r="AX18" s="6">
        <f t="shared" si="0"/>
        <v>1573</v>
      </c>
      <c r="AY18" s="6">
        <f t="shared" si="0"/>
        <v>100000</v>
      </c>
      <c r="AZ18" s="6">
        <f t="shared" si="0"/>
        <v>7413</v>
      </c>
      <c r="BA18" s="6">
        <f t="shared" si="1"/>
        <v>0</v>
      </c>
      <c r="BB18" s="6">
        <f t="shared" si="1"/>
        <v>0</v>
      </c>
      <c r="BC18" s="6">
        <f>material[[#This Row],[K_0 '[Gpa']]]</f>
        <v>103</v>
      </c>
      <c r="BD18" s="6">
        <f>material[[#This Row],[dK/dXs]]</f>
        <v>0</v>
      </c>
      <c r="BE18" s="6">
        <f>material[[#This Row],[dK/dXs^2]]</f>
        <v>0</v>
      </c>
      <c r="BF18" s="6">
        <f>material[[#This Row],[a_0]]</f>
        <v>7.7000000000000001E-5</v>
      </c>
      <c r="BG18" s="6">
        <f>material[[#This Row],[Cp '[J/Kkg']]]</f>
        <v>23.974489999999999</v>
      </c>
      <c r="BH18" s="6">
        <f>material[[#This Row],[k '[W/mK']]]*10^3</f>
        <v>232000</v>
      </c>
      <c r="BI18">
        <f>material[[#This Row],[visc '[mPas']]]*10^(-3)</f>
        <v>0</v>
      </c>
    </row>
    <row r="19" spans="3:61" x14ac:dyDescent="0.3">
      <c r="C19" s="1" t="s">
        <v>54</v>
      </c>
      <c r="D19" t="s">
        <v>71</v>
      </c>
      <c r="E19">
        <v>440</v>
      </c>
      <c r="F19" s="2">
        <f t="shared" ref="F19:F31" si="3">100000</f>
        <v>100000</v>
      </c>
      <c r="G19">
        <v>3200</v>
      </c>
      <c r="L1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3200</v>
      </c>
      <c r="M19">
        <v>120</v>
      </c>
      <c r="N19">
        <v>-1.6E-2</v>
      </c>
      <c r="O19">
        <v>4.25</v>
      </c>
      <c r="R19">
        <v>120</v>
      </c>
      <c r="S19">
        <v>0</v>
      </c>
      <c r="V19" s="3">
        <f>material[[#This Row],[a_0]]+material[[#This Row],[da/dp]]*(material[[#This Row],[p]]-material[[#This Row],[p_ref '[Gpa']]])+material[[#This Row],[da/dT]]*(material[[#This Row],[T]]-material[[#This Row],[T_ref '[K']]])</f>
        <v>0</v>
      </c>
      <c r="Y19">
        <v>422</v>
      </c>
      <c r="AD1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'[Gpa']]]*1000000000)/(G18*material[[#This Row],[y=a*Ks/rho*Cp]]),
material[[#This Row],[Cp_A]])),
0)</f>
        <v>422</v>
      </c>
      <c r="AE19">
        <v>0</v>
      </c>
      <c r="AF19">
        <v>1.25</v>
      </c>
      <c r="AG19" s="5">
        <v>0</v>
      </c>
      <c r="AK19">
        <v>3</v>
      </c>
      <c r="AN19" t="s">
        <v>54</v>
      </c>
      <c r="AW19" t="str">
        <f t="shared" si="0"/>
        <v>crust</v>
      </c>
      <c r="AX19" s="6">
        <f t="shared" si="0"/>
        <v>440</v>
      </c>
      <c r="AY19" s="6">
        <f t="shared" si="0"/>
        <v>100000</v>
      </c>
      <c r="AZ19" s="6">
        <f t="shared" si="0"/>
        <v>3200</v>
      </c>
      <c r="BA19" s="6">
        <f t="shared" si="1"/>
        <v>0</v>
      </c>
      <c r="BB19" s="6">
        <f t="shared" si="1"/>
        <v>0</v>
      </c>
      <c r="BC19" s="6">
        <f>material[[#This Row],[K_0 '[Gpa']]]</f>
        <v>120</v>
      </c>
      <c r="BD19" s="6">
        <f>material[[#This Row],[dK/dXs]]</f>
        <v>0</v>
      </c>
      <c r="BE19" s="6">
        <f>material[[#This Row],[dK/dXs^2]]</f>
        <v>0</v>
      </c>
      <c r="BF19" s="6">
        <f>material[[#This Row],[a_0]]</f>
        <v>0</v>
      </c>
      <c r="BG19" s="6">
        <f>material[[#This Row],[Cp '[J/Kkg']]]</f>
        <v>422</v>
      </c>
      <c r="BH19" s="6">
        <f>material[[#This Row],[k '[W/mK']]]*10^3</f>
        <v>1250</v>
      </c>
      <c r="BI19">
        <f>material[[#This Row],[visc '[mPas']]]*10^(-3)</f>
        <v>0</v>
      </c>
    </row>
    <row r="20" spans="3:61" x14ac:dyDescent="0.3">
      <c r="C20" s="1" t="s">
        <v>54</v>
      </c>
      <c r="D20" t="s">
        <v>72</v>
      </c>
      <c r="E20">
        <v>298</v>
      </c>
      <c r="F20" s="2">
        <f t="shared" si="3"/>
        <v>100000</v>
      </c>
      <c r="G20">
        <v>3222</v>
      </c>
      <c r="L2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3222</v>
      </c>
      <c r="M20">
        <v>129</v>
      </c>
      <c r="N20">
        <v>-1.2E-2</v>
      </c>
      <c r="O20">
        <v>4.2</v>
      </c>
      <c r="R20">
        <f>material[[#This Row],[K_0 '[Gpa']]]+material[[#This Row],[dK/dT]]*(material[[#This Row],[T]]-material[[#This Row],[T_ref '[K']]])+(material[[#This Row],[dK/dp '[-']]]/1000000000)*(material[[#This Row],[p]]-material[[#This Row],[p_ref '[Gpa']]])</f>
        <v>132.57558</v>
      </c>
      <c r="S20">
        <f>0.000028321</f>
        <v>2.8320999999999999E-5</v>
      </c>
      <c r="U20" s="2">
        <v>7.5800000000000007E-9</v>
      </c>
      <c r="V20" s="3">
        <f>material[[#This Row],[a_0]]+material[[#This Row],[da/dp]]*(material[[#This Row],[p]]-material[[#This Row],[p_ref '[Gpa']]])+material[[#This Row],[da/dT]]*(material[[#This Row],[T]]-material[[#This Row],[T_ref '[K']]])</f>
        <v>2.606216E-5</v>
      </c>
      <c r="W20">
        <v>1.1399999999999999</v>
      </c>
      <c r="AD2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'[Gpa']]]*1000000000)/(G19*material[[#This Row],[y=a*Ks/rho*Cp]]),
material[[#This Row],[Cp_A]])),
0)</f>
        <v>1001.482730263158</v>
      </c>
      <c r="AF20" s="5">
        <v>1.25</v>
      </c>
      <c r="AG20" s="5">
        <v>0</v>
      </c>
      <c r="AK20">
        <v>3</v>
      </c>
      <c r="AN20" t="s">
        <v>54</v>
      </c>
      <c r="AW20" t="str">
        <f t="shared" si="0"/>
        <v>ol</v>
      </c>
      <c r="AX20" s="6">
        <f t="shared" si="0"/>
        <v>298</v>
      </c>
      <c r="AY20" s="6">
        <f t="shared" si="0"/>
        <v>100000</v>
      </c>
      <c r="AZ20" s="6">
        <f t="shared" si="0"/>
        <v>3222</v>
      </c>
      <c r="BA20" s="6">
        <f t="shared" si="1"/>
        <v>0</v>
      </c>
      <c r="BB20" s="6">
        <f t="shared" si="1"/>
        <v>0</v>
      </c>
      <c r="BC20" s="6">
        <f>material[[#This Row],[K_0 '[Gpa']]]</f>
        <v>129</v>
      </c>
      <c r="BD20" s="6">
        <f>material[[#This Row],[dK/dXs]]</f>
        <v>0</v>
      </c>
      <c r="BE20" s="6">
        <f>material[[#This Row],[dK/dXs^2]]</f>
        <v>0</v>
      </c>
      <c r="BF20" s="6">
        <f>material[[#This Row],[a_0]]</f>
        <v>2.8320999999999999E-5</v>
      </c>
      <c r="BG20" s="6">
        <f>material[[#This Row],[Cp '[J/Kkg']]]</f>
        <v>1001.482730263158</v>
      </c>
      <c r="BH20" s="6">
        <f>material[[#This Row],[k '[W/mK']]]*10^3</f>
        <v>1250</v>
      </c>
      <c r="BI20">
        <f>material[[#This Row],[visc '[mPas']]]*10^(-3)</f>
        <v>0</v>
      </c>
    </row>
    <row r="21" spans="3:61" x14ac:dyDescent="0.3">
      <c r="C21" s="1" t="s">
        <v>54</v>
      </c>
      <c r="D21" t="s">
        <v>73</v>
      </c>
      <c r="E21">
        <v>298</v>
      </c>
      <c r="F21" s="2">
        <f t="shared" si="3"/>
        <v>100000</v>
      </c>
      <c r="G21">
        <v>3194</v>
      </c>
      <c r="L2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3194</v>
      </c>
      <c r="M21">
        <v>109</v>
      </c>
      <c r="N21">
        <v>-1.2999999999999999E-2</v>
      </c>
      <c r="O21">
        <v>7</v>
      </c>
      <c r="R21">
        <f>material[[#This Row],[K_0 '[Gpa']]]+material[[#This Row],[dK/dT]]*(material[[#This Row],[T]]-material[[#This Row],[T_ref '[K']]])+(material[[#This Row],[dK/dp '[-']]]/1000000000)*(material[[#This Row],[p]]-material[[#This Row],[p_ref '[Gpa']]])</f>
        <v>112.8733</v>
      </c>
      <c r="S21">
        <f>0.0000286</f>
        <v>2.8600000000000001E-5</v>
      </c>
      <c r="U21" s="2">
        <v>7.2E-9</v>
      </c>
      <c r="V21" s="3">
        <f>material[[#This Row],[a_0]]+material[[#This Row],[da/dp]]*(material[[#This Row],[p]]-material[[#This Row],[p_ref '[Gpa']]])+material[[#This Row],[da/dT]]*(material[[#This Row],[T]]-material[[#This Row],[T_ref '[K']]])</f>
        <v>2.6454400000000002E-5</v>
      </c>
      <c r="W21">
        <v>1.05</v>
      </c>
      <c r="AD2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'[Gpa']]]*1000000000)/(G20*material[[#This Row],[y=a*Ks/rho*Cp]]),
material[[#This Row],[Cp_A]])),
0)</f>
        <v>921.46256392066437</v>
      </c>
      <c r="AF21" s="5">
        <v>1.25</v>
      </c>
      <c r="AG21" s="5">
        <v>0</v>
      </c>
      <c r="AK21">
        <v>3</v>
      </c>
      <c r="AN21" t="s">
        <v>54</v>
      </c>
      <c r="AW21" t="str">
        <f t="shared" si="0"/>
        <v>opx</v>
      </c>
      <c r="AX21" s="6">
        <f t="shared" si="0"/>
        <v>298</v>
      </c>
      <c r="AY21" s="6">
        <f t="shared" si="0"/>
        <v>100000</v>
      </c>
      <c r="AZ21" s="6">
        <f t="shared" si="0"/>
        <v>3194</v>
      </c>
      <c r="BA21" s="6">
        <f t="shared" si="1"/>
        <v>0</v>
      </c>
      <c r="BB21" s="6">
        <f t="shared" si="1"/>
        <v>0</v>
      </c>
      <c r="BC21" s="6">
        <f>material[[#This Row],[K_0 '[Gpa']]]</f>
        <v>109</v>
      </c>
      <c r="BD21" s="6">
        <f>material[[#This Row],[dK/dXs]]</f>
        <v>0</v>
      </c>
      <c r="BE21" s="6">
        <f>material[[#This Row],[dK/dXs^2]]</f>
        <v>0</v>
      </c>
      <c r="BF21" s="6">
        <f>material[[#This Row],[a_0]]</f>
        <v>2.8600000000000001E-5</v>
      </c>
      <c r="BG21" s="6">
        <f>material[[#This Row],[Cp '[J/Kkg']]]</f>
        <v>921.46256392066437</v>
      </c>
      <c r="BH21" s="6">
        <f>material[[#This Row],[k '[W/mK']]]*10^3</f>
        <v>1250</v>
      </c>
      <c r="BI21">
        <f>material[[#This Row],[visc '[mPas']]]*10^(-3)</f>
        <v>0</v>
      </c>
    </row>
    <row r="22" spans="3:61" x14ac:dyDescent="0.3">
      <c r="C22" s="1" t="s">
        <v>54</v>
      </c>
      <c r="D22" t="s">
        <v>74</v>
      </c>
      <c r="E22">
        <v>298</v>
      </c>
      <c r="F22" s="2">
        <f t="shared" si="3"/>
        <v>100000</v>
      </c>
      <c r="G22">
        <v>3277</v>
      </c>
      <c r="L2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3277</v>
      </c>
      <c r="M22">
        <v>105</v>
      </c>
      <c r="N22">
        <v>-2.1000000000000001E-2</v>
      </c>
      <c r="O22">
        <v>6.2</v>
      </c>
      <c r="R22">
        <f>material[[#This Row],[K_0 '[Gpa']]]+material[[#This Row],[dK/dT]]*(material[[#This Row],[T]]-material[[#This Row],[T_ref '[K']]])+(material[[#This Row],[dK/dp '[-']]]/1000000000)*(material[[#This Row],[p]]-material[[#This Row],[p_ref '[Gpa']]])</f>
        <v>111.25738</v>
      </c>
      <c r="S22">
        <f>0.0000232</f>
        <v>2.3200000000000001E-5</v>
      </c>
      <c r="U22" s="2">
        <v>1.88E-8</v>
      </c>
      <c r="V22" s="3">
        <f>material[[#This Row],[a_0]]+material[[#This Row],[da/dp]]*(material[[#This Row],[p]]-material[[#This Row],[p_ref '[Gpa']]])+material[[#This Row],[da/dT]]*(material[[#This Row],[T]]-material[[#This Row],[T_ref '[K']]])</f>
        <v>1.7597600000000002E-5</v>
      </c>
      <c r="W22">
        <v>1.06</v>
      </c>
      <c r="AD2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'[Gpa']]]*1000000000)/(G21*material[[#This Row],[y=a*Ks/rho*Cp]]),
material[[#This Row],[Cp_A]])),
0)</f>
        <v>719.50945759147453</v>
      </c>
      <c r="AF22" s="5">
        <v>1.25</v>
      </c>
      <c r="AG22" s="5">
        <v>0</v>
      </c>
      <c r="AK22">
        <v>3</v>
      </c>
      <c r="AN22" t="s">
        <v>54</v>
      </c>
      <c r="AW22" t="str">
        <f t="shared" si="0"/>
        <v>Capx</v>
      </c>
      <c r="AX22" s="6">
        <f t="shared" si="0"/>
        <v>298</v>
      </c>
      <c r="AY22" s="6">
        <f t="shared" si="0"/>
        <v>100000</v>
      </c>
      <c r="AZ22" s="6">
        <f t="shared" si="0"/>
        <v>3277</v>
      </c>
      <c r="BA22" s="6">
        <f t="shared" si="1"/>
        <v>0</v>
      </c>
      <c r="BB22" s="6">
        <f t="shared" si="1"/>
        <v>0</v>
      </c>
      <c r="BC22" s="6">
        <f>material[[#This Row],[K_0 '[Gpa']]]</f>
        <v>105</v>
      </c>
      <c r="BD22" s="6">
        <f>material[[#This Row],[dK/dXs]]</f>
        <v>0</v>
      </c>
      <c r="BE22" s="6">
        <f>material[[#This Row],[dK/dXs^2]]</f>
        <v>0</v>
      </c>
      <c r="BF22" s="6">
        <f>material[[#This Row],[a_0]]</f>
        <v>2.3200000000000001E-5</v>
      </c>
      <c r="BG22" s="6">
        <f>material[[#This Row],[Cp '[J/Kkg']]]</f>
        <v>719.50945759147453</v>
      </c>
      <c r="BH22" s="6">
        <f>material[[#This Row],[k '[W/mK']]]*10^3</f>
        <v>1250</v>
      </c>
      <c r="BI22">
        <f>material[[#This Row],[visc '[mPas']]]*10^(-3)</f>
        <v>0</v>
      </c>
    </row>
    <row r="23" spans="3:61" x14ac:dyDescent="0.3">
      <c r="C23" s="1" t="s">
        <v>54</v>
      </c>
      <c r="D23" t="s">
        <v>75</v>
      </c>
      <c r="E23">
        <v>298</v>
      </c>
      <c r="F23" s="2">
        <f t="shared" si="3"/>
        <v>100000</v>
      </c>
      <c r="G23">
        <v>3565</v>
      </c>
      <c r="L2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3565</v>
      </c>
      <c r="M23">
        <v>171</v>
      </c>
      <c r="N23">
        <v>-1.0999999999999999E-2</v>
      </c>
      <c r="O23">
        <v>4.4000000000000004</v>
      </c>
      <c r="R23">
        <f>material[[#This Row],[K_0 '[Gpa']]]+material[[#This Row],[dK/dT]]*(material[[#This Row],[T]]-material[[#This Row],[T_ref '[K']]])+(material[[#This Row],[dK/dp '[-']]]/1000000000)*(material[[#This Row],[p]]-material[[#This Row],[p_ref '[Gpa']]])</f>
        <v>174.27755999999999</v>
      </c>
      <c r="S23">
        <f>0.0000208</f>
        <v>2.0800000000000001E-5</v>
      </c>
      <c r="U23" s="2">
        <v>1.4300000000000001E-8</v>
      </c>
      <c r="V23" s="3">
        <f>material[[#This Row],[a_0]]+material[[#This Row],[da/dp]]*(material[[#This Row],[p]]-material[[#This Row],[p_ref '[Gpa']]])+material[[#This Row],[da/dT]]*(material[[#This Row],[T]]-material[[#This Row],[T_ref '[K']]])</f>
        <v>1.6538600000000001E-5</v>
      </c>
      <c r="W23">
        <v>1.17</v>
      </c>
      <c r="AD2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'[Gpa']]]*1000000000)/(G22*material[[#This Row],[y=a*Ks/rho*Cp]]),
material[[#This Row],[Cp_A]])),
0)</f>
        <v>927.67775404333236</v>
      </c>
      <c r="AF23" s="5">
        <v>1.25</v>
      </c>
      <c r="AG23" s="5">
        <v>0</v>
      </c>
      <c r="AK23">
        <v>3</v>
      </c>
      <c r="AN23" t="s">
        <v>54</v>
      </c>
      <c r="AW23" t="str">
        <f t="shared" si="0"/>
        <v>gt</v>
      </c>
      <c r="AX23" s="6">
        <f t="shared" si="0"/>
        <v>298</v>
      </c>
      <c r="AY23" s="6">
        <f t="shared" si="0"/>
        <v>100000</v>
      </c>
      <c r="AZ23" s="6">
        <f t="shared" si="0"/>
        <v>3565</v>
      </c>
      <c r="BA23" s="6">
        <f t="shared" si="1"/>
        <v>0</v>
      </c>
      <c r="BB23" s="6">
        <f t="shared" si="1"/>
        <v>0</v>
      </c>
      <c r="BC23" s="6">
        <f>material[[#This Row],[K_0 '[Gpa']]]</f>
        <v>171</v>
      </c>
      <c r="BD23" s="6">
        <f>material[[#This Row],[dK/dXs]]</f>
        <v>0</v>
      </c>
      <c r="BE23" s="6">
        <f>material[[#This Row],[dK/dXs^2]]</f>
        <v>0</v>
      </c>
      <c r="BF23" s="6">
        <f>material[[#This Row],[a_0]]</f>
        <v>2.0800000000000001E-5</v>
      </c>
      <c r="BG23" s="6">
        <f>material[[#This Row],[Cp '[J/Kkg']]]</f>
        <v>927.67775404333236</v>
      </c>
      <c r="BH23" s="6">
        <f>material[[#This Row],[k '[W/mK']]]*10^3</f>
        <v>1250</v>
      </c>
      <c r="BI23">
        <f>material[[#This Row],[visc '[mPas']]]*10^(-3)</f>
        <v>0</v>
      </c>
    </row>
    <row r="24" spans="3:61" x14ac:dyDescent="0.3">
      <c r="C24" s="1" t="s">
        <v>54</v>
      </c>
      <c r="D24" t="s">
        <v>76</v>
      </c>
      <c r="E24">
        <v>298</v>
      </c>
      <c r="F24" s="2">
        <f t="shared" si="3"/>
        <v>100000</v>
      </c>
      <c r="G24">
        <v>2750</v>
      </c>
      <c r="L2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2750</v>
      </c>
      <c r="M24">
        <v>88.9</v>
      </c>
      <c r="N24">
        <v>-1.6E-2</v>
      </c>
      <c r="O24">
        <v>6.6</v>
      </c>
      <c r="R24">
        <f>material[[#This Row],[K_0 '[Gpa']]]+material[[#This Row],[dK/dT]]*(material[[#This Row],[T]]-material[[#This Row],[T_ref '[K']]])+(material[[#This Row],[dK/dp '[-']]]/1000000000)*(material[[#This Row],[p]]-material[[#This Row],[p_ref '[Gpa']]])</f>
        <v>93.66734000000001</v>
      </c>
      <c r="S24">
        <f>0.0000234</f>
        <v>2.34E-5</v>
      </c>
      <c r="U24" s="2">
        <v>1.2100000000000001E-8</v>
      </c>
      <c r="V24" s="3">
        <f>material[[#This Row],[a_0]]+material[[#This Row],[da/dp]]*(material[[#This Row],[p]]-material[[#This Row],[p_ref '[Gpa']]])+material[[#This Row],[da/dT]]*(material[[#This Row],[T]]-material[[#This Row],[T_ref '[K']]])</f>
        <v>1.9794200000000001E-5</v>
      </c>
      <c r="W24">
        <v>1</v>
      </c>
      <c r="AD2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'[Gpa']]]*1000000000)/(G23*material[[#This Row],[y=a*Ks/rho*Cp]]),
material[[#This Row],[Cp_A]])),
0)</f>
        <v>583.52314165497899</v>
      </c>
      <c r="AF24" s="5">
        <v>1.25</v>
      </c>
      <c r="AG24" s="5">
        <v>0</v>
      </c>
      <c r="AK24">
        <v>3</v>
      </c>
      <c r="AN24" t="s">
        <v>54</v>
      </c>
      <c r="AW24" t="str">
        <f t="shared" si="0"/>
        <v>an</v>
      </c>
      <c r="AX24" s="6">
        <f t="shared" si="0"/>
        <v>298</v>
      </c>
      <c r="AY24" s="6">
        <f t="shared" si="0"/>
        <v>100000</v>
      </c>
      <c r="AZ24" s="6">
        <f t="shared" si="0"/>
        <v>2750</v>
      </c>
      <c r="BA24" s="6">
        <f t="shared" si="1"/>
        <v>0</v>
      </c>
      <c r="BB24" s="6">
        <f t="shared" si="1"/>
        <v>0</v>
      </c>
      <c r="BC24" s="6">
        <f>material[[#This Row],[K_0 '[Gpa']]]</f>
        <v>88.9</v>
      </c>
      <c r="BD24" s="6">
        <f>material[[#This Row],[dK/dXs]]</f>
        <v>0</v>
      </c>
      <c r="BE24" s="6">
        <f>material[[#This Row],[dK/dXs^2]]</f>
        <v>0</v>
      </c>
      <c r="BF24" s="6">
        <f>material[[#This Row],[a_0]]</f>
        <v>2.34E-5</v>
      </c>
      <c r="BG24" s="6">
        <f>material[[#This Row],[Cp '[J/Kkg']]]</f>
        <v>583.52314165497899</v>
      </c>
      <c r="BH24" s="6">
        <f>material[[#This Row],[k '[W/mK']]]*10^3</f>
        <v>1250</v>
      </c>
      <c r="BI24">
        <f>material[[#This Row],[visc '[mPas']]]*10^(-3)</f>
        <v>0</v>
      </c>
    </row>
    <row r="25" spans="3:61" x14ac:dyDescent="0.3">
      <c r="C25" s="1" t="s">
        <v>54</v>
      </c>
      <c r="D25" t="s">
        <v>77</v>
      </c>
      <c r="E25">
        <v>298</v>
      </c>
      <c r="F25" s="2">
        <f t="shared" si="3"/>
        <v>100000</v>
      </c>
      <c r="G25">
        <v>3580</v>
      </c>
      <c r="L2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3580</v>
      </c>
      <c r="M25">
        <v>196.7</v>
      </c>
      <c r="N25">
        <v>-4.8000000000000001E-2</v>
      </c>
      <c r="O25">
        <v>4.9000000000000004</v>
      </c>
      <c r="R25">
        <f>material[[#This Row],[K_0 '[Gpa']]]+material[[#This Row],[dK/dT]]*(material[[#This Row],[T]]-material[[#This Row],[T_ref '[K']]])+(material[[#This Row],[dK/dp '[-']]]/1000000000)*(material[[#This Row],[p]]-material[[#This Row],[p_ref '[Gpa']]])</f>
        <v>211.00350999999998</v>
      </c>
      <c r="S25">
        <f>0.0000697</f>
        <v>6.97E-5</v>
      </c>
      <c r="U25" s="2">
        <v>-1.0999999999999999E-9</v>
      </c>
      <c r="V25" s="3">
        <f>material[[#This Row],[a_0]]+material[[#This Row],[da/dp]]*(material[[#This Row],[p]]-material[[#This Row],[p_ref '[Gpa']]])+material[[#This Row],[da/dT]]*(material[[#This Row],[T]]-material[[#This Row],[T_ref '[K']]])</f>
        <v>7.0027800000000001E-5</v>
      </c>
      <c r="W25">
        <v>1.21</v>
      </c>
      <c r="AD2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'[Gpa']]]*1000000000)/(G24*material[[#This Row],[y=a*Ks/rho*Cp]]),
material[[#This Row],[Cp_A]])),
0)</f>
        <v>4120.2073628850485</v>
      </c>
      <c r="AF25" s="5">
        <v>1.25</v>
      </c>
      <c r="AG25" s="5">
        <v>0</v>
      </c>
      <c r="AK25">
        <v>3</v>
      </c>
      <c r="AN25" t="s">
        <v>54</v>
      </c>
      <c r="AW25" t="str">
        <f t="shared" si="0"/>
        <v>sp</v>
      </c>
      <c r="AX25" s="6">
        <f t="shared" si="0"/>
        <v>298</v>
      </c>
      <c r="AY25" s="6">
        <f t="shared" si="0"/>
        <v>100000</v>
      </c>
      <c r="AZ25" s="6">
        <f t="shared" si="0"/>
        <v>3580</v>
      </c>
      <c r="BA25" s="6">
        <f t="shared" si="1"/>
        <v>0</v>
      </c>
      <c r="BB25" s="6">
        <f t="shared" si="1"/>
        <v>0</v>
      </c>
      <c r="BC25" s="6">
        <f>material[[#This Row],[K_0 '[Gpa']]]</f>
        <v>196.7</v>
      </c>
      <c r="BD25" s="6">
        <f>material[[#This Row],[dK/dXs]]</f>
        <v>0</v>
      </c>
      <c r="BE25" s="6">
        <f>material[[#This Row],[dK/dXs^2]]</f>
        <v>0</v>
      </c>
      <c r="BF25" s="6">
        <f>material[[#This Row],[a_0]]</f>
        <v>6.97E-5</v>
      </c>
      <c r="BG25" s="6">
        <f>material[[#This Row],[Cp '[J/Kkg']]]</f>
        <v>4120.2073628850485</v>
      </c>
      <c r="BH25" s="6">
        <f>material[[#This Row],[k '[W/mK']]]*10^3</f>
        <v>1250</v>
      </c>
      <c r="BI25">
        <f>material[[#This Row],[visc '[mPas']]]*10^(-3)</f>
        <v>0</v>
      </c>
    </row>
    <row r="26" spans="3:61" x14ac:dyDescent="0.3">
      <c r="C26" s="1" t="s">
        <v>54</v>
      </c>
      <c r="D26" t="s">
        <v>78</v>
      </c>
      <c r="E26">
        <v>298</v>
      </c>
      <c r="F26" s="2">
        <f t="shared" si="3"/>
        <v>100000</v>
      </c>
      <c r="G26">
        <v>3680</v>
      </c>
      <c r="L2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3680</v>
      </c>
      <c r="M26">
        <v>191.3</v>
      </c>
      <c r="N26">
        <v>-1.4999999999999999E-2</v>
      </c>
      <c r="O26">
        <v>4</v>
      </c>
      <c r="R26">
        <f>material[[#This Row],[K_0 '[Gpa']]]+material[[#This Row],[dK/dT]]*(material[[#This Row],[T]]-material[[#This Row],[T_ref '[K']]])+(material[[#This Row],[dK/dp '[-']]]/1000000000)*(material[[#This Row],[p]]-material[[#This Row],[p_ref '[Gpa']]])</f>
        <v>195.7696</v>
      </c>
      <c r="S26">
        <f>0.000054</f>
        <v>5.3999999999999998E-5</v>
      </c>
      <c r="U26" s="2">
        <v>-2.0000000000000001E-10</v>
      </c>
      <c r="V26" s="3">
        <f>material[[#This Row],[a_0]]+material[[#This Row],[da/dp]]*(material[[#This Row],[p]]-material[[#This Row],[p_ref '[Gpa']]])+material[[#This Row],[da/dT]]*(material[[#This Row],[T]]-material[[#This Row],[T_ref '[K']]])</f>
        <v>5.40596E-5</v>
      </c>
      <c r="W26">
        <v>1.17</v>
      </c>
      <c r="AD2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'[Gpa']]]*1000000000)/(G25*material[[#This Row],[y=a*Ks/rho*Cp]]),
material[[#This Row],[Cp_A]])),
0)</f>
        <v>2466.265577997422</v>
      </c>
      <c r="AF26" s="5">
        <v>1.25</v>
      </c>
      <c r="AG26" s="5">
        <v>0</v>
      </c>
      <c r="AK26">
        <v>3</v>
      </c>
      <c r="AN26" t="s">
        <v>54</v>
      </c>
      <c r="AW26" t="str">
        <f t="shared" si="0"/>
        <v>ky</v>
      </c>
      <c r="AX26" s="6">
        <f t="shared" si="0"/>
        <v>298</v>
      </c>
      <c r="AY26" s="6">
        <f t="shared" si="0"/>
        <v>100000</v>
      </c>
      <c r="AZ26" s="6">
        <f t="shared" si="0"/>
        <v>3680</v>
      </c>
      <c r="BA26" s="6">
        <f t="shared" si="1"/>
        <v>0</v>
      </c>
      <c r="BB26" s="6">
        <f t="shared" si="1"/>
        <v>0</v>
      </c>
      <c r="BC26" s="6">
        <f>material[[#This Row],[K_0 '[Gpa']]]</f>
        <v>191.3</v>
      </c>
      <c r="BD26" s="6">
        <f>material[[#This Row],[dK/dXs]]</f>
        <v>0</v>
      </c>
      <c r="BE26" s="6">
        <f>material[[#This Row],[dK/dXs^2]]</f>
        <v>0</v>
      </c>
      <c r="BF26" s="6">
        <f>material[[#This Row],[a_0]]</f>
        <v>5.3999999999999998E-5</v>
      </c>
      <c r="BG26" s="6">
        <f>material[[#This Row],[Cp '[J/Kkg']]]</f>
        <v>2466.265577997422</v>
      </c>
      <c r="BH26" s="6">
        <f>material[[#This Row],[k '[W/mK']]]*10^3</f>
        <v>1250</v>
      </c>
      <c r="BI26">
        <f>material[[#This Row],[visc '[mPas']]]*10^(-3)</f>
        <v>0</v>
      </c>
    </row>
    <row r="27" spans="3:61" x14ac:dyDescent="0.3">
      <c r="C27" s="1" t="s">
        <v>54</v>
      </c>
      <c r="D27" t="s">
        <v>79</v>
      </c>
      <c r="E27">
        <v>298</v>
      </c>
      <c r="F27" s="2">
        <f t="shared" si="3"/>
        <v>100000</v>
      </c>
      <c r="G27">
        <v>2911</v>
      </c>
      <c r="L2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2911</v>
      </c>
      <c r="M27">
        <v>98</v>
      </c>
      <c r="N27">
        <v>-1.4E-2</v>
      </c>
      <c r="O27">
        <v>4.3</v>
      </c>
      <c r="R27">
        <f>material[[#This Row],[K_0 '[Gpa']]]+material[[#This Row],[dK/dT]]*(material[[#This Row],[T]]-material[[#This Row],[T_ref '[K']]])+(material[[#This Row],[dK/dp '[-']]]/1000000000)*(material[[#This Row],[p]]-material[[#This Row],[p_ref '[Gpa']]])</f>
        <v>102.17157</v>
      </c>
      <c r="S27">
        <f>0.0000247</f>
        <v>2.4700000000000001E-5</v>
      </c>
      <c r="U27" s="2">
        <v>2.8999999999999999E-9</v>
      </c>
      <c r="V27" s="3">
        <f>material[[#This Row],[a_0]]+material[[#This Row],[da/dp]]*(material[[#This Row],[p]]-material[[#This Row],[p_ref '[Gpa']]])+material[[#This Row],[da/dT]]*(material[[#This Row],[T]]-material[[#This Row],[T_ref '[K']]])</f>
        <v>2.38358E-5</v>
      </c>
      <c r="W27">
        <v>1</v>
      </c>
      <c r="AD2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'[Gpa']]]*1000000000)/(G26*material[[#This Row],[y=a*Ks/rho*Cp]]),
material[[#This Row],[Cp_A]])),
0)</f>
        <v>657.77173913043475</v>
      </c>
      <c r="AF27" s="5">
        <v>1.25</v>
      </c>
      <c r="AG27" s="5">
        <v>0</v>
      </c>
      <c r="AK27">
        <v>3</v>
      </c>
      <c r="AN27" t="s">
        <v>54</v>
      </c>
      <c r="AW27" t="str">
        <f t="shared" si="0"/>
        <v>coe</v>
      </c>
      <c r="AX27" s="6">
        <f t="shared" si="0"/>
        <v>298</v>
      </c>
      <c r="AY27" s="6">
        <f t="shared" si="0"/>
        <v>100000</v>
      </c>
      <c r="AZ27" s="6">
        <f t="shared" si="0"/>
        <v>2911</v>
      </c>
      <c r="BA27" s="6">
        <f t="shared" si="1"/>
        <v>0</v>
      </c>
      <c r="BB27" s="6">
        <f t="shared" si="1"/>
        <v>0</v>
      </c>
      <c r="BC27" s="6">
        <f>material[[#This Row],[K_0 '[Gpa']]]</f>
        <v>98</v>
      </c>
      <c r="BD27" s="6">
        <f>material[[#This Row],[dK/dXs]]</f>
        <v>0</v>
      </c>
      <c r="BE27" s="6">
        <f>material[[#This Row],[dK/dXs^2]]</f>
        <v>0</v>
      </c>
      <c r="BF27" s="6">
        <f>material[[#This Row],[a_0]]</f>
        <v>2.4700000000000001E-5</v>
      </c>
      <c r="BG27" s="6">
        <f>material[[#This Row],[Cp '[J/Kkg']]]</f>
        <v>657.77173913043475</v>
      </c>
      <c r="BH27" s="6">
        <f>material[[#This Row],[k '[W/mK']]]*10^3</f>
        <v>1250</v>
      </c>
      <c r="BI27">
        <f>material[[#This Row],[visc '[mPas']]]*10^(-3)</f>
        <v>0</v>
      </c>
    </row>
    <row r="28" spans="3:61" x14ac:dyDescent="0.3">
      <c r="C28" s="1" t="s">
        <v>54</v>
      </c>
      <c r="D28" t="s">
        <v>80</v>
      </c>
      <c r="E28">
        <v>298</v>
      </c>
      <c r="F28" s="2">
        <f t="shared" si="3"/>
        <v>100000</v>
      </c>
      <c r="G28">
        <v>3988</v>
      </c>
      <c r="L2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3988</v>
      </c>
      <c r="M28">
        <v>257</v>
      </c>
      <c r="N28">
        <v>-8.9999999999999993E-3</v>
      </c>
      <c r="O28">
        <v>4.4000000000000004</v>
      </c>
      <c r="R28">
        <f>material[[#This Row],[K_0 '[Gpa']]]+material[[#This Row],[dK/dT]]*(material[[#This Row],[T]]-material[[#This Row],[T_ref '[K']]])+(material[[#This Row],[dK/dp '[-']]]/1000000000)*(material[[#This Row],[p]]-material[[#This Row],[p_ref '[Gpa']]])</f>
        <v>259.68155999999999</v>
      </c>
      <c r="S28">
        <f>0.000042</f>
        <v>4.1999999999999998E-5</v>
      </c>
      <c r="U28" s="2">
        <v>-8.0000000000000003E-10</v>
      </c>
      <c r="V28" s="3">
        <f>material[[#This Row],[a_0]]+material[[#This Row],[da/dp]]*(material[[#This Row],[p]]-material[[#This Row],[p_ref '[Gpa']]])+material[[#This Row],[da/dT]]*(material[[#This Row],[T]]-material[[#This Row],[T_ref '[K']]])</f>
        <v>4.2238399999999999E-5</v>
      </c>
      <c r="W28">
        <v>1</v>
      </c>
      <c r="AD2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'[Gpa']]]*1000000000)/(G27*material[[#This Row],[y=a*Ks/rho*Cp]]),
material[[#This Row],[Cp_A]])),
0)</f>
        <v>3708.0041222947439</v>
      </c>
      <c r="AF28" s="5">
        <v>1.25</v>
      </c>
      <c r="AG28" s="5">
        <v>0</v>
      </c>
      <c r="AK28">
        <v>3</v>
      </c>
      <c r="AN28" t="s">
        <v>54</v>
      </c>
      <c r="AW28" t="str">
        <f t="shared" si="0"/>
        <v>cor</v>
      </c>
      <c r="AX28" s="6">
        <f t="shared" si="0"/>
        <v>298</v>
      </c>
      <c r="AY28" s="6">
        <f t="shared" si="0"/>
        <v>100000</v>
      </c>
      <c r="AZ28" s="6">
        <f t="shared" si="0"/>
        <v>3988</v>
      </c>
      <c r="BA28" s="6">
        <f t="shared" si="1"/>
        <v>0</v>
      </c>
      <c r="BB28" s="6">
        <f t="shared" si="1"/>
        <v>0</v>
      </c>
      <c r="BC28" s="6">
        <f>material[[#This Row],[K_0 '[Gpa']]]</f>
        <v>257</v>
      </c>
      <c r="BD28" s="6">
        <f>material[[#This Row],[dK/dXs]]</f>
        <v>0</v>
      </c>
      <c r="BE28" s="6">
        <f>material[[#This Row],[dK/dXs^2]]</f>
        <v>0</v>
      </c>
      <c r="BF28" s="6">
        <f>material[[#This Row],[a_0]]</f>
        <v>4.1999999999999998E-5</v>
      </c>
      <c r="BG28" s="6">
        <f>material[[#This Row],[Cp '[J/Kkg']]]</f>
        <v>3708.0041222947439</v>
      </c>
      <c r="BH28" s="6">
        <f>material[[#This Row],[k '[W/mK']]]*10^3</f>
        <v>1250</v>
      </c>
      <c r="BI28">
        <f>material[[#This Row],[visc '[mPas']]]*10^(-3)</f>
        <v>0</v>
      </c>
    </row>
    <row r="29" spans="3:61" x14ac:dyDescent="0.3">
      <c r="C29" s="1" t="s">
        <v>54</v>
      </c>
      <c r="D29" t="s">
        <v>81</v>
      </c>
      <c r="E29">
        <v>298</v>
      </c>
      <c r="F29" s="2">
        <f t="shared" si="3"/>
        <v>100000</v>
      </c>
      <c r="G29">
        <v>2650</v>
      </c>
      <c r="L2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2650</v>
      </c>
      <c r="M29">
        <v>37.700000000000003</v>
      </c>
      <c r="N29">
        <v>-8.9999999999999993E-3</v>
      </c>
      <c r="O29">
        <v>6.4</v>
      </c>
      <c r="R29">
        <f>material[[#This Row],[K_0 '[Gpa']]]+material[[#This Row],[dK/dT]]*(material[[#This Row],[T]]-material[[#This Row],[T_ref '[K']]])+(material[[#This Row],[dK/dp '[-']]]/1000000000)*(material[[#This Row],[p]]-material[[#This Row],[p_ref '[Gpa']]])</f>
        <v>40.381360000000008</v>
      </c>
      <c r="S29">
        <f>0.00006</f>
        <v>6.0000000000000002E-5</v>
      </c>
      <c r="U29">
        <v>0</v>
      </c>
      <c r="V29" s="3">
        <f>material[[#This Row],[a_0]]+material[[#This Row],[da/dp]]*(material[[#This Row],[p]]-material[[#This Row],[p_ref '[Gpa']]])+material[[#This Row],[da/dT]]*(material[[#This Row],[T]]-material[[#This Row],[T_ref '[K']]])</f>
        <v>6.0000000000000002E-5</v>
      </c>
      <c r="W29">
        <v>1</v>
      </c>
      <c r="AD2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'[Gpa']]]*1000000000)/(G28*material[[#This Row],[y=a*Ks/rho*Cp]]),
material[[#This Row],[Cp_A]])),
0)</f>
        <v>567.20160481444339</v>
      </c>
      <c r="AF29" s="5">
        <v>1.25</v>
      </c>
      <c r="AG29" s="5">
        <v>0</v>
      </c>
      <c r="AK29">
        <v>3</v>
      </c>
      <c r="AN29" t="s">
        <v>54</v>
      </c>
      <c r="AW29" t="str">
        <f t="shared" si="0"/>
        <v>q</v>
      </c>
      <c r="AX29" s="6">
        <f t="shared" si="0"/>
        <v>298</v>
      </c>
      <c r="AY29" s="6">
        <f t="shared" si="0"/>
        <v>100000</v>
      </c>
      <c r="AZ29" s="6">
        <f t="shared" si="0"/>
        <v>2650</v>
      </c>
      <c r="BA29" s="6">
        <f t="shared" si="1"/>
        <v>0</v>
      </c>
      <c r="BB29" s="6">
        <f t="shared" si="1"/>
        <v>0</v>
      </c>
      <c r="BC29" s="6">
        <f>material[[#This Row],[K_0 '[Gpa']]]</f>
        <v>37.700000000000003</v>
      </c>
      <c r="BD29" s="6">
        <f>material[[#This Row],[dK/dXs]]</f>
        <v>0</v>
      </c>
      <c r="BE29" s="6">
        <f>material[[#This Row],[dK/dXs^2]]</f>
        <v>0</v>
      </c>
      <c r="BF29" s="6">
        <f>material[[#This Row],[a_0]]</f>
        <v>6.0000000000000002E-5</v>
      </c>
      <c r="BG29" s="6">
        <f>material[[#This Row],[Cp '[J/Kkg']]]</f>
        <v>567.20160481444339</v>
      </c>
      <c r="BH29" s="6">
        <f>material[[#This Row],[k '[W/mK']]]*10^3</f>
        <v>1250</v>
      </c>
      <c r="BI29">
        <f>material[[#This Row],[visc '[mPas']]]*10^(-3)</f>
        <v>0</v>
      </c>
    </row>
    <row r="30" spans="3:61" x14ac:dyDescent="0.3">
      <c r="C30" s="1" t="s">
        <v>54</v>
      </c>
      <c r="D30" t="s">
        <v>82</v>
      </c>
      <c r="E30">
        <v>298</v>
      </c>
      <c r="F30" s="2">
        <f t="shared" si="3"/>
        <v>100000</v>
      </c>
      <c r="G30">
        <v>3585</v>
      </c>
      <c r="L3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3585</v>
      </c>
      <c r="M30">
        <v>162</v>
      </c>
      <c r="N30">
        <v>-2.8000000000000001E-2</v>
      </c>
      <c r="O30">
        <v>4.26</v>
      </c>
      <c r="R30">
        <f>material[[#This Row],[K_0 '[Gpa']]]+material[[#This Row],[dK/dT]]*(material[[#This Row],[T]]-material[[#This Row],[T_ref '[K']]])+(material[[#This Row],[dK/dp '[-']]]/1000000000)*(material[[#This Row],[p]]-material[[#This Row],[p_ref '[Gpa']]])</f>
        <v>170.34357399999999</v>
      </c>
      <c r="S30">
        <f>0.0000364</f>
        <v>3.6399999999999997E-5</v>
      </c>
      <c r="U30" s="2">
        <v>8.3500000000000003E-9</v>
      </c>
      <c r="V30" s="3">
        <f>material[[#This Row],[a_0]]+material[[#This Row],[da/dp]]*(material[[#This Row],[p]]-material[[#This Row],[p_ref '[Gpa']]])+material[[#This Row],[da/dT]]*(material[[#This Row],[T]]-material[[#This Row],[T_ref '[K']]])</f>
        <v>3.3911699999999996E-5</v>
      </c>
      <c r="W30">
        <v>1.47</v>
      </c>
      <c r="AD3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'[Gpa']]]*1000000000)/(G29*material[[#This Row],[y=a*Ks/rho*Cp]]),
material[[#This Row],[Cp_A]])),
0)</f>
        <v>1513.7466307277627</v>
      </c>
      <c r="AF30" s="5">
        <v>1.25</v>
      </c>
      <c r="AG30" s="5">
        <v>0</v>
      </c>
      <c r="AK30">
        <v>3</v>
      </c>
      <c r="AN30" t="s">
        <v>54</v>
      </c>
      <c r="AW30" t="str">
        <f t="shared" si="0"/>
        <v>per</v>
      </c>
      <c r="AX30" s="6">
        <f t="shared" si="0"/>
        <v>298</v>
      </c>
      <c r="AY30" s="6">
        <f t="shared" si="0"/>
        <v>100000</v>
      </c>
      <c r="AZ30" s="6">
        <f t="shared" si="0"/>
        <v>3585</v>
      </c>
      <c r="BA30" s="6">
        <f t="shared" si="1"/>
        <v>0</v>
      </c>
      <c r="BB30" s="6">
        <f t="shared" si="1"/>
        <v>0</v>
      </c>
      <c r="BC30" s="6">
        <f>material[[#This Row],[K_0 '[Gpa']]]</f>
        <v>162</v>
      </c>
      <c r="BD30" s="6">
        <f>material[[#This Row],[dK/dXs]]</f>
        <v>0</v>
      </c>
      <c r="BE30" s="6">
        <f>material[[#This Row],[dK/dXs^2]]</f>
        <v>0</v>
      </c>
      <c r="BF30" s="6">
        <f>material[[#This Row],[a_0]]</f>
        <v>3.6399999999999997E-5</v>
      </c>
      <c r="BG30" s="6">
        <f>material[[#This Row],[Cp '[J/Kkg']]]</f>
        <v>1513.7466307277627</v>
      </c>
      <c r="BH30" s="6">
        <f>material[[#This Row],[k '[W/mK']]]*10^3</f>
        <v>1250</v>
      </c>
      <c r="BI30">
        <f>material[[#This Row],[visc '[mPas']]]*10^(-3)</f>
        <v>0</v>
      </c>
    </row>
    <row r="31" spans="3:61" x14ac:dyDescent="0.3">
      <c r="C31" s="1" t="s">
        <v>54</v>
      </c>
      <c r="D31" t="s">
        <v>83</v>
      </c>
      <c r="E31">
        <v>298</v>
      </c>
      <c r="F31" s="2">
        <f t="shared" si="3"/>
        <v>100000</v>
      </c>
      <c r="G31">
        <v>3330</v>
      </c>
      <c r="L3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3330</v>
      </c>
      <c r="M31">
        <v>129</v>
      </c>
      <c r="N31">
        <v>-1.6E-2</v>
      </c>
      <c r="O31">
        <v>4.2</v>
      </c>
      <c r="R31">
        <f>material[[#This Row],[K_0 '[Gpa']]]+material[[#This Row],[dK/dT]]*(material[[#This Row],[T]]-material[[#This Row],[T_ref '[K']]])+(material[[#This Row],[dK/dp '[-']]]/1000000000)*(material[[#This Row],[p]]-material[[#This Row],[p_ref '[Gpa']]])</f>
        <v>133.76758000000001</v>
      </c>
      <c r="S31">
        <f>0.0000252</f>
        <v>2.5199999999999999E-5</v>
      </c>
      <c r="U31" s="2">
        <v>1.5300000000000001E-8</v>
      </c>
      <c r="V31" s="3">
        <f>material[[#This Row],[a_0]]+material[[#This Row],[da/dp]]*(material[[#This Row],[p]]-material[[#This Row],[p_ref '[Gpa']]])+material[[#This Row],[da/dT]]*(material[[#This Row],[T]]-material[[#This Row],[T_ref '[K']]])</f>
        <v>2.06406E-5</v>
      </c>
      <c r="W31">
        <v>1</v>
      </c>
      <c r="AD3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'[Gpa']]]*1000000000)/(G30*material[[#This Row],[y=a*Ks/rho*Cp]]),
material[[#This Row],[Cp_A]])),
0)</f>
        <v>906.77824267782432</v>
      </c>
      <c r="AF31" s="5">
        <v>1.25</v>
      </c>
      <c r="AG31" s="5">
        <v>0</v>
      </c>
      <c r="AK31">
        <v>3</v>
      </c>
      <c r="AN31" t="s">
        <v>54</v>
      </c>
      <c r="AW31" t="str">
        <f t="shared" si="0"/>
        <v>merw</v>
      </c>
      <c r="AX31" s="6">
        <f t="shared" si="0"/>
        <v>298</v>
      </c>
      <c r="AY31" s="6">
        <f t="shared" si="0"/>
        <v>100000</v>
      </c>
      <c r="AZ31" s="6">
        <f t="shared" si="0"/>
        <v>3330</v>
      </c>
      <c r="BA31" s="6">
        <f t="shared" si="1"/>
        <v>0</v>
      </c>
      <c r="BB31" s="6">
        <f t="shared" si="1"/>
        <v>0</v>
      </c>
      <c r="BC31" s="6">
        <f>material[[#This Row],[K_0 '[Gpa']]]</f>
        <v>129</v>
      </c>
      <c r="BD31" s="6">
        <f>material[[#This Row],[dK/dXs]]</f>
        <v>0</v>
      </c>
      <c r="BE31" s="6">
        <f>material[[#This Row],[dK/dXs^2]]</f>
        <v>0</v>
      </c>
      <c r="BF31" s="6">
        <f>material[[#This Row],[a_0]]</f>
        <v>2.5199999999999999E-5</v>
      </c>
      <c r="BG31" s="6">
        <f>material[[#This Row],[Cp '[J/Kkg']]]</f>
        <v>906.77824267782432</v>
      </c>
      <c r="BH31" s="6">
        <f>material[[#This Row],[k '[W/mK']]]*10^3</f>
        <v>1250</v>
      </c>
      <c r="BI31">
        <f>material[[#This Row],[visc '[mPas']]]*10^(-3)</f>
        <v>0</v>
      </c>
    </row>
    <row r="32" spans="3:61" x14ac:dyDescent="0.3">
      <c r="E32"/>
      <c r="F32"/>
      <c r="L3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2">
        <f>material[[#This Row],[a_0]]+material[[#This Row],[da/dp]]*(material[[#This Row],[p]]-material[[#This Row],[p_ref '[Gpa']]])+material[[#This Row],[da/dT]]*(material[[#This Row],[T]]-material[[#This Row],[T_ref '[K']]])</f>
        <v>0</v>
      </c>
      <c r="AD3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'[Gpa']]]*1000000000)/(G31*material[[#This Row],[y=a*Ks/rho*Cp]]),
material[[#This Row],[Cp_A]])),
0)</f>
        <v>0</v>
      </c>
      <c r="AG32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5:61" x14ac:dyDescent="0.3">
      <c r="E33"/>
      <c r="F33"/>
      <c r="L3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3">
        <f>material[[#This Row],[a_0]]+material[[#This Row],[da/dp]]*(material[[#This Row],[p]]-material[[#This Row],[p_ref '[Gpa']]])+material[[#This Row],[da/dT]]*(material[[#This Row],[T]]-material[[#This Row],[T_ref '[K']]])</f>
        <v>0</v>
      </c>
      <c r="AD3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'[Gpa']]]*1000000000)/(G32*material[[#This Row],[y=a*Ks/rho*Cp]]),
material[[#This Row],[Cp_A]])),
0)</f>
        <v>0</v>
      </c>
      <c r="AG33"/>
    </row>
    <row r="34" spans="5:61" x14ac:dyDescent="0.3">
      <c r="E34"/>
      <c r="F34"/>
      <c r="L3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4">
        <f>material[[#This Row],[a_0]]+material[[#This Row],[da/dp]]*(material[[#This Row],[p]]-material[[#This Row],[p_ref '[Gpa']]])+material[[#This Row],[da/dT]]*(material[[#This Row],[T]]-material[[#This Row],[T_ref '[K']]])</f>
        <v>0</v>
      </c>
      <c r="AD3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'[Gpa']]]*1000000000)/(G33*material[[#This Row],[y=a*Ks/rho*Cp]]),
material[[#This Row],[Cp_A]])),
0)</f>
        <v>0</v>
      </c>
      <c r="AG34"/>
    </row>
    <row r="35" spans="5:61" x14ac:dyDescent="0.3">
      <c r="E35"/>
      <c r="F35"/>
      <c r="L3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5">
        <f>material[[#This Row],[a_0]]+material[[#This Row],[da/dp]]*(material[[#This Row],[p]]-material[[#This Row],[p_ref '[Gpa']]])+material[[#This Row],[da/dT]]*(material[[#This Row],[T]]-material[[#This Row],[T_ref '[K']]])</f>
        <v>0</v>
      </c>
      <c r="AD3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'[Gpa']]]*1000000000)/(G34*material[[#This Row],[y=a*Ks/rho*Cp]]),
material[[#This Row],[Cp_A]])),
0)</f>
        <v>0</v>
      </c>
      <c r="AG35"/>
    </row>
    <row r="36" spans="5:61" x14ac:dyDescent="0.3">
      <c r="E36"/>
      <c r="F36"/>
      <c r="L3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6">
        <f>material[[#This Row],[a_0]]+material[[#This Row],[da/dp]]*(material[[#This Row],[p]]-material[[#This Row],[p_ref '[Gpa']]])+material[[#This Row],[da/dT]]*(material[[#This Row],[T]]-material[[#This Row],[T_ref '[K']]])</f>
        <v>0</v>
      </c>
      <c r="AD3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'[Gpa']]]*1000000000)/(G35*material[[#This Row],[y=a*Ks/rho*Cp]]),
material[[#This Row],[Cp_A]])),
0)</f>
        <v>0</v>
      </c>
      <c r="AG36"/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</row>
    <row r="37" spans="5:61" x14ac:dyDescent="0.3">
      <c r="E37"/>
      <c r="F37"/>
      <c r="L3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7">
        <f>material[[#This Row],[a_0]]+material[[#This Row],[da/dp]]*(material[[#This Row],[p]]-material[[#This Row],[p_ref '[Gpa']]])+material[[#This Row],[da/dT]]*(material[[#This Row],[T]]-material[[#This Row],[T_ref '[K']]])</f>
        <v>0</v>
      </c>
      <c r="AD3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'[Gpa']]]*1000000000)/(G36*material[[#This Row],[y=a*Ks/rho*Cp]]),
material[[#This Row],[Cp_A]])),
0)</f>
        <v>0</v>
      </c>
      <c r="AG37"/>
      <c r="AW37" s="6" t="s">
        <v>3</v>
      </c>
      <c r="AX37" s="6" t="s">
        <v>41</v>
      </c>
      <c r="AY37" s="6" t="s">
        <v>42</v>
      </c>
      <c r="AZ37" s="6" t="s">
        <v>43</v>
      </c>
      <c r="BA37" s="6" t="s">
        <v>9</v>
      </c>
      <c r="BB37" s="6" t="s">
        <v>44</v>
      </c>
      <c r="BC37" s="6" t="s">
        <v>45</v>
      </c>
      <c r="BD37" s="6" t="s">
        <v>15</v>
      </c>
      <c r="BE37" s="6" t="s">
        <v>46</v>
      </c>
      <c r="BF37" s="6" t="s">
        <v>18</v>
      </c>
      <c r="BG37" s="6" t="s">
        <v>47</v>
      </c>
      <c r="BH37" s="6" t="s">
        <v>48</v>
      </c>
      <c r="BI37" s="6" t="s">
        <v>49</v>
      </c>
    </row>
    <row r="38" spans="5:61" x14ac:dyDescent="0.3">
      <c r="E38"/>
      <c r="F38"/>
      <c r="L3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8">
        <f>material[[#This Row],[a_0]]+material[[#This Row],[da/dp]]*(material[[#This Row],[p]]-material[[#This Row],[p_ref '[Gpa']]])+material[[#This Row],[da/dT]]*(material[[#This Row],[T]]-material[[#This Row],[T_ref '[K']]])</f>
        <v>0</v>
      </c>
      <c r="AD3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'[Gpa']]]*1000000000)/(G37*material[[#This Row],[y=a*Ks/rho*Cp]]),
material[[#This Row],[Cp_A]])),
0)</f>
        <v>0</v>
      </c>
      <c r="AG38"/>
      <c r="AV38">
        <v>1</v>
      </c>
      <c r="AW38" t="s">
        <v>50</v>
      </c>
      <c r="AX38" s="6">
        <f t="shared" ref="AX38:BI38" si="4">AX6</f>
        <v>298</v>
      </c>
      <c r="AY38" s="6">
        <f t="shared" si="4"/>
        <v>100000</v>
      </c>
      <c r="AZ38" s="6">
        <f t="shared" si="4"/>
        <v>7019</v>
      </c>
      <c r="BA38" s="6">
        <f t="shared" si="4"/>
        <v>0</v>
      </c>
      <c r="BB38" s="6">
        <f t="shared" si="4"/>
        <v>0</v>
      </c>
      <c r="BC38" s="6">
        <f t="shared" si="4"/>
        <v>81.3</v>
      </c>
      <c r="BD38" s="6">
        <f t="shared" si="4"/>
        <v>-391</v>
      </c>
      <c r="BE38" s="6">
        <f t="shared" si="4"/>
        <v>554</v>
      </c>
      <c r="BF38" s="6">
        <f t="shared" si="4"/>
        <v>1.1E-4</v>
      </c>
      <c r="BG38" s="6">
        <f t="shared" si="4"/>
        <v>824.13823977079414</v>
      </c>
      <c r="BH38" s="6">
        <f t="shared" si="4"/>
        <v>100000</v>
      </c>
      <c r="BI38" s="6">
        <f t="shared" si="4"/>
        <v>6.7000000000000002E-3</v>
      </c>
    </row>
    <row r="39" spans="5:61" x14ac:dyDescent="0.3">
      <c r="E39"/>
      <c r="F39"/>
      <c r="L3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3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39">
        <f>material[[#This Row],[a_0]]+material[[#This Row],[da/dp]]*(material[[#This Row],[p]]-material[[#This Row],[p_ref '[Gpa']]])+material[[#This Row],[da/dT]]*(material[[#This Row],[T]]-material[[#This Row],[T_ref '[K']]])</f>
        <v>0</v>
      </c>
      <c r="AD3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'[Gpa']]]*1000000000)/(G38*material[[#This Row],[y=a*Ks/rho*Cp]]),
material[[#This Row],[Cp_A]])),
0)</f>
        <v>0</v>
      </c>
      <c r="AG39"/>
      <c r="AV39">
        <v>2</v>
      </c>
      <c r="AW39" t="s">
        <v>55</v>
      </c>
      <c r="AX39" s="6">
        <f t="shared" ref="AX39:BI40" si="5">AX8</f>
        <v>298</v>
      </c>
      <c r="AY39" s="6">
        <f t="shared" si="5"/>
        <v>100000</v>
      </c>
      <c r="AZ39" s="6">
        <f t="shared" si="5"/>
        <v>7225</v>
      </c>
      <c r="BA39" s="6">
        <f t="shared" si="5"/>
        <v>0</v>
      </c>
      <c r="BB39" s="6">
        <f t="shared" si="5"/>
        <v>0</v>
      </c>
      <c r="BC39" s="6">
        <f t="shared" si="5"/>
        <v>127</v>
      </c>
      <c r="BD39" s="6">
        <f t="shared" si="5"/>
        <v>0</v>
      </c>
      <c r="BE39" s="6">
        <f t="shared" si="5"/>
        <v>0</v>
      </c>
      <c r="BF39" s="6">
        <f t="shared" si="5"/>
        <v>9.2E-5</v>
      </c>
      <c r="BG39" s="6">
        <f t="shared" si="5"/>
        <v>429.30414540245317</v>
      </c>
      <c r="BH39" s="6">
        <f t="shared" si="5"/>
        <v>232000</v>
      </c>
      <c r="BI39" s="6">
        <f t="shared" si="5"/>
        <v>0</v>
      </c>
    </row>
    <row r="40" spans="5:61" x14ac:dyDescent="0.3">
      <c r="E40"/>
      <c r="F40"/>
      <c r="L4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0">
        <f>material[[#This Row],[a_0]]+material[[#This Row],[da/dp]]*(material[[#This Row],[p]]-material[[#This Row],[p_ref '[Gpa']]])+material[[#This Row],[da/dT]]*(material[[#This Row],[T]]-material[[#This Row],[T_ref '[K']]])</f>
        <v>0</v>
      </c>
      <c r="AD4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'[Gpa']]]*1000000000)/(G39*material[[#This Row],[y=a*Ks/rho*Cp]]),
material[[#This Row],[Cp_A]])),
0)</f>
        <v>0</v>
      </c>
      <c r="AG40"/>
      <c r="AV40">
        <v>3</v>
      </c>
      <c r="AW40" t="s">
        <v>84</v>
      </c>
      <c r="AX40" s="6">
        <f t="shared" si="5"/>
        <v>293</v>
      </c>
      <c r="AY40" s="6">
        <f t="shared" si="5"/>
        <v>0</v>
      </c>
      <c r="AZ40" s="6">
        <f t="shared" si="5"/>
        <v>7033</v>
      </c>
      <c r="BA40" s="6">
        <f t="shared" si="5"/>
        <v>0</v>
      </c>
      <c r="BB40" s="6">
        <f t="shared" si="5"/>
        <v>0</v>
      </c>
      <c r="BC40" s="6">
        <f t="shared" si="5"/>
        <v>150</v>
      </c>
      <c r="BD40" s="6">
        <f t="shared" si="5"/>
        <v>0</v>
      </c>
      <c r="BE40" s="6">
        <f t="shared" si="5"/>
        <v>0</v>
      </c>
      <c r="BF40" s="6">
        <f t="shared" si="5"/>
        <v>6.3999999999999997E-5</v>
      </c>
      <c r="BG40" s="6">
        <f t="shared" si="5"/>
        <v>1090.0671140939598</v>
      </c>
      <c r="BH40" s="6">
        <f t="shared" si="5"/>
        <v>3600</v>
      </c>
      <c r="BI40" s="6">
        <f t="shared" si="5"/>
        <v>5.0000000000000001E-3</v>
      </c>
    </row>
    <row r="41" spans="5:61" x14ac:dyDescent="0.3">
      <c r="E41"/>
      <c r="F41"/>
      <c r="L4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1">
        <f>material[[#This Row],[a_0]]+material[[#This Row],[da/dp]]*(material[[#This Row],[p]]-material[[#This Row],[p_ref '[Gpa']]])+material[[#This Row],[da/dT]]*(material[[#This Row],[T]]-material[[#This Row],[T_ref '[K']]])</f>
        <v>0</v>
      </c>
      <c r="AD4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'[Gpa']]]*1000000000)/(G40*material[[#This Row],[y=a*Ks/rho*Cp]]),
material[[#This Row],[Cp_A]])),
0)</f>
        <v>0</v>
      </c>
      <c r="AG41"/>
      <c r="AV41">
        <v>4</v>
      </c>
      <c r="AW41" t="s">
        <v>85</v>
      </c>
      <c r="AX41" s="6">
        <f t="shared" ref="AX41:BI41" si="6">AX12</f>
        <v>1770</v>
      </c>
      <c r="AY41" s="6">
        <f t="shared" si="6"/>
        <v>0</v>
      </c>
      <c r="AZ41" s="6">
        <f t="shared" si="6"/>
        <v>7019</v>
      </c>
      <c r="BA41" s="6">
        <f t="shared" si="6"/>
        <v>-20012</v>
      </c>
      <c r="BB41" s="6">
        <f t="shared" si="6"/>
        <v>31524</v>
      </c>
      <c r="BC41" s="6">
        <f t="shared" si="6"/>
        <v>85.9</v>
      </c>
      <c r="BD41" s="6">
        <f t="shared" si="6"/>
        <v>-462.4</v>
      </c>
      <c r="BE41" s="6">
        <f t="shared" si="6"/>
        <v>780.8</v>
      </c>
      <c r="BF41" s="6">
        <f t="shared" si="6"/>
        <v>9.2E-5</v>
      </c>
      <c r="BG41" s="6">
        <f t="shared" si="6"/>
        <v>711.53224889091121</v>
      </c>
      <c r="BH41" s="6">
        <f t="shared" si="6"/>
        <v>3600</v>
      </c>
      <c r="BI41" s="6">
        <f t="shared" si="6"/>
        <v>5.0000000000000001E-3</v>
      </c>
    </row>
    <row r="42" spans="5:61" x14ac:dyDescent="0.3">
      <c r="E42"/>
      <c r="F42"/>
      <c r="L4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2">
        <f>material[[#This Row],[a_0]]+material[[#This Row],[da/dp]]*(material[[#This Row],[p]]-material[[#This Row],[p_ref '[Gpa']]])+material[[#This Row],[da/dT]]*(material[[#This Row],[T]]-material[[#This Row],[T_ref '[K']]])</f>
        <v>0</v>
      </c>
      <c r="AD4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'[Gpa']]]*1000000000)/(G41*material[[#This Row],[y=a*Ks/rho*Cp]]),
material[[#This Row],[Cp_A]])),
0)</f>
        <v>0</v>
      </c>
      <c r="AG42"/>
      <c r="AV42">
        <v>5</v>
      </c>
      <c r="AW42" t="s">
        <v>86</v>
      </c>
      <c r="AX42" s="6">
        <f t="shared" ref="AX42:BI42" si="7">AX11</f>
        <v>1000</v>
      </c>
      <c r="AY42" s="6">
        <f t="shared" si="7"/>
        <v>0</v>
      </c>
      <c r="AZ42" s="6">
        <f t="shared" si="7"/>
        <v>4872</v>
      </c>
      <c r="BA42" s="6">
        <f t="shared" si="7"/>
        <v>0</v>
      </c>
      <c r="BB42" s="6">
        <f t="shared" si="7"/>
        <v>0</v>
      </c>
      <c r="BC42" s="6">
        <f t="shared" si="7"/>
        <v>54.3</v>
      </c>
      <c r="BD42" s="6">
        <f t="shared" si="7"/>
        <v>0</v>
      </c>
      <c r="BE42" s="6">
        <f t="shared" si="7"/>
        <v>0</v>
      </c>
      <c r="BF42" s="6">
        <f t="shared" si="7"/>
        <v>1.0399999999999999E-4</v>
      </c>
      <c r="BG42" s="6">
        <f t="shared" si="7"/>
        <v>1090.0671140939598</v>
      </c>
      <c r="BH42" s="6">
        <f t="shared" si="7"/>
        <v>3600</v>
      </c>
      <c r="BI42" s="6">
        <f t="shared" si="7"/>
        <v>5.0000000000000001E-3</v>
      </c>
    </row>
    <row r="43" spans="5:61" x14ac:dyDescent="0.3">
      <c r="E43"/>
      <c r="F43"/>
      <c r="L4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3">
        <f>material[[#This Row],[a_0]]+material[[#This Row],[da/dp]]*(material[[#This Row],[p]]-material[[#This Row],[p_ref '[Gpa']]])+material[[#This Row],[da/dT]]*(material[[#This Row],[T]]-material[[#This Row],[T_ref '[K']]])</f>
        <v>0</v>
      </c>
      <c r="AD4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'[Gpa']]]*1000000000)/(G42*material[[#This Row],[y=a*Ks/rho*Cp]]),
material[[#This Row],[Cp_A]])),
0)</f>
        <v>0</v>
      </c>
      <c r="AG43"/>
      <c r="AV43">
        <v>6</v>
      </c>
      <c r="AW43" t="s">
        <v>87</v>
      </c>
      <c r="AX43" s="6">
        <f t="shared" ref="AX43:BI43" si="8">AX14</f>
        <v>1723</v>
      </c>
      <c r="AY43" s="6">
        <f t="shared" si="8"/>
        <v>0</v>
      </c>
      <c r="AZ43" s="6">
        <f t="shared" si="8"/>
        <v>6000</v>
      </c>
      <c r="BA43" s="6">
        <f t="shared" si="8"/>
        <v>0</v>
      </c>
      <c r="BB43" s="6">
        <f t="shared" si="8"/>
        <v>0</v>
      </c>
      <c r="BC43" s="6">
        <f t="shared" si="8"/>
        <v>73</v>
      </c>
      <c r="BD43" s="6">
        <f t="shared" si="8"/>
        <v>0</v>
      </c>
      <c r="BE43" s="6">
        <f t="shared" si="8"/>
        <v>0</v>
      </c>
      <c r="BF43" s="6">
        <f t="shared" si="8"/>
        <v>9.2E-5</v>
      </c>
      <c r="BG43" s="6">
        <f t="shared" si="8"/>
        <v>304.84052186345764</v>
      </c>
      <c r="BH43" s="6">
        <f t="shared" si="8"/>
        <v>105000</v>
      </c>
      <c r="BI43" s="6">
        <f t="shared" si="8"/>
        <v>5.0000000000000001E-3</v>
      </c>
    </row>
    <row r="44" spans="5:61" x14ac:dyDescent="0.3">
      <c r="E44"/>
      <c r="F44"/>
      <c r="L4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4">
        <f>material[[#This Row],[a_0]]+material[[#This Row],[da/dp]]*(material[[#This Row],[p]]-material[[#This Row],[p_ref '[Gpa']]])+material[[#This Row],[da/dT]]*(material[[#This Row],[T]]-material[[#This Row],[T_ref '[K']]])</f>
        <v>0</v>
      </c>
      <c r="AD4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'[Gpa']]]*1000000000)/(G43*material[[#This Row],[y=a*Ks/rho*Cp]]),
material[[#This Row],[Cp_A]])),
0)</f>
        <v>0</v>
      </c>
      <c r="AG44"/>
      <c r="AV44">
        <v>7</v>
      </c>
      <c r="AW44" t="s">
        <v>71</v>
      </c>
      <c r="AX44" s="6">
        <f t="shared" ref="AX44:BI44" si="9">AX16</f>
        <v>440</v>
      </c>
      <c r="AY44" s="6">
        <f t="shared" si="9"/>
        <v>0</v>
      </c>
      <c r="AZ44" s="6">
        <f t="shared" si="9"/>
        <v>3200</v>
      </c>
      <c r="BA44" s="6">
        <f t="shared" si="9"/>
        <v>0</v>
      </c>
      <c r="BB44" s="6">
        <f t="shared" si="9"/>
        <v>0</v>
      </c>
      <c r="BC44" s="6">
        <f t="shared" si="9"/>
        <v>120</v>
      </c>
      <c r="BD44" s="6">
        <f t="shared" si="9"/>
        <v>0</v>
      </c>
      <c r="BE44" s="6">
        <f t="shared" si="9"/>
        <v>0</v>
      </c>
      <c r="BF44" s="6">
        <f t="shared" si="9"/>
        <v>3.0000000000000001E-5</v>
      </c>
      <c r="BG44" s="6">
        <f t="shared" si="9"/>
        <v>422</v>
      </c>
      <c r="BH44" s="6">
        <f t="shared" si="9"/>
        <v>1249.1200000000001</v>
      </c>
      <c r="BI44" s="6">
        <f t="shared" si="9"/>
        <v>0</v>
      </c>
    </row>
    <row r="45" spans="5:61" x14ac:dyDescent="0.3">
      <c r="E45"/>
      <c r="F45"/>
      <c r="L4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5">
        <f>material[[#This Row],[a_0]]+material[[#This Row],[da/dp]]*(material[[#This Row],[p]]-material[[#This Row],[p_ref '[Gpa']]])+material[[#This Row],[da/dT]]*(material[[#This Row],[T]]-material[[#This Row],[T_ref '[K']]])</f>
        <v>0</v>
      </c>
      <c r="AD4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'[Gpa']]]*1000000000)/(G44*material[[#This Row],[y=a*Ks/rho*Cp]]),
material[[#This Row],[Cp_A]])),
0)</f>
        <v>0</v>
      </c>
      <c r="AG45"/>
      <c r="AV45">
        <v>8</v>
      </c>
      <c r="AW45" t="s">
        <v>88</v>
      </c>
      <c r="AX45" s="6">
        <f>0.3*AX20+(0.55-0.3)*AX31+(0.8-0.55)*AX30+(1-0.8)*AX25</f>
        <v>298</v>
      </c>
      <c r="AY45" s="6">
        <f t="shared" ref="AY45:BI45" si="10">0.3*AY20+(0.55-0.3)*AY31+(0.8-0.55)*AY30+(1-0.8)*AY25</f>
        <v>100000</v>
      </c>
      <c r="AZ45" s="6">
        <f t="shared" si="10"/>
        <v>3411.3500000000004</v>
      </c>
      <c r="BA45" s="6">
        <f t="shared" si="10"/>
        <v>0</v>
      </c>
      <c r="BB45" s="6">
        <f t="shared" si="10"/>
        <v>0</v>
      </c>
      <c r="BC45" s="6">
        <f t="shared" si="10"/>
        <v>150.79</v>
      </c>
      <c r="BD45" s="6">
        <f t="shared" si="10"/>
        <v>0</v>
      </c>
      <c r="BE45" s="6">
        <f t="shared" si="10"/>
        <v>0</v>
      </c>
      <c r="BF45" s="6">
        <f t="shared" si="10"/>
        <v>3.7836299999999996E-5</v>
      </c>
      <c r="BG45" s="6">
        <f t="shared" si="10"/>
        <v>1729.6175100073538</v>
      </c>
      <c r="BH45" s="6">
        <f t="shared" si="10"/>
        <v>1250</v>
      </c>
      <c r="BI45" s="6">
        <f t="shared" si="10"/>
        <v>0</v>
      </c>
    </row>
    <row r="46" spans="5:61" x14ac:dyDescent="0.3">
      <c r="E46"/>
      <c r="F46"/>
      <c r="L4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6">
        <f>material[[#This Row],[a_0]]+material[[#This Row],[da/dp]]*(material[[#This Row],[p]]-material[[#This Row],[p_ref '[Gpa']]])+material[[#This Row],[da/dT]]*(material[[#This Row],[T]]-material[[#This Row],[T_ref '[K']]])</f>
        <v>0</v>
      </c>
      <c r="AD4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'[Gpa']]]*1000000000)/(G45*material[[#This Row],[y=a*Ks/rho*Cp]]),
material[[#This Row],[Cp_A]])),
0)</f>
        <v>0</v>
      </c>
      <c r="AG46"/>
      <c r="AV46">
        <v>9</v>
      </c>
      <c r="AW46" t="s">
        <v>89</v>
      </c>
      <c r="AX46" s="6">
        <f>0.3*AX20+(0.45-0.3)*AX22+(0.75-0.45)*AX21+(1-0.75)*AX23</f>
        <v>298</v>
      </c>
      <c r="AY46" s="6">
        <f t="shared" ref="AY46:BI46" si="11">0.3*AY20+(0.45-0.3)*AY22+(0.75-0.45)*AY21+(1-0.75)*AY23</f>
        <v>100000</v>
      </c>
      <c r="AZ46" s="6">
        <f t="shared" si="11"/>
        <v>3307.6</v>
      </c>
      <c r="BA46" s="6">
        <f t="shared" si="11"/>
        <v>0</v>
      </c>
      <c r="BB46" s="6">
        <f t="shared" si="11"/>
        <v>0</v>
      </c>
      <c r="BC46" s="6">
        <f t="shared" si="11"/>
        <v>129.89999999999998</v>
      </c>
      <c r="BD46" s="6">
        <f t="shared" si="11"/>
        <v>0</v>
      </c>
      <c r="BE46" s="6">
        <f t="shared" si="11"/>
        <v>0</v>
      </c>
      <c r="BF46" s="6">
        <f t="shared" si="11"/>
        <v>2.5756299999999999E-5</v>
      </c>
      <c r="BG46" s="6">
        <f t="shared" si="11"/>
        <v>916.72944540470098</v>
      </c>
      <c r="BH46" s="6">
        <f t="shared" si="11"/>
        <v>1250</v>
      </c>
      <c r="BI46" s="6">
        <f t="shared" si="11"/>
        <v>0</v>
      </c>
    </row>
    <row r="47" spans="5:61" x14ac:dyDescent="0.3">
      <c r="E47"/>
      <c r="F47"/>
      <c r="L4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7">
        <f>material[[#This Row],[a_0]]+material[[#This Row],[da/dp]]*(material[[#This Row],[p]]-material[[#This Row],[p_ref '[Gpa']]])+material[[#This Row],[da/dT]]*(material[[#This Row],[T]]-material[[#This Row],[T_ref '[K']]])</f>
        <v>0</v>
      </c>
      <c r="AD4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'[Gpa']]]*1000000000)/(G46*material[[#This Row],[y=a*Ks/rho*Cp]]),
material[[#This Row],[Cp_A]])),
0)</f>
        <v>0</v>
      </c>
      <c r="AG47"/>
      <c r="AV47">
        <v>10</v>
      </c>
      <c r="AW47" t="s">
        <v>90</v>
      </c>
      <c r="AX47" s="6">
        <f>0.25*AX20+(0.35-0.25)*AX22+(0.8-0.35)*AX21+(1-0.8)*AX23</f>
        <v>298</v>
      </c>
      <c r="AY47" s="6">
        <f t="shared" ref="AY47:BI47" si="12">0.25*AY20+(0.35-0.25)*AY22+(0.8-0.35)*AY21+(1-0.8)*AY23</f>
        <v>100000</v>
      </c>
      <c r="AZ47" s="6">
        <f t="shared" si="12"/>
        <v>3283.5</v>
      </c>
      <c r="BA47" s="6">
        <f t="shared" si="12"/>
        <v>0</v>
      </c>
      <c r="BB47" s="6">
        <f t="shared" si="12"/>
        <v>0</v>
      </c>
      <c r="BC47" s="6">
        <f t="shared" si="12"/>
        <v>126</v>
      </c>
      <c r="BD47" s="6">
        <f t="shared" si="12"/>
        <v>0</v>
      </c>
      <c r="BE47" s="6">
        <f t="shared" si="12"/>
        <v>0</v>
      </c>
      <c r="BF47" s="6">
        <f t="shared" si="12"/>
        <v>2.643025E-5</v>
      </c>
      <c r="BG47" s="6">
        <f t="shared" si="12"/>
        <v>922.51533289790234</v>
      </c>
      <c r="BH47" s="6">
        <f t="shared" si="12"/>
        <v>1250</v>
      </c>
      <c r="BI47" s="6">
        <f t="shared" si="12"/>
        <v>0</v>
      </c>
    </row>
    <row r="48" spans="5:61" x14ac:dyDescent="0.3">
      <c r="E48"/>
      <c r="F48"/>
      <c r="L4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8">
        <f>material[[#This Row],[a_0]]+material[[#This Row],[da/dp]]*(material[[#This Row],[p]]-material[[#This Row],[p_ref '[Gpa']]])+material[[#This Row],[da/dT]]*(material[[#This Row],[T]]-material[[#This Row],[T_ref '[K']]])</f>
        <v>0</v>
      </c>
      <c r="AD4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'[Gpa']]]*1000000000)/(G47*material[[#This Row],[y=a*Ks/rho*Cp]]),
material[[#This Row],[Cp_A]])),
0)</f>
        <v>0</v>
      </c>
      <c r="AG48"/>
    </row>
    <row r="49" spans="5:33" x14ac:dyDescent="0.3">
      <c r="E49"/>
      <c r="F49"/>
      <c r="L4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4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49">
        <f>material[[#This Row],[a_0]]+material[[#This Row],[da/dp]]*(material[[#This Row],[p]]-material[[#This Row],[p_ref '[Gpa']]])+material[[#This Row],[da/dT]]*(material[[#This Row],[T]]-material[[#This Row],[T_ref '[K']]])</f>
        <v>0</v>
      </c>
      <c r="AD4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'[Gpa']]]*1000000000)/(G48*material[[#This Row],[y=a*Ks/rho*Cp]]),
material[[#This Row],[Cp_A]])),
0)</f>
        <v>0</v>
      </c>
      <c r="AG49"/>
    </row>
    <row r="50" spans="5:33" x14ac:dyDescent="0.3">
      <c r="E50"/>
      <c r="F50"/>
      <c r="L5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0">
        <f>material[[#This Row],[a_0]]+material[[#This Row],[da/dp]]*(material[[#This Row],[p]]-material[[#This Row],[p_ref '[Gpa']]])+material[[#This Row],[da/dT]]*(material[[#This Row],[T]]-material[[#This Row],[T_ref '[K']]])</f>
        <v>0</v>
      </c>
      <c r="AD5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'[Gpa']]]*1000000000)/(G49*material[[#This Row],[y=a*Ks/rho*Cp]]),
material[[#This Row],[Cp_A]])),
0)</f>
        <v>0</v>
      </c>
      <c r="AG50"/>
    </row>
    <row r="51" spans="5:33" x14ac:dyDescent="0.3">
      <c r="E51"/>
      <c r="F51"/>
      <c r="L5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1">
        <f>material[[#This Row],[a_0]]+material[[#This Row],[da/dp]]*(material[[#This Row],[p]]-material[[#This Row],[p_ref '[Gpa']]])+material[[#This Row],[da/dT]]*(material[[#This Row],[T]]-material[[#This Row],[T_ref '[K']]])</f>
        <v>0</v>
      </c>
      <c r="AD5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'[Gpa']]]*1000000000)/(G50*material[[#This Row],[y=a*Ks/rho*Cp]]),
material[[#This Row],[Cp_A]])),
0)</f>
        <v>0</v>
      </c>
      <c r="AG51"/>
    </row>
    <row r="52" spans="5:33" x14ac:dyDescent="0.3">
      <c r="E52"/>
      <c r="F52"/>
      <c r="L5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2">
        <f>material[[#This Row],[a_0]]+material[[#This Row],[da/dp]]*(material[[#This Row],[p]]-material[[#This Row],[p_ref '[Gpa']]])+material[[#This Row],[da/dT]]*(material[[#This Row],[T]]-material[[#This Row],[T_ref '[K']]])</f>
        <v>0</v>
      </c>
      <c r="AD5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'[Gpa']]]*1000000000)/(G51*material[[#This Row],[y=a*Ks/rho*Cp]]),
material[[#This Row],[Cp_A]])),
0)</f>
        <v>0</v>
      </c>
      <c r="AG52"/>
    </row>
    <row r="53" spans="5:33" x14ac:dyDescent="0.3">
      <c r="E53"/>
      <c r="F53"/>
      <c r="L5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3">
        <f>material[[#This Row],[a_0]]+material[[#This Row],[da/dp]]*(material[[#This Row],[p]]-material[[#This Row],[p_ref '[Gpa']]])+material[[#This Row],[da/dT]]*(material[[#This Row],[T]]-material[[#This Row],[T_ref '[K']]])</f>
        <v>0</v>
      </c>
      <c r="AD5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'[Gpa']]]*1000000000)/(G52*material[[#This Row],[y=a*Ks/rho*Cp]]),
material[[#This Row],[Cp_A]])),
0)</f>
        <v>0</v>
      </c>
      <c r="AG53"/>
    </row>
    <row r="54" spans="5:33" x14ac:dyDescent="0.3">
      <c r="E54"/>
      <c r="F54"/>
      <c r="L5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4">
        <f>material[[#This Row],[a_0]]+material[[#This Row],[da/dp]]*(material[[#This Row],[p]]-material[[#This Row],[p_ref '[Gpa']]])+material[[#This Row],[da/dT]]*(material[[#This Row],[T]]-material[[#This Row],[T_ref '[K']]])</f>
        <v>0</v>
      </c>
      <c r="AD5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'[Gpa']]]*1000000000)/(G53*material[[#This Row],[y=a*Ks/rho*Cp]]),
material[[#This Row],[Cp_A]])),
0)</f>
        <v>0</v>
      </c>
      <c r="AG54"/>
    </row>
    <row r="55" spans="5:33" x14ac:dyDescent="0.3">
      <c r="E55"/>
      <c r="F55"/>
      <c r="L5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5">
        <f>material[[#This Row],[a_0]]+material[[#This Row],[da/dp]]*(material[[#This Row],[p]]-material[[#This Row],[p_ref '[Gpa']]])+material[[#This Row],[da/dT]]*(material[[#This Row],[T]]-material[[#This Row],[T_ref '[K']]])</f>
        <v>0</v>
      </c>
      <c r="AD5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'[Gpa']]]*1000000000)/(G54*material[[#This Row],[y=a*Ks/rho*Cp]]),
material[[#This Row],[Cp_A]])),
0)</f>
        <v>0</v>
      </c>
      <c r="AG55"/>
    </row>
    <row r="56" spans="5:33" x14ac:dyDescent="0.3">
      <c r="E56"/>
      <c r="F56"/>
      <c r="L5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6">
        <f>material[[#This Row],[a_0]]+material[[#This Row],[da/dp]]*(material[[#This Row],[p]]-material[[#This Row],[p_ref '[Gpa']]])+material[[#This Row],[da/dT]]*(material[[#This Row],[T]]-material[[#This Row],[T_ref '[K']]])</f>
        <v>0</v>
      </c>
      <c r="AD5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'[Gpa']]]*1000000000)/(G55*material[[#This Row],[y=a*Ks/rho*Cp]]),
material[[#This Row],[Cp_A]])),
0)</f>
        <v>0</v>
      </c>
      <c r="AG56"/>
    </row>
    <row r="57" spans="5:33" x14ac:dyDescent="0.3">
      <c r="E57"/>
      <c r="F57"/>
      <c r="L5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7">
        <f>material[[#This Row],[a_0]]+material[[#This Row],[da/dp]]*(material[[#This Row],[p]]-material[[#This Row],[p_ref '[Gpa']]])+material[[#This Row],[da/dT]]*(material[[#This Row],[T]]-material[[#This Row],[T_ref '[K']]])</f>
        <v>0</v>
      </c>
      <c r="AD5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'[Gpa']]]*1000000000)/(G56*material[[#This Row],[y=a*Ks/rho*Cp]]),
material[[#This Row],[Cp_A]])),
0)</f>
        <v>0</v>
      </c>
      <c r="AG57"/>
    </row>
    <row r="58" spans="5:33" x14ac:dyDescent="0.3">
      <c r="E58"/>
      <c r="F58"/>
      <c r="L5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8">
        <f>material[[#This Row],[a_0]]+material[[#This Row],[da/dp]]*(material[[#This Row],[p]]-material[[#This Row],[p_ref '[Gpa']]])+material[[#This Row],[da/dT]]*(material[[#This Row],[T]]-material[[#This Row],[T_ref '[K']]])</f>
        <v>0</v>
      </c>
      <c r="AD5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'[Gpa']]]*1000000000)/(G57*material[[#This Row],[y=a*Ks/rho*Cp]]),
material[[#This Row],[Cp_A]])),
0)</f>
        <v>0</v>
      </c>
      <c r="AG58"/>
    </row>
    <row r="59" spans="5:33" x14ac:dyDescent="0.3">
      <c r="E59"/>
      <c r="F59"/>
      <c r="L5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5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59">
        <f>material[[#This Row],[a_0]]+material[[#This Row],[da/dp]]*(material[[#This Row],[p]]-material[[#This Row],[p_ref '[Gpa']]])+material[[#This Row],[da/dT]]*(material[[#This Row],[T]]-material[[#This Row],[T_ref '[K']]])</f>
        <v>0</v>
      </c>
      <c r="AD5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'[Gpa']]]*1000000000)/(G58*material[[#This Row],[y=a*Ks/rho*Cp]]),
material[[#This Row],[Cp_A]])),
0)</f>
        <v>0</v>
      </c>
      <c r="AG59"/>
    </row>
    <row r="60" spans="5:33" x14ac:dyDescent="0.3">
      <c r="E60"/>
      <c r="F60"/>
      <c r="L6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0">
        <f>material[[#This Row],[a_0]]+material[[#This Row],[da/dp]]*(material[[#This Row],[p]]-material[[#This Row],[p_ref '[Gpa']]])+material[[#This Row],[da/dT]]*(material[[#This Row],[T]]-material[[#This Row],[T_ref '[K']]])</f>
        <v>0</v>
      </c>
      <c r="AD6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'[Gpa']]]*1000000000)/(G59*material[[#This Row],[y=a*Ks/rho*Cp]]),
material[[#This Row],[Cp_A]])),
0)</f>
        <v>0</v>
      </c>
      <c r="AG60"/>
    </row>
    <row r="61" spans="5:33" x14ac:dyDescent="0.3">
      <c r="E61"/>
      <c r="F61"/>
      <c r="L6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1">
        <f>material[[#This Row],[a_0]]+material[[#This Row],[da/dp]]*(material[[#This Row],[p]]-material[[#This Row],[p_ref '[Gpa']]])+material[[#This Row],[da/dT]]*(material[[#This Row],[T]]-material[[#This Row],[T_ref '[K']]])</f>
        <v>0</v>
      </c>
      <c r="AD6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'[Gpa']]]*1000000000)/(G60*material[[#This Row],[y=a*Ks/rho*Cp]]),
material[[#This Row],[Cp_A]])),
0)</f>
        <v>0</v>
      </c>
      <c r="AG61"/>
    </row>
    <row r="62" spans="5:33" x14ac:dyDescent="0.3">
      <c r="E62"/>
      <c r="F62"/>
      <c r="L6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2">
        <f>material[[#This Row],[a_0]]+material[[#This Row],[da/dp]]*(material[[#This Row],[p]]-material[[#This Row],[p_ref '[Gpa']]])+material[[#This Row],[da/dT]]*(material[[#This Row],[T]]-material[[#This Row],[T_ref '[K']]])</f>
        <v>0</v>
      </c>
      <c r="AD6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'[Gpa']]]*1000000000)/(G61*material[[#This Row],[y=a*Ks/rho*Cp]]),
material[[#This Row],[Cp_A]])),
0)</f>
        <v>0</v>
      </c>
      <c r="AG62"/>
    </row>
    <row r="63" spans="5:33" x14ac:dyDescent="0.3">
      <c r="E63"/>
      <c r="F63"/>
      <c r="L6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3">
        <f>material[[#This Row],[a_0]]+material[[#This Row],[da/dp]]*(material[[#This Row],[p]]-material[[#This Row],[p_ref '[Gpa']]])+material[[#This Row],[da/dT]]*(material[[#This Row],[T]]-material[[#This Row],[T_ref '[K']]])</f>
        <v>0</v>
      </c>
      <c r="AD6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'[Gpa']]]*1000000000)/(G62*material[[#This Row],[y=a*Ks/rho*Cp]]),
material[[#This Row],[Cp_A]])),
0)</f>
        <v>0</v>
      </c>
      <c r="AG63"/>
    </row>
    <row r="64" spans="5:33" x14ac:dyDescent="0.3">
      <c r="E64"/>
      <c r="F64"/>
      <c r="L6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4">
        <f>material[[#This Row],[a_0]]+material[[#This Row],[da/dp]]*(material[[#This Row],[p]]-material[[#This Row],[p_ref '[Gpa']]])+material[[#This Row],[da/dT]]*(material[[#This Row],[T]]-material[[#This Row],[T_ref '[K']]])</f>
        <v>0</v>
      </c>
      <c r="AD6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'[Gpa']]]*1000000000)/(G63*material[[#This Row],[y=a*Ks/rho*Cp]]),
material[[#This Row],[Cp_A]])),
0)</f>
        <v>0</v>
      </c>
      <c r="AG64"/>
    </row>
    <row r="65" spans="5:33" x14ac:dyDescent="0.3">
      <c r="E65"/>
      <c r="F65"/>
      <c r="L6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5">
        <f>material[[#This Row],[a_0]]+material[[#This Row],[da/dp]]*(material[[#This Row],[p]]-material[[#This Row],[p_ref '[Gpa']]])+material[[#This Row],[da/dT]]*(material[[#This Row],[T]]-material[[#This Row],[T_ref '[K']]])</f>
        <v>0</v>
      </c>
      <c r="AD6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'[Gpa']]]*1000000000)/(G64*material[[#This Row],[y=a*Ks/rho*Cp]]),
material[[#This Row],[Cp_A]])),
0)</f>
        <v>0</v>
      </c>
      <c r="AG65"/>
    </row>
    <row r="66" spans="5:33" x14ac:dyDescent="0.3">
      <c r="E66"/>
      <c r="F66"/>
      <c r="L6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6">
        <f>material[[#This Row],[a_0]]+material[[#This Row],[da/dp]]*(material[[#This Row],[p]]-material[[#This Row],[p_ref '[Gpa']]])+material[[#This Row],[da/dT]]*(material[[#This Row],[T]]-material[[#This Row],[T_ref '[K']]])</f>
        <v>0</v>
      </c>
      <c r="AD6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'[Gpa']]]*1000000000)/(G65*material[[#This Row],[y=a*Ks/rho*Cp]]),
material[[#This Row],[Cp_A]])),
0)</f>
        <v>0</v>
      </c>
      <c r="AG66"/>
    </row>
    <row r="67" spans="5:33" x14ac:dyDescent="0.3">
      <c r="E67"/>
      <c r="F67"/>
      <c r="L6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7">
        <f>material[[#This Row],[a_0]]+material[[#This Row],[da/dp]]*(material[[#This Row],[p]]-material[[#This Row],[p_ref '[Gpa']]])+material[[#This Row],[da/dT]]*(material[[#This Row],[T]]-material[[#This Row],[T_ref '[K']]])</f>
        <v>0</v>
      </c>
      <c r="AD6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'[Gpa']]]*1000000000)/(G66*material[[#This Row],[y=a*Ks/rho*Cp]]),
material[[#This Row],[Cp_A]])),
0)</f>
        <v>0</v>
      </c>
      <c r="AG67"/>
    </row>
    <row r="68" spans="5:33" x14ac:dyDescent="0.3">
      <c r="E68"/>
      <c r="F68"/>
      <c r="L6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8">
        <f>material[[#This Row],[a_0]]+material[[#This Row],[da/dp]]*(material[[#This Row],[p]]-material[[#This Row],[p_ref '[Gpa']]])+material[[#This Row],[da/dT]]*(material[[#This Row],[T]]-material[[#This Row],[T_ref '[K']]])</f>
        <v>0</v>
      </c>
      <c r="AD6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'[Gpa']]]*1000000000)/(G67*material[[#This Row],[y=a*Ks/rho*Cp]]),
material[[#This Row],[Cp_A]])),
0)</f>
        <v>0</v>
      </c>
      <c r="AG68"/>
    </row>
    <row r="69" spans="5:33" x14ac:dyDescent="0.3">
      <c r="E69"/>
      <c r="F69"/>
      <c r="L6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6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69">
        <f>material[[#This Row],[a_0]]+material[[#This Row],[da/dp]]*(material[[#This Row],[p]]-material[[#This Row],[p_ref '[Gpa']]])+material[[#This Row],[da/dT]]*(material[[#This Row],[T]]-material[[#This Row],[T_ref '[K']]])</f>
        <v>0</v>
      </c>
      <c r="AD6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'[Gpa']]]*1000000000)/(G68*material[[#This Row],[y=a*Ks/rho*Cp]]),
material[[#This Row],[Cp_A]])),
0)</f>
        <v>0</v>
      </c>
      <c r="AG69"/>
    </row>
    <row r="70" spans="5:33" x14ac:dyDescent="0.3">
      <c r="E70"/>
      <c r="F70"/>
      <c r="L7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0">
        <f>material[[#This Row],[a_0]]+material[[#This Row],[da/dp]]*(material[[#This Row],[p]]-material[[#This Row],[p_ref '[Gpa']]])+material[[#This Row],[da/dT]]*(material[[#This Row],[T]]-material[[#This Row],[T_ref '[K']]])</f>
        <v>0</v>
      </c>
      <c r="AD7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'[Gpa']]]*1000000000)/(G69*material[[#This Row],[y=a*Ks/rho*Cp]]),
material[[#This Row],[Cp_A]])),
0)</f>
        <v>0</v>
      </c>
      <c r="AG70"/>
    </row>
    <row r="71" spans="5:33" x14ac:dyDescent="0.3">
      <c r="E71"/>
      <c r="F71"/>
      <c r="L7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1">
        <f>material[[#This Row],[a_0]]+material[[#This Row],[da/dp]]*(material[[#This Row],[p]]-material[[#This Row],[p_ref '[Gpa']]])+material[[#This Row],[da/dT]]*(material[[#This Row],[T]]-material[[#This Row],[T_ref '[K']]])</f>
        <v>0</v>
      </c>
      <c r="AD7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'[Gpa']]]*1000000000)/(G70*material[[#This Row],[y=a*Ks/rho*Cp]]),
material[[#This Row],[Cp_A]])),
0)</f>
        <v>0</v>
      </c>
      <c r="AG71"/>
    </row>
    <row r="72" spans="5:33" x14ac:dyDescent="0.3">
      <c r="E72"/>
      <c r="F72"/>
      <c r="L7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2">
        <f>material[[#This Row],[a_0]]+material[[#This Row],[da/dp]]*(material[[#This Row],[p]]-material[[#This Row],[p_ref '[Gpa']]])+material[[#This Row],[da/dT]]*(material[[#This Row],[T]]-material[[#This Row],[T_ref '[K']]])</f>
        <v>0</v>
      </c>
      <c r="AD7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'[Gpa']]]*1000000000)/(G71*material[[#This Row],[y=a*Ks/rho*Cp]]),
material[[#This Row],[Cp_A]])),
0)</f>
        <v>0</v>
      </c>
      <c r="AG72"/>
    </row>
    <row r="73" spans="5:33" x14ac:dyDescent="0.3">
      <c r="E73"/>
      <c r="F73"/>
      <c r="L7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3">
        <f>material[[#This Row],[a_0]]+material[[#This Row],[da/dp]]*(material[[#This Row],[p]]-material[[#This Row],[p_ref '[Gpa']]])+material[[#This Row],[da/dT]]*(material[[#This Row],[T]]-material[[#This Row],[T_ref '[K']]])</f>
        <v>0</v>
      </c>
      <c r="AD7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'[Gpa']]]*1000000000)/(G72*material[[#This Row],[y=a*Ks/rho*Cp]]),
material[[#This Row],[Cp_A]])),
0)</f>
        <v>0</v>
      </c>
      <c r="AG73"/>
    </row>
    <row r="74" spans="5:33" x14ac:dyDescent="0.3">
      <c r="E74"/>
      <c r="F74"/>
      <c r="L7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4">
        <f>material[[#This Row],[a_0]]+material[[#This Row],[da/dp]]*(material[[#This Row],[p]]-material[[#This Row],[p_ref '[Gpa']]])+material[[#This Row],[da/dT]]*(material[[#This Row],[T]]-material[[#This Row],[T_ref '[K']]])</f>
        <v>0</v>
      </c>
      <c r="AD7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'[Gpa']]]*1000000000)/(G73*material[[#This Row],[y=a*Ks/rho*Cp]]),
material[[#This Row],[Cp_A]])),
0)</f>
        <v>0</v>
      </c>
      <c r="AG74"/>
    </row>
    <row r="75" spans="5:33" x14ac:dyDescent="0.3">
      <c r="E75"/>
      <c r="F75"/>
      <c r="L7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5">
        <f>material[[#This Row],[a_0]]+material[[#This Row],[da/dp]]*(material[[#This Row],[p]]-material[[#This Row],[p_ref '[Gpa']]])+material[[#This Row],[da/dT]]*(material[[#This Row],[T]]-material[[#This Row],[T_ref '[K']]])</f>
        <v>0</v>
      </c>
      <c r="AD7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'[Gpa']]]*1000000000)/(G74*material[[#This Row],[y=a*Ks/rho*Cp]]),
material[[#This Row],[Cp_A]])),
0)</f>
        <v>0</v>
      </c>
      <c r="AG75"/>
    </row>
    <row r="76" spans="5:33" x14ac:dyDescent="0.3">
      <c r="E76"/>
      <c r="F76"/>
      <c r="L7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6">
        <f>material[[#This Row],[a_0]]+material[[#This Row],[da/dp]]*(material[[#This Row],[p]]-material[[#This Row],[p_ref '[Gpa']]])+material[[#This Row],[da/dT]]*(material[[#This Row],[T]]-material[[#This Row],[T_ref '[K']]])</f>
        <v>0</v>
      </c>
      <c r="AD7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'[Gpa']]]*1000000000)/(G75*material[[#This Row],[y=a*Ks/rho*Cp]]),
material[[#This Row],[Cp_A]])),
0)</f>
        <v>0</v>
      </c>
      <c r="AG76"/>
    </row>
    <row r="77" spans="5:33" x14ac:dyDescent="0.3">
      <c r="E77"/>
      <c r="F77"/>
      <c r="L7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7">
        <f>material[[#This Row],[a_0]]+material[[#This Row],[da/dp]]*(material[[#This Row],[p]]-material[[#This Row],[p_ref '[Gpa']]])+material[[#This Row],[da/dT]]*(material[[#This Row],[T]]-material[[#This Row],[T_ref '[K']]])</f>
        <v>0</v>
      </c>
      <c r="AD7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'[Gpa']]]*1000000000)/(G76*material[[#This Row],[y=a*Ks/rho*Cp]]),
material[[#This Row],[Cp_A]])),
0)</f>
        <v>0</v>
      </c>
      <c r="AG77"/>
    </row>
    <row r="78" spans="5:33" x14ac:dyDescent="0.3">
      <c r="E78"/>
      <c r="F78"/>
      <c r="L78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8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8">
        <f>material[[#This Row],[a_0]]+material[[#This Row],[da/dp]]*(material[[#This Row],[p]]-material[[#This Row],[p_ref '[Gpa']]])+material[[#This Row],[da/dT]]*(material[[#This Row],[T]]-material[[#This Row],[T_ref '[K']]])</f>
        <v>0</v>
      </c>
      <c r="AD78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'[Gpa']]]*1000000000)/(G77*material[[#This Row],[y=a*Ks/rho*Cp]]),
material[[#This Row],[Cp_A]])),
0)</f>
        <v>0</v>
      </c>
      <c r="AG78"/>
    </row>
    <row r="79" spans="5:33" x14ac:dyDescent="0.3">
      <c r="E79"/>
      <c r="F79"/>
      <c r="L79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79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79">
        <f>material[[#This Row],[a_0]]+material[[#This Row],[da/dp]]*(material[[#This Row],[p]]-material[[#This Row],[p_ref '[Gpa']]])+material[[#This Row],[da/dT]]*(material[[#This Row],[T]]-material[[#This Row],[T_ref '[K']]])</f>
        <v>0</v>
      </c>
      <c r="AD79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'[Gpa']]]*1000000000)/(G78*material[[#This Row],[y=a*Ks/rho*Cp]]),
material[[#This Row],[Cp_A]])),
0)</f>
        <v>0</v>
      </c>
      <c r="AG79"/>
    </row>
    <row r="80" spans="5:33" x14ac:dyDescent="0.3">
      <c r="E80"/>
      <c r="F80"/>
      <c r="L80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0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0">
        <f>material[[#This Row],[a_0]]+material[[#This Row],[da/dp]]*(material[[#This Row],[p]]-material[[#This Row],[p_ref '[Gpa']]])+material[[#This Row],[da/dT]]*(material[[#This Row],[T]]-material[[#This Row],[T_ref '[K']]])</f>
        <v>0</v>
      </c>
      <c r="AD80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'[Gpa']]]*1000000000)/(G79*material[[#This Row],[y=a*Ks/rho*Cp]]),
material[[#This Row],[Cp_A]])),
0)</f>
        <v>0</v>
      </c>
      <c r="AG80"/>
    </row>
    <row r="81" spans="3:39" x14ac:dyDescent="0.3">
      <c r="E81"/>
      <c r="F81"/>
      <c r="L81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1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1">
        <f>material[[#This Row],[a_0]]+material[[#This Row],[da/dp]]*(material[[#This Row],[p]]-material[[#This Row],[p_ref '[Gpa']]])+material[[#This Row],[da/dT]]*(material[[#This Row],[T]]-material[[#This Row],[T_ref '[K']]])</f>
        <v>0</v>
      </c>
      <c r="AD81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'[Gpa']]]*1000000000)/(G80*material[[#This Row],[y=a*Ks/rho*Cp]]),
material[[#This Row],[Cp_A]])),
0)</f>
        <v>0</v>
      </c>
      <c r="AG81"/>
    </row>
    <row r="82" spans="3:39" x14ac:dyDescent="0.3">
      <c r="E82"/>
      <c r="F82"/>
      <c r="L82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2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2">
        <f>material[[#This Row],[a_0]]+material[[#This Row],[da/dp]]*(material[[#This Row],[p]]-material[[#This Row],[p_ref '[Gpa']]])+material[[#This Row],[da/dT]]*(material[[#This Row],[T]]-material[[#This Row],[T_ref '[K']]])</f>
        <v>0</v>
      </c>
      <c r="AD82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'[Gpa']]]*1000000000)/(G81*material[[#This Row],[y=a*Ks/rho*Cp]]),
material[[#This Row],[Cp_A]])),
0)</f>
        <v>0</v>
      </c>
      <c r="AG82"/>
    </row>
    <row r="83" spans="3:39" x14ac:dyDescent="0.3">
      <c r="E83"/>
      <c r="F83"/>
      <c r="L83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3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3">
        <f>material[[#This Row],[a_0]]+material[[#This Row],[da/dp]]*(material[[#This Row],[p]]-material[[#This Row],[p_ref '[Gpa']]])+material[[#This Row],[da/dT]]*(material[[#This Row],[T]]-material[[#This Row],[T_ref '[K']]])</f>
        <v>0</v>
      </c>
      <c r="AD83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'[Gpa']]]*1000000000)/(G82*material[[#This Row],[y=a*Ks/rho*Cp]]),
material[[#This Row],[Cp_A]])),
0)</f>
        <v>0</v>
      </c>
      <c r="AG83"/>
    </row>
    <row r="84" spans="3:39" x14ac:dyDescent="0.3">
      <c r="E84"/>
      <c r="F84"/>
      <c r="L84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4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4">
        <f>material[[#This Row],[a_0]]+material[[#This Row],[da/dp]]*(material[[#This Row],[p]]-material[[#This Row],[p_ref '[Gpa']]])+material[[#This Row],[da/dT]]*(material[[#This Row],[T]]-material[[#This Row],[T_ref '[K']]])</f>
        <v>0</v>
      </c>
      <c r="AD84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'[Gpa']]]*1000000000)/(G83*material[[#This Row],[y=a*Ks/rho*Cp]]),
material[[#This Row],[Cp_A]])),
0)</f>
        <v>0</v>
      </c>
      <c r="AG84"/>
    </row>
    <row r="85" spans="3:39" x14ac:dyDescent="0.3">
      <c r="E85"/>
      <c r="F85"/>
      <c r="L85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5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5">
        <f>material[[#This Row],[a_0]]+material[[#This Row],[da/dp]]*(material[[#This Row],[p]]-material[[#This Row],[p_ref '[Gpa']]])+material[[#This Row],[da/dT]]*(material[[#This Row],[T]]-material[[#This Row],[T_ref '[K']]])</f>
        <v>0</v>
      </c>
      <c r="AD85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'[Gpa']]]*1000000000)/(G84*material[[#This Row],[y=a*Ks/rho*Cp]]),
material[[#This Row],[Cp_A]])),
0)</f>
        <v>0</v>
      </c>
      <c r="AG85"/>
    </row>
    <row r="86" spans="3:39" x14ac:dyDescent="0.3">
      <c r="E86"/>
      <c r="F86"/>
      <c r="L86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6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6">
        <f>material[[#This Row],[a_0]]+material[[#This Row],[da/dp]]*(material[[#This Row],[p]]-material[[#This Row],[p_ref '[Gpa']]])+material[[#This Row],[da/dT]]*(material[[#This Row],[T]]-material[[#This Row],[T_ref '[K']]])</f>
        <v>0</v>
      </c>
      <c r="AD86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'[Gpa']]]*1000000000)/(G85*material[[#This Row],[y=a*Ks/rho*Cp]]),
material[[#This Row],[Cp_A]])),
0)</f>
        <v>0</v>
      </c>
      <c r="AG86"/>
    </row>
    <row r="87" spans="3:39" x14ac:dyDescent="0.3">
      <c r="E87"/>
      <c r="F87"/>
      <c r="L87">
        <f>material[[#This Row],[rho_0 '[kg/m3']]]+material[[#This Row],[drho/dp]]*(material[[#This Row],[p]]-material[[#This Row],[p_ref '[Gpa']]])+material[[#This Row],[drho/dT]]*(material[[#This Row],[T]]-material[[#This Row],[T_ref '[K']]])+material[[#This Row],[drho/dXs]]*material[[#This Row],[sulfur fraction X_s]]+material[[#This Row],[drho/dXs^2]]*material[[#This Row],[sulfur fraction X_s]]^2</f>
        <v>0</v>
      </c>
      <c r="R87">
        <f>material[[#This Row],[K_0 '[Gpa']]]+material[[#This Row],[dK/dT]]*(material[[#This Row],[T]]-material[[#This Row],[T_ref '[K']]])+(material[[#This Row],[dK/dp '[-']]]/1000000000)*(material[[#This Row],[p]]-material[[#This Row],[p_ref '[Gpa']]])</f>
        <v>0</v>
      </c>
      <c r="V87">
        <f>material[[#This Row],[a_0]]+material[[#This Row],[da/dp]]*(material[[#This Row],[p]]-material[[#This Row],[p_ref '[Gpa']]])+material[[#This Row],[da/dT]]*(material[[#This Row],[T]]-material[[#This Row],[T_ref '[K']]])</f>
        <v>0</v>
      </c>
      <c r="AD87">
        <f>IFERROR(IFERROR(
(material[[#This Row],[Cp_A]]+material[[#This Row],[Cp_B]]*material[[#This Row],[T]]+material[[#This Row],[Cp_C]]*material[[#This Row],[T]]^2+material[[#This Row],[Cp_D]]*material[[#This Row],[T]]^3+IF(material[[#This Row],[T]]=0,0,material[[#This Row],[Cp_E]]*material[[#This Row],[T]]^(-2)))*1000/material[[#This Row],[Mw '[g/mol']]],
IF(material[[#This Row],[Cp_A]]=0,
(material[[#This Row],[a_0]]*material[[#This Row],[K_0 '[Gpa']]]*1000000000)/(G86*material[[#This Row],[y=a*Ks/rho*Cp]]),
material[[#This Row],[Cp_A]])),
0)</f>
        <v>0</v>
      </c>
      <c r="AG87"/>
    </row>
    <row r="88" spans="3:39" x14ac:dyDescent="0.3">
      <c r="E88" s="1" t="s">
        <v>91</v>
      </c>
    </row>
    <row r="90" spans="3:39" x14ac:dyDescent="0.3">
      <c r="C90"/>
      <c r="E90"/>
      <c r="F90"/>
      <c r="G90" s="19" t="s">
        <v>92</v>
      </c>
      <c r="H90" s="19"/>
      <c r="I90" s="19"/>
      <c r="J90" s="19"/>
      <c r="K90" s="19"/>
      <c r="L90" s="19"/>
      <c r="M90" s="19" t="s">
        <v>93</v>
      </c>
      <c r="N90" s="19"/>
      <c r="O90" s="19"/>
      <c r="P90" s="19"/>
      <c r="Q90" s="19"/>
      <c r="R90" s="19"/>
      <c r="S90" s="19" t="s">
        <v>94</v>
      </c>
      <c r="T90" s="19"/>
      <c r="U90" s="19"/>
      <c r="V90" s="19"/>
      <c r="AD90"/>
      <c r="AG90"/>
    </row>
    <row r="91" spans="3:39" x14ac:dyDescent="0.3">
      <c r="C91" t="str">
        <f>material[[#Headers],[material]]</f>
        <v>material</v>
      </c>
      <c r="D91" t="s">
        <v>95</v>
      </c>
      <c r="E91" t="str">
        <f>material[[#Headers],[T_ref '[K']]]</f>
        <v>T_ref [K]</v>
      </c>
      <c r="F91" t="str">
        <f>material[[#Headers],[p_ref '[Gpa']]]</f>
        <v>p_ref [Gpa]</v>
      </c>
      <c r="G91" t="s">
        <v>96</v>
      </c>
      <c r="H91" t="str">
        <f>material[[#Headers],[drho/dp]]</f>
        <v>drho/dp</v>
      </c>
      <c r="I91" t="str">
        <f>material[[#Headers],[drho/dT]]</f>
        <v>drho/dT</v>
      </c>
      <c r="J91" t="str">
        <f>material[[#Headers],[drho/dXs]]</f>
        <v>drho/dXs</v>
      </c>
      <c r="K91" t="s">
        <v>44</v>
      </c>
      <c r="L91" t="str">
        <f>material[[#Headers],[rho '[kg/m3']]]</f>
        <v>rho [kg/m3]</v>
      </c>
      <c r="M91" t="s">
        <v>97</v>
      </c>
      <c r="N91" t="str">
        <f>material[[#Headers],[dK/dT]]</f>
        <v>dK/dT</v>
      </c>
      <c r="O91" t="str">
        <f>material[[#Headers],[dK/dp '[-']]]</f>
        <v>dK/dp [-]</v>
      </c>
      <c r="P91" t="str">
        <f>material[[#Headers],[dK/dXs]]</f>
        <v>dK/dXs</v>
      </c>
      <c r="Q91" t="s">
        <v>46</v>
      </c>
      <c r="R91" t="s">
        <v>45</v>
      </c>
      <c r="S91" t="s">
        <v>98</v>
      </c>
      <c r="T91" t="str">
        <f>material[[#Headers],[da/dp]]</f>
        <v>da/dp</v>
      </c>
      <c r="U91" t="str">
        <f>material[[#Headers],[da/dT]]</f>
        <v>da/dT</v>
      </c>
      <c r="V91" t="s">
        <v>99</v>
      </c>
      <c r="W91" t="str">
        <f>material[[#Headers],[y=a*Ks/rho*Cp]]</f>
        <v>y=a*Ks/rho*Cp</v>
      </c>
      <c r="X91" t="str">
        <f>material[[#Headers],[Mw '[g/mol']]]</f>
        <v>Mw [g/mol]</v>
      </c>
      <c r="Y91" t="str">
        <f>material[[#Headers],[Cp_A]]</f>
        <v>Cp_A</v>
      </c>
      <c r="Z91" t="str">
        <f>material[[#Headers],[Cp_B]]</f>
        <v>Cp_B</v>
      </c>
      <c r="AA91" t="str">
        <f>material[[#Headers],[Cp_C]]</f>
        <v>Cp_C</v>
      </c>
      <c r="AB91" t="str">
        <f>material[[#Headers],[Cp_D]]</f>
        <v>Cp_D</v>
      </c>
      <c r="AC91" t="str">
        <f>material[[#Headers],[Cp_E]]</f>
        <v>Cp_E</v>
      </c>
      <c r="AD91" t="str">
        <f>material[[#Headers],[Cp '[J/Kkg']]]</f>
        <v>Cp [J/Kkg]</v>
      </c>
      <c r="AE91" t="str">
        <f>material[[#Headers],[ⲕ '[Wm2/J']]]</f>
        <v>ⲕ [Wm2/J]</v>
      </c>
      <c r="AF91" t="str">
        <f>material[[#Headers],[k '[W/mK']]]</f>
        <v>k [W/mK]</v>
      </c>
      <c r="AG91" t="str">
        <f>material[[#Headers],[visc '[mPas']]]</f>
        <v>visc [mPas]</v>
      </c>
      <c r="AK91" t="str">
        <f>material[[#Headers],[source main]]</f>
        <v>source main</v>
      </c>
      <c r="AL91" t="str">
        <f>material[[#Headers],[source k]]</f>
        <v>source k</v>
      </c>
      <c r="AM91" t="str">
        <f>material[[#Headers],[source Cp]]</f>
        <v>source Cp</v>
      </c>
    </row>
    <row r="92" spans="3:39" x14ac:dyDescent="0.3">
      <c r="C92" t="str">
        <f t="shared" ref="C92:C103" si="13">D4</f>
        <v>Fe,liq</v>
      </c>
      <c r="D92">
        <f t="shared" ref="D92:D103" si="14">AK4</f>
        <v>3</v>
      </c>
      <c r="E92">
        <f t="shared" ref="E92:E103" si="15">E4</f>
        <v>1770</v>
      </c>
      <c r="F92">
        <f t="shared" ref="F92:F103" si="16">ROUND(F4/10^5,0)</f>
        <v>0</v>
      </c>
      <c r="G92">
        <f t="shared" ref="G92:G103" si="17">G4</f>
        <v>7019</v>
      </c>
      <c r="J92">
        <f t="shared" ref="J92:U103" si="18">J4</f>
        <v>0</v>
      </c>
      <c r="K92">
        <f t="shared" si="18"/>
        <v>0</v>
      </c>
      <c r="L92">
        <f t="shared" si="18"/>
        <v>7019</v>
      </c>
      <c r="M92">
        <f t="shared" si="18"/>
        <v>87</v>
      </c>
      <c r="N92">
        <f t="shared" si="18"/>
        <v>0</v>
      </c>
      <c r="O92">
        <f t="shared" si="18"/>
        <v>5</v>
      </c>
      <c r="P92">
        <f t="shared" si="18"/>
        <v>0</v>
      </c>
      <c r="Q92">
        <f t="shared" si="18"/>
        <v>0</v>
      </c>
      <c r="R92">
        <f t="shared" si="18"/>
        <v>87</v>
      </c>
      <c r="S92">
        <f t="shared" si="18"/>
        <v>9.5000000000000005E-5</v>
      </c>
      <c r="T92">
        <f t="shared" si="18"/>
        <v>0</v>
      </c>
      <c r="U92">
        <f t="shared" si="18"/>
        <v>0</v>
      </c>
      <c r="V92">
        <f t="shared" ref="V92:V103" si="19">ROUND(V4*10^5,3)</f>
        <v>9.5</v>
      </c>
      <c r="W92">
        <f t="shared" ref="W92:X103" si="20">W4</f>
        <v>0</v>
      </c>
      <c r="X92">
        <f t="shared" si="20"/>
        <v>55.844999999999999</v>
      </c>
      <c r="Y92">
        <f t="shared" ref="Y92:AD103" si="21">ROUND(Y4,2)</f>
        <v>46.02</v>
      </c>
      <c r="Z92">
        <f t="shared" si="21"/>
        <v>0</v>
      </c>
      <c r="AA92">
        <f t="shared" si="21"/>
        <v>0</v>
      </c>
      <c r="AB92">
        <f t="shared" si="21"/>
        <v>0</v>
      </c>
      <c r="AC92">
        <f t="shared" si="21"/>
        <v>0</v>
      </c>
      <c r="AD92">
        <f t="shared" si="21"/>
        <v>824.14</v>
      </c>
      <c r="AE92">
        <f t="shared" ref="AE92:AG103" si="22">AE4</f>
        <v>0</v>
      </c>
      <c r="AF92">
        <f t="shared" si="22"/>
        <v>100</v>
      </c>
      <c r="AG92">
        <f t="shared" si="22"/>
        <v>6.7</v>
      </c>
    </row>
    <row r="93" spans="3:39" x14ac:dyDescent="0.3">
      <c r="C93" t="str">
        <f t="shared" si="13"/>
        <v>Fe,liq</v>
      </c>
      <c r="D93">
        <f t="shared" si="14"/>
        <v>4</v>
      </c>
      <c r="E93">
        <f t="shared" si="15"/>
        <v>1811</v>
      </c>
      <c r="F93">
        <f t="shared" si="16"/>
        <v>1</v>
      </c>
      <c r="G93">
        <f t="shared" si="17"/>
        <v>8421.9856102796057</v>
      </c>
      <c r="J93">
        <f t="shared" si="18"/>
        <v>0</v>
      </c>
      <c r="K93">
        <f t="shared" si="18"/>
        <v>0</v>
      </c>
      <c r="L93">
        <f t="shared" si="18"/>
        <v>8421.9856102796057</v>
      </c>
      <c r="M93">
        <f t="shared" si="18"/>
        <v>85.1</v>
      </c>
      <c r="N93">
        <f t="shared" si="18"/>
        <v>-3.5000000000000003E-2</v>
      </c>
      <c r="O93">
        <f t="shared" si="18"/>
        <v>0</v>
      </c>
      <c r="P93">
        <f t="shared" si="18"/>
        <v>0</v>
      </c>
      <c r="Q93">
        <f t="shared" si="18"/>
        <v>0</v>
      </c>
      <c r="R93">
        <f t="shared" si="18"/>
        <v>148.48500000000001</v>
      </c>
      <c r="S93">
        <f t="shared" si="18"/>
        <v>0</v>
      </c>
      <c r="T93">
        <f t="shared" si="18"/>
        <v>0</v>
      </c>
      <c r="U93">
        <f t="shared" si="18"/>
        <v>0</v>
      </c>
      <c r="V93">
        <f t="shared" si="19"/>
        <v>0</v>
      </c>
      <c r="W93">
        <f t="shared" si="20"/>
        <v>0</v>
      </c>
      <c r="X93">
        <f t="shared" si="20"/>
        <v>55.844999999999999</v>
      </c>
      <c r="Y93">
        <f t="shared" si="21"/>
        <v>46.02</v>
      </c>
      <c r="Z93">
        <f t="shared" si="21"/>
        <v>0</v>
      </c>
      <c r="AA93">
        <f t="shared" si="21"/>
        <v>0</v>
      </c>
      <c r="AB93">
        <f t="shared" si="21"/>
        <v>0</v>
      </c>
      <c r="AC93">
        <f t="shared" si="21"/>
        <v>0</v>
      </c>
      <c r="AD93">
        <f t="shared" si="21"/>
        <v>824.14</v>
      </c>
      <c r="AE93">
        <f t="shared" si="22"/>
        <v>0</v>
      </c>
      <c r="AF93">
        <f t="shared" si="22"/>
        <v>100</v>
      </c>
      <c r="AG93">
        <f t="shared" si="22"/>
        <v>6.7</v>
      </c>
    </row>
    <row r="94" spans="3:39" x14ac:dyDescent="0.3">
      <c r="C94" t="str">
        <f t="shared" si="13"/>
        <v>Fe,liq</v>
      </c>
      <c r="D94">
        <f t="shared" si="14"/>
        <v>5</v>
      </c>
      <c r="E94">
        <f t="shared" si="15"/>
        <v>298</v>
      </c>
      <c r="F94">
        <f t="shared" si="16"/>
        <v>1</v>
      </c>
      <c r="G94">
        <f t="shared" si="17"/>
        <v>7019</v>
      </c>
      <c r="J94">
        <f t="shared" si="18"/>
        <v>0</v>
      </c>
      <c r="K94">
        <f t="shared" si="18"/>
        <v>0</v>
      </c>
      <c r="L94">
        <f t="shared" si="18"/>
        <v>7019</v>
      </c>
      <c r="M94">
        <f t="shared" si="18"/>
        <v>81.3</v>
      </c>
      <c r="N94">
        <f t="shared" si="18"/>
        <v>0</v>
      </c>
      <c r="O94">
        <f t="shared" si="18"/>
        <v>5.6</v>
      </c>
      <c r="P94">
        <f t="shared" si="18"/>
        <v>-391</v>
      </c>
      <c r="Q94">
        <f t="shared" si="18"/>
        <v>554</v>
      </c>
      <c r="R94">
        <f t="shared" si="18"/>
        <v>81.299440000000004</v>
      </c>
      <c r="S94">
        <f t="shared" si="18"/>
        <v>1.1E-4</v>
      </c>
      <c r="T94">
        <f t="shared" si="18"/>
        <v>0</v>
      </c>
      <c r="U94">
        <f t="shared" si="18"/>
        <v>0</v>
      </c>
      <c r="V94">
        <f t="shared" si="19"/>
        <v>11</v>
      </c>
      <c r="W94">
        <f t="shared" si="20"/>
        <v>0</v>
      </c>
      <c r="X94">
        <f t="shared" si="20"/>
        <v>55.844999999999999</v>
      </c>
      <c r="Y94">
        <f t="shared" si="21"/>
        <v>46.02</v>
      </c>
      <c r="Z94">
        <f t="shared" si="21"/>
        <v>0</v>
      </c>
      <c r="AA94">
        <f t="shared" si="21"/>
        <v>0</v>
      </c>
      <c r="AB94">
        <f t="shared" si="21"/>
        <v>0</v>
      </c>
      <c r="AC94">
        <f t="shared" si="21"/>
        <v>0</v>
      </c>
      <c r="AD94">
        <f t="shared" si="21"/>
        <v>824.14</v>
      </c>
      <c r="AE94">
        <f t="shared" si="22"/>
        <v>0</v>
      </c>
      <c r="AF94">
        <f t="shared" si="22"/>
        <v>100</v>
      </c>
      <c r="AG94">
        <f t="shared" si="22"/>
        <v>6.7</v>
      </c>
    </row>
    <row r="95" spans="3:39" x14ac:dyDescent="0.3">
      <c r="C95" t="str">
        <f t="shared" si="13"/>
        <v>Fe,sol</v>
      </c>
      <c r="D95">
        <f t="shared" si="14"/>
        <v>3</v>
      </c>
      <c r="E95">
        <f t="shared" si="15"/>
        <v>293</v>
      </c>
      <c r="F95">
        <f t="shared" si="16"/>
        <v>0</v>
      </c>
      <c r="G95">
        <f t="shared" si="17"/>
        <v>8170</v>
      </c>
      <c r="J95">
        <f t="shared" si="18"/>
        <v>0</v>
      </c>
      <c r="K95">
        <f t="shared" si="18"/>
        <v>0</v>
      </c>
      <c r="L95">
        <f t="shared" si="18"/>
        <v>8170</v>
      </c>
      <c r="M95">
        <f t="shared" si="18"/>
        <v>165</v>
      </c>
      <c r="N95">
        <f t="shared" si="18"/>
        <v>0</v>
      </c>
      <c r="O95">
        <f t="shared" si="18"/>
        <v>5.5</v>
      </c>
      <c r="P95">
        <f t="shared" si="18"/>
        <v>0</v>
      </c>
      <c r="Q95">
        <f t="shared" si="18"/>
        <v>0</v>
      </c>
      <c r="R95">
        <f t="shared" si="18"/>
        <v>165</v>
      </c>
      <c r="S95">
        <f t="shared" si="18"/>
        <v>6.3999999999999997E-5</v>
      </c>
      <c r="T95">
        <f t="shared" si="18"/>
        <v>0</v>
      </c>
      <c r="U95">
        <f t="shared" si="18"/>
        <v>0</v>
      </c>
      <c r="V95">
        <f t="shared" si="19"/>
        <v>6.4</v>
      </c>
      <c r="W95">
        <f t="shared" si="20"/>
        <v>0</v>
      </c>
      <c r="X95">
        <f t="shared" si="20"/>
        <v>55.844999999999999</v>
      </c>
      <c r="Y95">
        <f t="shared" si="21"/>
        <v>23.97</v>
      </c>
      <c r="Z95">
        <f t="shared" si="21"/>
        <v>8.3699999999999992</v>
      </c>
      <c r="AA95">
        <f t="shared" si="21"/>
        <v>0</v>
      </c>
      <c r="AB95">
        <f t="shared" si="21"/>
        <v>0</v>
      </c>
      <c r="AC95">
        <f t="shared" si="21"/>
        <v>0</v>
      </c>
      <c r="AD95">
        <f t="shared" si="21"/>
        <v>429.3</v>
      </c>
      <c r="AE95">
        <f t="shared" si="22"/>
        <v>0</v>
      </c>
      <c r="AF95">
        <f t="shared" si="22"/>
        <v>232</v>
      </c>
      <c r="AG95">
        <f t="shared" si="22"/>
        <v>0</v>
      </c>
    </row>
    <row r="96" spans="3:39" x14ac:dyDescent="0.3">
      <c r="C96" t="str">
        <f t="shared" si="13"/>
        <v>Fe,sol</v>
      </c>
      <c r="D96">
        <f t="shared" si="14"/>
        <v>5</v>
      </c>
      <c r="E96">
        <f t="shared" si="15"/>
        <v>298</v>
      </c>
      <c r="F96">
        <f t="shared" si="16"/>
        <v>1</v>
      </c>
      <c r="G96">
        <f t="shared" si="17"/>
        <v>7225</v>
      </c>
      <c r="J96">
        <f t="shared" si="18"/>
        <v>0</v>
      </c>
      <c r="K96">
        <f t="shared" si="18"/>
        <v>0</v>
      </c>
      <c r="L96">
        <f t="shared" si="18"/>
        <v>7225</v>
      </c>
      <c r="M96">
        <f t="shared" si="18"/>
        <v>127</v>
      </c>
      <c r="N96">
        <f t="shared" si="18"/>
        <v>0</v>
      </c>
      <c r="O96">
        <f t="shared" si="18"/>
        <v>5</v>
      </c>
      <c r="P96">
        <f t="shared" si="18"/>
        <v>0</v>
      </c>
      <c r="Q96">
        <f t="shared" si="18"/>
        <v>0</v>
      </c>
      <c r="R96">
        <f t="shared" si="18"/>
        <v>126.9995</v>
      </c>
      <c r="S96">
        <f t="shared" si="18"/>
        <v>9.2E-5</v>
      </c>
      <c r="T96">
        <f t="shared" si="18"/>
        <v>0</v>
      </c>
      <c r="U96">
        <f t="shared" si="18"/>
        <v>0</v>
      </c>
      <c r="V96">
        <f t="shared" si="19"/>
        <v>9.1999999999999993</v>
      </c>
      <c r="W96">
        <f t="shared" si="20"/>
        <v>0</v>
      </c>
      <c r="X96">
        <f t="shared" si="20"/>
        <v>55.844999999999999</v>
      </c>
      <c r="Y96">
        <f t="shared" si="21"/>
        <v>23.97</v>
      </c>
      <c r="Z96">
        <f t="shared" si="21"/>
        <v>8.3699999999999992</v>
      </c>
      <c r="AA96">
        <f t="shared" si="21"/>
        <v>0</v>
      </c>
      <c r="AB96">
        <f t="shared" si="21"/>
        <v>0</v>
      </c>
      <c r="AC96">
        <f t="shared" si="21"/>
        <v>0</v>
      </c>
      <c r="AD96">
        <f t="shared" si="21"/>
        <v>429.3</v>
      </c>
      <c r="AE96">
        <f t="shared" si="22"/>
        <v>0</v>
      </c>
      <c r="AF96">
        <f t="shared" si="22"/>
        <v>232</v>
      </c>
      <c r="AG96">
        <f t="shared" si="22"/>
        <v>0</v>
      </c>
    </row>
    <row r="97" spans="3:33" x14ac:dyDescent="0.3">
      <c r="C97" t="str">
        <f t="shared" si="13"/>
        <v>Fe-3S, sol</v>
      </c>
      <c r="D97">
        <f t="shared" si="14"/>
        <v>3</v>
      </c>
      <c r="E97">
        <f t="shared" si="15"/>
        <v>293</v>
      </c>
      <c r="F97">
        <f t="shared" si="16"/>
        <v>0</v>
      </c>
      <c r="G97">
        <f t="shared" si="17"/>
        <v>7033</v>
      </c>
      <c r="J97">
        <f t="shared" si="18"/>
        <v>0</v>
      </c>
      <c r="K97">
        <f t="shared" si="18"/>
        <v>0</v>
      </c>
      <c r="L97">
        <f t="shared" si="18"/>
        <v>7033</v>
      </c>
      <c r="M97">
        <f t="shared" si="18"/>
        <v>150</v>
      </c>
      <c r="N97">
        <f t="shared" si="18"/>
        <v>0</v>
      </c>
      <c r="O97">
        <f t="shared" si="18"/>
        <v>4</v>
      </c>
      <c r="P97">
        <f t="shared" si="18"/>
        <v>0</v>
      </c>
      <c r="Q97">
        <f t="shared" si="18"/>
        <v>0</v>
      </c>
      <c r="R97">
        <f t="shared" si="18"/>
        <v>150</v>
      </c>
      <c r="S97">
        <f t="shared" si="18"/>
        <v>6.3999999999999997E-5</v>
      </c>
      <c r="T97">
        <f t="shared" si="18"/>
        <v>0</v>
      </c>
      <c r="U97">
        <f t="shared" si="18"/>
        <v>0</v>
      </c>
      <c r="V97">
        <f t="shared" si="19"/>
        <v>6.4</v>
      </c>
      <c r="W97">
        <f t="shared" si="20"/>
        <v>0</v>
      </c>
      <c r="X97">
        <f t="shared" si="20"/>
        <v>87.91</v>
      </c>
      <c r="Y97">
        <f t="shared" si="21"/>
        <v>95.83</v>
      </c>
      <c r="Z97">
        <f t="shared" si="21"/>
        <v>-85.56</v>
      </c>
      <c r="AA97">
        <f t="shared" si="21"/>
        <v>48.72</v>
      </c>
      <c r="AB97">
        <f t="shared" si="21"/>
        <v>0</v>
      </c>
      <c r="AC97">
        <f t="shared" si="21"/>
        <v>0</v>
      </c>
      <c r="AD97">
        <f t="shared" si="21"/>
        <v>1090.07</v>
      </c>
      <c r="AE97">
        <f t="shared" si="22"/>
        <v>0</v>
      </c>
      <c r="AF97">
        <f t="shared" si="22"/>
        <v>3.6</v>
      </c>
      <c r="AG97">
        <f t="shared" si="22"/>
        <v>5</v>
      </c>
    </row>
    <row r="98" spans="3:33" x14ac:dyDescent="0.3">
      <c r="C98" t="str">
        <f t="shared" si="13"/>
        <v>Fe-S(10wt%)</v>
      </c>
      <c r="D98">
        <f t="shared" si="14"/>
        <v>4</v>
      </c>
      <c r="E98">
        <f t="shared" si="15"/>
        <v>1948</v>
      </c>
      <c r="F98">
        <f t="shared" si="16"/>
        <v>1</v>
      </c>
      <c r="G98">
        <f t="shared" si="17"/>
        <v>5500</v>
      </c>
      <c r="J98">
        <f t="shared" si="18"/>
        <v>0</v>
      </c>
      <c r="K98">
        <f t="shared" si="18"/>
        <v>0</v>
      </c>
      <c r="L98">
        <f t="shared" si="18"/>
        <v>5500</v>
      </c>
      <c r="M98">
        <f t="shared" si="18"/>
        <v>63</v>
      </c>
      <c r="N98">
        <f t="shared" si="18"/>
        <v>0</v>
      </c>
      <c r="O98">
        <f t="shared" si="18"/>
        <v>4.8</v>
      </c>
      <c r="P98">
        <f t="shared" si="18"/>
        <v>0</v>
      </c>
      <c r="Q98">
        <f t="shared" si="18"/>
        <v>0</v>
      </c>
      <c r="R98">
        <f t="shared" si="18"/>
        <v>62.999519999999997</v>
      </c>
      <c r="S98">
        <f t="shared" si="18"/>
        <v>0</v>
      </c>
      <c r="T98">
        <f t="shared" si="18"/>
        <v>0</v>
      </c>
      <c r="U98">
        <f t="shared" si="18"/>
        <v>0</v>
      </c>
      <c r="V98">
        <f t="shared" si="19"/>
        <v>0</v>
      </c>
      <c r="W98">
        <f t="shared" si="20"/>
        <v>0</v>
      </c>
      <c r="X98">
        <f t="shared" si="20"/>
        <v>87.91</v>
      </c>
      <c r="Y98">
        <f t="shared" si="21"/>
        <v>62.55</v>
      </c>
      <c r="Z98">
        <f t="shared" si="21"/>
        <v>0</v>
      </c>
      <c r="AA98">
        <f t="shared" si="21"/>
        <v>0</v>
      </c>
      <c r="AB98">
        <f t="shared" si="21"/>
        <v>0</v>
      </c>
      <c r="AC98">
        <f t="shared" si="21"/>
        <v>0</v>
      </c>
      <c r="AD98">
        <f t="shared" si="21"/>
        <v>711.53</v>
      </c>
      <c r="AE98">
        <f t="shared" si="22"/>
        <v>0</v>
      </c>
      <c r="AF98">
        <f t="shared" si="22"/>
        <v>3.6</v>
      </c>
      <c r="AG98">
        <f t="shared" si="22"/>
        <v>5</v>
      </c>
    </row>
    <row r="99" spans="3:33" x14ac:dyDescent="0.3">
      <c r="C99" t="str">
        <f t="shared" si="13"/>
        <v>Fe-S(V), sol</v>
      </c>
      <c r="D99">
        <f t="shared" si="14"/>
        <v>3</v>
      </c>
      <c r="E99">
        <f t="shared" si="15"/>
        <v>1000</v>
      </c>
      <c r="F99">
        <f t="shared" si="16"/>
        <v>0</v>
      </c>
      <c r="G99">
        <f t="shared" si="17"/>
        <v>4872</v>
      </c>
      <c r="J99">
        <f t="shared" si="18"/>
        <v>0</v>
      </c>
      <c r="K99">
        <f t="shared" si="18"/>
        <v>0</v>
      </c>
      <c r="L99">
        <f t="shared" si="18"/>
        <v>4872</v>
      </c>
      <c r="M99">
        <f t="shared" si="18"/>
        <v>54.3</v>
      </c>
      <c r="N99">
        <f t="shared" si="18"/>
        <v>0</v>
      </c>
      <c r="O99">
        <f t="shared" si="18"/>
        <v>4</v>
      </c>
      <c r="P99">
        <f t="shared" si="18"/>
        <v>0</v>
      </c>
      <c r="Q99">
        <f t="shared" si="18"/>
        <v>0</v>
      </c>
      <c r="R99">
        <f t="shared" si="18"/>
        <v>54.3</v>
      </c>
      <c r="S99">
        <f t="shared" si="18"/>
        <v>1.0399999999999999E-4</v>
      </c>
      <c r="T99">
        <f t="shared" si="18"/>
        <v>0</v>
      </c>
      <c r="U99">
        <f t="shared" si="18"/>
        <v>0</v>
      </c>
      <c r="V99">
        <f t="shared" si="19"/>
        <v>10.4</v>
      </c>
      <c r="W99">
        <f t="shared" si="20"/>
        <v>0</v>
      </c>
      <c r="X99">
        <f t="shared" si="20"/>
        <v>87.91</v>
      </c>
      <c r="Y99">
        <f t="shared" si="21"/>
        <v>95.83</v>
      </c>
      <c r="Z99">
        <f t="shared" si="21"/>
        <v>-85.56</v>
      </c>
      <c r="AA99">
        <f t="shared" si="21"/>
        <v>48.72</v>
      </c>
      <c r="AB99">
        <f t="shared" si="21"/>
        <v>0</v>
      </c>
      <c r="AC99">
        <f t="shared" si="21"/>
        <v>0</v>
      </c>
      <c r="AD99">
        <f t="shared" si="21"/>
        <v>1090.07</v>
      </c>
      <c r="AE99">
        <f t="shared" si="22"/>
        <v>0</v>
      </c>
      <c r="AF99">
        <f t="shared" si="22"/>
        <v>3.6</v>
      </c>
      <c r="AG99">
        <f t="shared" si="22"/>
        <v>5</v>
      </c>
    </row>
    <row r="100" spans="3:33" x14ac:dyDescent="0.3">
      <c r="C100" t="str">
        <f t="shared" si="13"/>
        <v>Fe-S,liq</v>
      </c>
      <c r="D100">
        <f t="shared" si="14"/>
        <v>3</v>
      </c>
      <c r="E100">
        <f t="shared" si="15"/>
        <v>1770</v>
      </c>
      <c r="F100">
        <f t="shared" si="16"/>
        <v>0</v>
      </c>
      <c r="G100">
        <f t="shared" si="17"/>
        <v>7019</v>
      </c>
      <c r="J100">
        <f t="shared" si="18"/>
        <v>-20012</v>
      </c>
      <c r="K100">
        <f t="shared" si="18"/>
        <v>31524</v>
      </c>
      <c r="L100">
        <f t="shared" si="18"/>
        <v>7019</v>
      </c>
      <c r="M100">
        <f t="shared" si="18"/>
        <v>85.9</v>
      </c>
      <c r="N100">
        <f t="shared" si="18"/>
        <v>0</v>
      </c>
      <c r="O100">
        <f t="shared" si="18"/>
        <v>5.0999999999999996</v>
      </c>
      <c r="P100">
        <f t="shared" si="18"/>
        <v>-462.4</v>
      </c>
      <c r="Q100">
        <f t="shared" si="18"/>
        <v>780.8</v>
      </c>
      <c r="R100">
        <f t="shared" si="18"/>
        <v>85.9</v>
      </c>
      <c r="S100">
        <f t="shared" si="18"/>
        <v>9.2E-5</v>
      </c>
      <c r="T100">
        <f t="shared" si="18"/>
        <v>0</v>
      </c>
      <c r="U100">
        <f t="shared" si="18"/>
        <v>0</v>
      </c>
      <c r="V100">
        <f t="shared" si="19"/>
        <v>9.1999999999999993</v>
      </c>
      <c r="W100">
        <f t="shared" si="20"/>
        <v>0</v>
      </c>
      <c r="X100">
        <f t="shared" si="20"/>
        <v>87.91</v>
      </c>
      <c r="Y100">
        <f t="shared" si="21"/>
        <v>62.55</v>
      </c>
      <c r="Z100">
        <f t="shared" si="21"/>
        <v>0</v>
      </c>
      <c r="AA100">
        <f t="shared" si="21"/>
        <v>0</v>
      </c>
      <c r="AB100">
        <f t="shared" si="21"/>
        <v>0</v>
      </c>
      <c r="AC100">
        <f t="shared" si="21"/>
        <v>0</v>
      </c>
      <c r="AD100">
        <f t="shared" si="21"/>
        <v>711.53</v>
      </c>
      <c r="AE100">
        <f t="shared" si="22"/>
        <v>0</v>
      </c>
      <c r="AF100">
        <f t="shared" si="22"/>
        <v>3.6</v>
      </c>
      <c r="AG100">
        <f t="shared" si="22"/>
        <v>5</v>
      </c>
    </row>
    <row r="101" spans="3:33" x14ac:dyDescent="0.3">
      <c r="C101" t="str">
        <f t="shared" si="13"/>
        <v>Fe-S,liq</v>
      </c>
      <c r="D101">
        <f t="shared" si="14"/>
        <v>4</v>
      </c>
      <c r="E101">
        <f t="shared" si="15"/>
        <v>273</v>
      </c>
      <c r="F101">
        <f t="shared" si="16"/>
        <v>1</v>
      </c>
      <c r="G101">
        <f t="shared" si="17"/>
        <v>4598</v>
      </c>
      <c r="J101">
        <f t="shared" si="18"/>
        <v>0</v>
      </c>
      <c r="K101">
        <f t="shared" si="18"/>
        <v>0</v>
      </c>
      <c r="L101">
        <f t="shared" si="18"/>
        <v>4756.34</v>
      </c>
      <c r="M101">
        <f t="shared" si="18"/>
        <v>0</v>
      </c>
      <c r="N101">
        <f t="shared" si="18"/>
        <v>0</v>
      </c>
      <c r="O101">
        <f t="shared" si="18"/>
        <v>0</v>
      </c>
      <c r="P101">
        <f t="shared" si="18"/>
        <v>0</v>
      </c>
      <c r="Q101">
        <f t="shared" si="18"/>
        <v>0</v>
      </c>
      <c r="R101">
        <f t="shared" si="18"/>
        <v>0</v>
      </c>
      <c r="S101">
        <f t="shared" si="18"/>
        <v>0</v>
      </c>
      <c r="T101">
        <f t="shared" si="18"/>
        <v>0</v>
      </c>
      <c r="U101">
        <f t="shared" si="18"/>
        <v>0</v>
      </c>
      <c r="V101">
        <f t="shared" si="19"/>
        <v>0</v>
      </c>
      <c r="W101">
        <f t="shared" si="20"/>
        <v>0</v>
      </c>
      <c r="X101">
        <f t="shared" si="20"/>
        <v>87.91</v>
      </c>
      <c r="Y101">
        <f t="shared" si="21"/>
        <v>62.55</v>
      </c>
      <c r="Z101">
        <f t="shared" si="21"/>
        <v>0</v>
      </c>
      <c r="AA101">
        <f t="shared" si="21"/>
        <v>0</v>
      </c>
      <c r="AB101">
        <f t="shared" si="21"/>
        <v>0</v>
      </c>
      <c r="AC101">
        <f t="shared" si="21"/>
        <v>0</v>
      </c>
      <c r="AD101">
        <f t="shared" si="21"/>
        <v>711.53</v>
      </c>
      <c r="AE101">
        <f t="shared" si="22"/>
        <v>0</v>
      </c>
      <c r="AF101">
        <f t="shared" si="22"/>
        <v>3.6</v>
      </c>
      <c r="AG101">
        <f t="shared" si="22"/>
        <v>5</v>
      </c>
    </row>
    <row r="102" spans="3:33" x14ac:dyDescent="0.3">
      <c r="C102" t="str">
        <f t="shared" si="13"/>
        <v>Fe-Si(17wt%), liq</v>
      </c>
      <c r="D102">
        <f t="shared" si="14"/>
        <v>3</v>
      </c>
      <c r="E102">
        <f t="shared" si="15"/>
        <v>1723</v>
      </c>
      <c r="F102">
        <f t="shared" si="16"/>
        <v>0</v>
      </c>
      <c r="G102">
        <f t="shared" si="17"/>
        <v>6000</v>
      </c>
      <c r="J102">
        <f t="shared" si="18"/>
        <v>0</v>
      </c>
      <c r="K102">
        <f t="shared" si="18"/>
        <v>0</v>
      </c>
      <c r="L102">
        <f t="shared" si="18"/>
        <v>6000</v>
      </c>
      <c r="M102">
        <f t="shared" si="18"/>
        <v>73</v>
      </c>
      <c r="N102">
        <f t="shared" si="18"/>
        <v>0</v>
      </c>
      <c r="O102">
        <f t="shared" si="18"/>
        <v>4</v>
      </c>
      <c r="P102">
        <f t="shared" si="18"/>
        <v>0</v>
      </c>
      <c r="Q102">
        <f t="shared" si="18"/>
        <v>0</v>
      </c>
      <c r="R102">
        <f t="shared" si="18"/>
        <v>73</v>
      </c>
      <c r="S102">
        <f t="shared" si="18"/>
        <v>9.2E-5</v>
      </c>
      <c r="T102">
        <f t="shared" si="18"/>
        <v>0</v>
      </c>
      <c r="U102">
        <f t="shared" si="18"/>
        <v>0</v>
      </c>
      <c r="V102">
        <f t="shared" si="19"/>
        <v>9.1999999999999993</v>
      </c>
      <c r="W102">
        <f t="shared" si="20"/>
        <v>0</v>
      </c>
      <c r="X102">
        <f t="shared" si="20"/>
        <v>83.93</v>
      </c>
      <c r="Y102">
        <f t="shared" si="21"/>
        <v>25.59</v>
      </c>
      <c r="Z102">
        <f t="shared" si="21"/>
        <v>4.18</v>
      </c>
      <c r="AA102">
        <f t="shared" si="21"/>
        <v>0</v>
      </c>
      <c r="AB102">
        <f t="shared" si="21"/>
        <v>0</v>
      </c>
      <c r="AC102">
        <f t="shared" si="21"/>
        <v>0</v>
      </c>
      <c r="AD102">
        <f t="shared" si="21"/>
        <v>304.83999999999997</v>
      </c>
      <c r="AE102">
        <f t="shared" si="22"/>
        <v>0</v>
      </c>
      <c r="AF102">
        <f t="shared" si="22"/>
        <v>105</v>
      </c>
      <c r="AG102">
        <f t="shared" si="22"/>
        <v>5</v>
      </c>
    </row>
    <row r="103" spans="3:33" x14ac:dyDescent="0.3">
      <c r="C103" t="str">
        <f t="shared" si="13"/>
        <v>Fe-Si(17wt%), sol</v>
      </c>
      <c r="D103">
        <f t="shared" si="14"/>
        <v>3</v>
      </c>
      <c r="E103">
        <f t="shared" si="15"/>
        <v>300</v>
      </c>
      <c r="F103">
        <f t="shared" si="16"/>
        <v>0</v>
      </c>
      <c r="G103">
        <f t="shared" si="17"/>
        <v>7147</v>
      </c>
      <c r="J103">
        <f t="shared" si="18"/>
        <v>0</v>
      </c>
      <c r="K103">
        <f t="shared" si="18"/>
        <v>0</v>
      </c>
      <c r="L103">
        <f t="shared" si="18"/>
        <v>7147</v>
      </c>
      <c r="M103">
        <f t="shared" si="18"/>
        <v>141</v>
      </c>
      <c r="N103">
        <f t="shared" si="18"/>
        <v>0</v>
      </c>
      <c r="O103">
        <f t="shared" si="18"/>
        <v>5.7</v>
      </c>
      <c r="P103">
        <f t="shared" si="18"/>
        <v>0</v>
      </c>
      <c r="Q103">
        <f t="shared" si="18"/>
        <v>0</v>
      </c>
      <c r="R103">
        <f t="shared" si="18"/>
        <v>141</v>
      </c>
      <c r="S103">
        <f t="shared" si="18"/>
        <v>6.3999999999999997E-5</v>
      </c>
      <c r="T103">
        <f t="shared" si="18"/>
        <v>0</v>
      </c>
      <c r="U103">
        <f t="shared" si="18"/>
        <v>0</v>
      </c>
      <c r="V103">
        <f t="shared" si="19"/>
        <v>6.4</v>
      </c>
      <c r="W103">
        <f t="shared" si="20"/>
        <v>0</v>
      </c>
      <c r="X103">
        <f t="shared" si="20"/>
        <v>83.93</v>
      </c>
      <c r="Y103">
        <f t="shared" si="21"/>
        <v>25.59</v>
      </c>
      <c r="Z103">
        <f t="shared" si="21"/>
        <v>4.18</v>
      </c>
      <c r="AA103">
        <f t="shared" si="21"/>
        <v>0</v>
      </c>
      <c r="AB103">
        <f t="shared" si="21"/>
        <v>0</v>
      </c>
      <c r="AC103">
        <f t="shared" si="21"/>
        <v>0</v>
      </c>
      <c r="AD103">
        <f t="shared" si="21"/>
        <v>304.83999999999997</v>
      </c>
      <c r="AE103">
        <f t="shared" si="22"/>
        <v>0</v>
      </c>
      <c r="AF103">
        <f t="shared" si="22"/>
        <v>105</v>
      </c>
      <c r="AG103">
        <f t="shared" si="22"/>
        <v>5</v>
      </c>
    </row>
    <row r="104" spans="3:33" x14ac:dyDescent="0.3">
      <c r="C104" t="str">
        <f>D17</f>
        <v>Si,sol</v>
      </c>
      <c r="D104">
        <f>AK17</f>
        <v>0</v>
      </c>
      <c r="E104">
        <f>E17</f>
        <v>298</v>
      </c>
      <c r="F104">
        <f>ROUND(F17/10^5,0)</f>
        <v>1</v>
      </c>
      <c r="G104">
        <f>G17</f>
        <v>0</v>
      </c>
      <c r="J104">
        <f t="shared" ref="J104:U104" si="23">J17</f>
        <v>0</v>
      </c>
      <c r="K104">
        <f t="shared" si="23"/>
        <v>0</v>
      </c>
      <c r="L104">
        <f t="shared" si="23"/>
        <v>0</v>
      </c>
      <c r="M104">
        <f t="shared" si="23"/>
        <v>0</v>
      </c>
      <c r="N104">
        <f t="shared" si="23"/>
        <v>0</v>
      </c>
      <c r="O104">
        <f t="shared" si="23"/>
        <v>0</v>
      </c>
      <c r="P104">
        <f t="shared" si="23"/>
        <v>0</v>
      </c>
      <c r="Q104">
        <f t="shared" si="23"/>
        <v>0</v>
      </c>
      <c r="R104">
        <f t="shared" si="23"/>
        <v>0</v>
      </c>
      <c r="S104">
        <f t="shared" si="23"/>
        <v>0</v>
      </c>
      <c r="T104">
        <f t="shared" si="23"/>
        <v>0</v>
      </c>
      <c r="U104">
        <f t="shared" si="23"/>
        <v>0</v>
      </c>
      <c r="V104">
        <f>ROUND(V17*10^5,3)</f>
        <v>0</v>
      </c>
      <c r="W104">
        <f>W17</f>
        <v>0</v>
      </c>
      <c r="X104">
        <f>X17</f>
        <v>0</v>
      </c>
      <c r="Y104">
        <f t="shared" ref="Y104:AD104" si="24">ROUND(Y17,2)</f>
        <v>27.2</v>
      </c>
      <c r="Z104">
        <f t="shared" si="24"/>
        <v>0</v>
      </c>
      <c r="AA104">
        <f t="shared" si="24"/>
        <v>0</v>
      </c>
      <c r="AB104">
        <f t="shared" si="24"/>
        <v>0</v>
      </c>
      <c r="AC104">
        <f t="shared" si="24"/>
        <v>0</v>
      </c>
      <c r="AD104">
        <f t="shared" si="24"/>
        <v>27.2</v>
      </c>
      <c r="AE104">
        <f>AE17</f>
        <v>0</v>
      </c>
      <c r="AF104">
        <f>AF17</f>
        <v>0</v>
      </c>
      <c r="AG104">
        <f>AG17</f>
        <v>0</v>
      </c>
    </row>
    <row r="105" spans="3:33" x14ac:dyDescent="0.3">
      <c r="C105" t="str">
        <f t="shared" ref="C105:C117" si="25">D19</f>
        <v>crust</v>
      </c>
      <c r="D105">
        <f t="shared" ref="D105:D117" si="26">AK19</f>
        <v>3</v>
      </c>
      <c r="E105">
        <f t="shared" ref="E105:E117" si="27">E19</f>
        <v>440</v>
      </c>
      <c r="F105">
        <f t="shared" ref="F105:F117" si="28">ROUND(F19/10^5,0)</f>
        <v>1</v>
      </c>
      <c r="G105">
        <f t="shared" ref="G105:G117" si="29">G19</f>
        <v>3200</v>
      </c>
      <c r="J105">
        <f t="shared" ref="J105:U117" si="30">J19</f>
        <v>0</v>
      </c>
      <c r="K105">
        <f t="shared" si="30"/>
        <v>0</v>
      </c>
      <c r="L105">
        <f t="shared" si="30"/>
        <v>3200</v>
      </c>
      <c r="M105">
        <f t="shared" si="30"/>
        <v>120</v>
      </c>
      <c r="N105">
        <f t="shared" si="30"/>
        <v>-1.6E-2</v>
      </c>
      <c r="O105">
        <f t="shared" si="30"/>
        <v>4.25</v>
      </c>
      <c r="P105">
        <f t="shared" si="30"/>
        <v>0</v>
      </c>
      <c r="Q105">
        <f t="shared" si="30"/>
        <v>0</v>
      </c>
      <c r="R105">
        <f t="shared" si="30"/>
        <v>120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ref="V105:V117" si="31">ROUND(V19*10^5,3)</f>
        <v>0</v>
      </c>
      <c r="W105">
        <f t="shared" ref="W105:X117" si="32">W19</f>
        <v>0</v>
      </c>
      <c r="X105">
        <f t="shared" si="32"/>
        <v>0</v>
      </c>
      <c r="Y105">
        <f t="shared" ref="Y105:AD117" si="33">ROUND(Y19,2)</f>
        <v>422</v>
      </c>
      <c r="Z105">
        <f t="shared" si="33"/>
        <v>0</v>
      </c>
      <c r="AA105">
        <f t="shared" si="33"/>
        <v>0</v>
      </c>
      <c r="AB105">
        <f t="shared" si="33"/>
        <v>0</v>
      </c>
      <c r="AC105">
        <f t="shared" si="33"/>
        <v>0</v>
      </c>
      <c r="AD105">
        <f t="shared" si="33"/>
        <v>422</v>
      </c>
      <c r="AE105">
        <f t="shared" ref="AE105:AG117" si="34">AE19</f>
        <v>0</v>
      </c>
      <c r="AF105">
        <f t="shared" si="34"/>
        <v>1.25</v>
      </c>
      <c r="AG105">
        <f t="shared" si="34"/>
        <v>0</v>
      </c>
    </row>
    <row r="106" spans="3:33" x14ac:dyDescent="0.3">
      <c r="C106" t="str">
        <f t="shared" si="25"/>
        <v>ol</v>
      </c>
      <c r="D106">
        <f t="shared" si="26"/>
        <v>3</v>
      </c>
      <c r="E106">
        <f t="shared" si="27"/>
        <v>298</v>
      </c>
      <c r="F106">
        <f t="shared" si="28"/>
        <v>1</v>
      </c>
      <c r="G106">
        <f t="shared" si="29"/>
        <v>3222</v>
      </c>
      <c r="J106">
        <f t="shared" si="30"/>
        <v>0</v>
      </c>
      <c r="K106">
        <f t="shared" si="30"/>
        <v>0</v>
      </c>
      <c r="L106">
        <f t="shared" si="30"/>
        <v>3222</v>
      </c>
      <c r="M106">
        <f t="shared" si="30"/>
        <v>129</v>
      </c>
      <c r="N106">
        <f t="shared" si="30"/>
        <v>-1.2E-2</v>
      </c>
      <c r="O106">
        <f t="shared" si="30"/>
        <v>4.2</v>
      </c>
      <c r="P106">
        <f t="shared" si="30"/>
        <v>0</v>
      </c>
      <c r="Q106">
        <f t="shared" si="30"/>
        <v>0</v>
      </c>
      <c r="R106">
        <f t="shared" si="30"/>
        <v>132.57558</v>
      </c>
      <c r="S106">
        <f t="shared" si="30"/>
        <v>2.8320999999999999E-5</v>
      </c>
      <c r="T106">
        <f t="shared" si="30"/>
        <v>0</v>
      </c>
      <c r="U106">
        <f t="shared" si="30"/>
        <v>7.5800000000000007E-9</v>
      </c>
      <c r="V106">
        <f t="shared" si="31"/>
        <v>2.6059999999999999</v>
      </c>
      <c r="W106">
        <f t="shared" si="32"/>
        <v>1.1399999999999999</v>
      </c>
      <c r="X106">
        <f t="shared" si="32"/>
        <v>0</v>
      </c>
      <c r="Y106">
        <f t="shared" si="33"/>
        <v>0</v>
      </c>
      <c r="Z106">
        <f t="shared" si="33"/>
        <v>0</v>
      </c>
      <c r="AA106">
        <f t="shared" si="33"/>
        <v>0</v>
      </c>
      <c r="AB106">
        <f t="shared" si="33"/>
        <v>0</v>
      </c>
      <c r="AC106">
        <f t="shared" si="33"/>
        <v>0</v>
      </c>
      <c r="AD106">
        <f t="shared" si="33"/>
        <v>1001.48</v>
      </c>
      <c r="AE106">
        <f t="shared" si="34"/>
        <v>0</v>
      </c>
      <c r="AF106">
        <f t="shared" si="34"/>
        <v>1.25</v>
      </c>
      <c r="AG106">
        <f t="shared" si="34"/>
        <v>0</v>
      </c>
    </row>
    <row r="107" spans="3:33" x14ac:dyDescent="0.3">
      <c r="C107" t="str">
        <f t="shared" si="25"/>
        <v>opx</v>
      </c>
      <c r="D107">
        <f t="shared" si="26"/>
        <v>3</v>
      </c>
      <c r="E107">
        <f t="shared" si="27"/>
        <v>298</v>
      </c>
      <c r="F107">
        <f t="shared" si="28"/>
        <v>1</v>
      </c>
      <c r="G107">
        <f t="shared" si="29"/>
        <v>3194</v>
      </c>
      <c r="J107">
        <f t="shared" si="30"/>
        <v>0</v>
      </c>
      <c r="K107">
        <f t="shared" si="30"/>
        <v>0</v>
      </c>
      <c r="L107">
        <f t="shared" si="30"/>
        <v>3194</v>
      </c>
      <c r="M107">
        <f t="shared" si="30"/>
        <v>109</v>
      </c>
      <c r="N107">
        <f t="shared" si="30"/>
        <v>-1.2999999999999999E-2</v>
      </c>
      <c r="O107">
        <f t="shared" si="30"/>
        <v>7</v>
      </c>
      <c r="P107">
        <f t="shared" si="30"/>
        <v>0</v>
      </c>
      <c r="Q107">
        <f t="shared" si="30"/>
        <v>0</v>
      </c>
      <c r="R107">
        <f t="shared" si="30"/>
        <v>112.8733</v>
      </c>
      <c r="S107">
        <f t="shared" si="30"/>
        <v>2.8600000000000001E-5</v>
      </c>
      <c r="T107">
        <f t="shared" si="30"/>
        <v>0</v>
      </c>
      <c r="U107">
        <f t="shared" si="30"/>
        <v>7.2E-9</v>
      </c>
      <c r="V107">
        <f t="shared" si="31"/>
        <v>2.645</v>
      </c>
      <c r="W107">
        <f t="shared" si="32"/>
        <v>1.05</v>
      </c>
      <c r="X107">
        <f t="shared" si="32"/>
        <v>0</v>
      </c>
      <c r="Y107">
        <f t="shared" si="33"/>
        <v>0</v>
      </c>
      <c r="Z107">
        <f t="shared" si="33"/>
        <v>0</v>
      </c>
      <c r="AA107">
        <f t="shared" si="33"/>
        <v>0</v>
      </c>
      <c r="AB107">
        <f t="shared" si="33"/>
        <v>0</v>
      </c>
      <c r="AC107">
        <f t="shared" si="33"/>
        <v>0</v>
      </c>
      <c r="AD107">
        <f t="shared" si="33"/>
        <v>921.46</v>
      </c>
      <c r="AE107">
        <f t="shared" si="34"/>
        <v>0</v>
      </c>
      <c r="AF107">
        <f t="shared" si="34"/>
        <v>1.25</v>
      </c>
      <c r="AG107">
        <f t="shared" si="34"/>
        <v>0</v>
      </c>
    </row>
    <row r="108" spans="3:33" x14ac:dyDescent="0.3">
      <c r="C108" t="str">
        <f t="shared" si="25"/>
        <v>Capx</v>
      </c>
      <c r="D108">
        <f t="shared" si="26"/>
        <v>3</v>
      </c>
      <c r="E108">
        <f t="shared" si="27"/>
        <v>298</v>
      </c>
      <c r="F108">
        <f t="shared" si="28"/>
        <v>1</v>
      </c>
      <c r="G108">
        <f t="shared" si="29"/>
        <v>3277</v>
      </c>
      <c r="J108">
        <f t="shared" si="30"/>
        <v>0</v>
      </c>
      <c r="K108">
        <f t="shared" si="30"/>
        <v>0</v>
      </c>
      <c r="L108">
        <f t="shared" si="30"/>
        <v>3277</v>
      </c>
      <c r="M108">
        <f t="shared" si="30"/>
        <v>105</v>
      </c>
      <c r="N108">
        <f t="shared" si="30"/>
        <v>-2.1000000000000001E-2</v>
      </c>
      <c r="O108">
        <f t="shared" si="30"/>
        <v>6.2</v>
      </c>
      <c r="P108">
        <f t="shared" si="30"/>
        <v>0</v>
      </c>
      <c r="Q108">
        <f t="shared" si="30"/>
        <v>0</v>
      </c>
      <c r="R108">
        <f t="shared" si="30"/>
        <v>111.25738</v>
      </c>
      <c r="S108">
        <f t="shared" si="30"/>
        <v>2.3200000000000001E-5</v>
      </c>
      <c r="T108">
        <f t="shared" si="30"/>
        <v>0</v>
      </c>
      <c r="U108">
        <f t="shared" si="30"/>
        <v>1.88E-8</v>
      </c>
      <c r="V108">
        <f t="shared" si="31"/>
        <v>1.76</v>
      </c>
      <c r="W108">
        <f t="shared" si="32"/>
        <v>1.06</v>
      </c>
      <c r="X108">
        <f t="shared" si="32"/>
        <v>0</v>
      </c>
      <c r="Y108">
        <f t="shared" si="33"/>
        <v>0</v>
      </c>
      <c r="Z108">
        <f t="shared" si="33"/>
        <v>0</v>
      </c>
      <c r="AA108">
        <f t="shared" si="33"/>
        <v>0</v>
      </c>
      <c r="AB108">
        <f t="shared" si="33"/>
        <v>0</v>
      </c>
      <c r="AC108">
        <f t="shared" si="33"/>
        <v>0</v>
      </c>
      <c r="AD108">
        <f t="shared" si="33"/>
        <v>719.51</v>
      </c>
      <c r="AE108">
        <f t="shared" si="34"/>
        <v>0</v>
      </c>
      <c r="AF108">
        <f t="shared" si="34"/>
        <v>1.25</v>
      </c>
      <c r="AG108">
        <f t="shared" si="34"/>
        <v>0</v>
      </c>
    </row>
    <row r="109" spans="3:33" x14ac:dyDescent="0.3">
      <c r="C109" t="str">
        <f t="shared" si="25"/>
        <v>gt</v>
      </c>
      <c r="D109">
        <f t="shared" si="26"/>
        <v>3</v>
      </c>
      <c r="E109">
        <f t="shared" si="27"/>
        <v>298</v>
      </c>
      <c r="F109">
        <f t="shared" si="28"/>
        <v>1</v>
      </c>
      <c r="G109">
        <f t="shared" si="29"/>
        <v>3565</v>
      </c>
      <c r="J109">
        <f t="shared" si="30"/>
        <v>0</v>
      </c>
      <c r="K109">
        <f t="shared" si="30"/>
        <v>0</v>
      </c>
      <c r="L109">
        <f t="shared" si="30"/>
        <v>3565</v>
      </c>
      <c r="M109">
        <f t="shared" si="30"/>
        <v>171</v>
      </c>
      <c r="N109">
        <f t="shared" si="30"/>
        <v>-1.0999999999999999E-2</v>
      </c>
      <c r="O109">
        <f t="shared" si="30"/>
        <v>4.4000000000000004</v>
      </c>
      <c r="P109">
        <f t="shared" si="30"/>
        <v>0</v>
      </c>
      <c r="Q109">
        <f t="shared" si="30"/>
        <v>0</v>
      </c>
      <c r="R109">
        <f t="shared" si="30"/>
        <v>174.27755999999999</v>
      </c>
      <c r="S109">
        <f t="shared" si="30"/>
        <v>2.0800000000000001E-5</v>
      </c>
      <c r="T109">
        <f t="shared" si="30"/>
        <v>0</v>
      </c>
      <c r="U109">
        <f t="shared" si="30"/>
        <v>1.4300000000000001E-8</v>
      </c>
      <c r="V109">
        <f t="shared" si="31"/>
        <v>1.6539999999999999</v>
      </c>
      <c r="W109">
        <f t="shared" si="32"/>
        <v>1.17</v>
      </c>
      <c r="X109">
        <f t="shared" si="32"/>
        <v>0</v>
      </c>
      <c r="Y109">
        <f t="shared" si="33"/>
        <v>0</v>
      </c>
      <c r="Z109">
        <f t="shared" si="33"/>
        <v>0</v>
      </c>
      <c r="AA109">
        <f t="shared" si="33"/>
        <v>0</v>
      </c>
      <c r="AB109">
        <f t="shared" si="33"/>
        <v>0</v>
      </c>
      <c r="AC109">
        <f t="shared" si="33"/>
        <v>0</v>
      </c>
      <c r="AD109">
        <f t="shared" si="33"/>
        <v>927.68</v>
      </c>
      <c r="AE109">
        <f t="shared" si="34"/>
        <v>0</v>
      </c>
      <c r="AF109">
        <f t="shared" si="34"/>
        <v>1.25</v>
      </c>
      <c r="AG109">
        <f t="shared" si="34"/>
        <v>0</v>
      </c>
    </row>
    <row r="110" spans="3:33" x14ac:dyDescent="0.3">
      <c r="C110" t="str">
        <f t="shared" si="25"/>
        <v>an</v>
      </c>
      <c r="D110">
        <f t="shared" si="26"/>
        <v>3</v>
      </c>
      <c r="E110">
        <f t="shared" si="27"/>
        <v>298</v>
      </c>
      <c r="F110">
        <f t="shared" si="28"/>
        <v>1</v>
      </c>
      <c r="G110">
        <f t="shared" si="29"/>
        <v>2750</v>
      </c>
      <c r="J110">
        <f t="shared" si="30"/>
        <v>0</v>
      </c>
      <c r="K110">
        <f t="shared" si="30"/>
        <v>0</v>
      </c>
      <c r="L110">
        <f t="shared" si="30"/>
        <v>2750</v>
      </c>
      <c r="M110">
        <f t="shared" si="30"/>
        <v>88.9</v>
      </c>
      <c r="N110">
        <f t="shared" si="30"/>
        <v>-1.6E-2</v>
      </c>
      <c r="O110">
        <f t="shared" si="30"/>
        <v>6.6</v>
      </c>
      <c r="P110">
        <f t="shared" si="30"/>
        <v>0</v>
      </c>
      <c r="Q110">
        <f t="shared" si="30"/>
        <v>0</v>
      </c>
      <c r="R110">
        <f t="shared" si="30"/>
        <v>93.66734000000001</v>
      </c>
      <c r="S110">
        <f t="shared" si="30"/>
        <v>2.34E-5</v>
      </c>
      <c r="T110">
        <f t="shared" si="30"/>
        <v>0</v>
      </c>
      <c r="U110">
        <f t="shared" si="30"/>
        <v>1.2100000000000001E-8</v>
      </c>
      <c r="V110">
        <f t="shared" si="31"/>
        <v>1.9790000000000001</v>
      </c>
      <c r="W110">
        <f t="shared" si="32"/>
        <v>1</v>
      </c>
      <c r="X110">
        <f t="shared" si="32"/>
        <v>0</v>
      </c>
      <c r="Y110">
        <f t="shared" si="33"/>
        <v>0</v>
      </c>
      <c r="Z110">
        <f t="shared" si="33"/>
        <v>0</v>
      </c>
      <c r="AA110">
        <f t="shared" si="33"/>
        <v>0</v>
      </c>
      <c r="AB110">
        <f t="shared" si="33"/>
        <v>0</v>
      </c>
      <c r="AC110">
        <f t="shared" si="33"/>
        <v>0</v>
      </c>
      <c r="AD110">
        <f t="shared" si="33"/>
        <v>583.52</v>
      </c>
      <c r="AE110">
        <f t="shared" si="34"/>
        <v>0</v>
      </c>
      <c r="AF110">
        <f t="shared" si="34"/>
        <v>1.25</v>
      </c>
      <c r="AG110">
        <f t="shared" si="34"/>
        <v>0</v>
      </c>
    </row>
    <row r="111" spans="3:33" x14ac:dyDescent="0.3">
      <c r="C111" t="str">
        <f t="shared" si="25"/>
        <v>sp</v>
      </c>
      <c r="D111">
        <f t="shared" si="26"/>
        <v>3</v>
      </c>
      <c r="E111">
        <f t="shared" si="27"/>
        <v>298</v>
      </c>
      <c r="F111">
        <f t="shared" si="28"/>
        <v>1</v>
      </c>
      <c r="G111">
        <f t="shared" si="29"/>
        <v>3580</v>
      </c>
      <c r="J111">
        <f t="shared" si="30"/>
        <v>0</v>
      </c>
      <c r="K111">
        <f t="shared" si="30"/>
        <v>0</v>
      </c>
      <c r="L111">
        <f t="shared" si="30"/>
        <v>3580</v>
      </c>
      <c r="M111">
        <f t="shared" si="30"/>
        <v>196.7</v>
      </c>
      <c r="N111">
        <f t="shared" si="30"/>
        <v>-4.8000000000000001E-2</v>
      </c>
      <c r="O111">
        <f t="shared" si="30"/>
        <v>4.9000000000000004</v>
      </c>
      <c r="P111">
        <f t="shared" si="30"/>
        <v>0</v>
      </c>
      <c r="Q111">
        <f t="shared" si="30"/>
        <v>0</v>
      </c>
      <c r="R111">
        <f t="shared" si="30"/>
        <v>211.00350999999998</v>
      </c>
      <c r="S111">
        <f t="shared" si="30"/>
        <v>6.97E-5</v>
      </c>
      <c r="T111">
        <f t="shared" si="30"/>
        <v>0</v>
      </c>
      <c r="U111">
        <f t="shared" si="30"/>
        <v>-1.0999999999999999E-9</v>
      </c>
      <c r="V111">
        <f t="shared" si="31"/>
        <v>7.0030000000000001</v>
      </c>
      <c r="W111">
        <f t="shared" si="32"/>
        <v>1.21</v>
      </c>
      <c r="X111">
        <f t="shared" si="32"/>
        <v>0</v>
      </c>
      <c r="Y111">
        <f t="shared" si="33"/>
        <v>0</v>
      </c>
      <c r="Z111">
        <f t="shared" si="33"/>
        <v>0</v>
      </c>
      <c r="AA111">
        <f t="shared" si="33"/>
        <v>0</v>
      </c>
      <c r="AB111">
        <f t="shared" si="33"/>
        <v>0</v>
      </c>
      <c r="AC111">
        <f t="shared" si="33"/>
        <v>0</v>
      </c>
      <c r="AD111">
        <f t="shared" si="33"/>
        <v>4120.21</v>
      </c>
      <c r="AE111">
        <f t="shared" si="34"/>
        <v>0</v>
      </c>
      <c r="AF111">
        <f t="shared" si="34"/>
        <v>1.25</v>
      </c>
      <c r="AG111">
        <f t="shared" si="34"/>
        <v>0</v>
      </c>
    </row>
    <row r="112" spans="3:33" x14ac:dyDescent="0.3">
      <c r="C112" t="str">
        <f t="shared" si="25"/>
        <v>ky</v>
      </c>
      <c r="D112">
        <f t="shared" si="26"/>
        <v>3</v>
      </c>
      <c r="E112">
        <f t="shared" si="27"/>
        <v>298</v>
      </c>
      <c r="F112">
        <f t="shared" si="28"/>
        <v>1</v>
      </c>
      <c r="G112">
        <f t="shared" si="29"/>
        <v>3680</v>
      </c>
      <c r="J112">
        <f t="shared" si="30"/>
        <v>0</v>
      </c>
      <c r="K112">
        <f t="shared" si="30"/>
        <v>0</v>
      </c>
      <c r="L112">
        <f t="shared" si="30"/>
        <v>3680</v>
      </c>
      <c r="M112">
        <f t="shared" si="30"/>
        <v>191.3</v>
      </c>
      <c r="N112">
        <f t="shared" si="30"/>
        <v>-1.4999999999999999E-2</v>
      </c>
      <c r="O112">
        <f t="shared" si="30"/>
        <v>4</v>
      </c>
      <c r="P112">
        <f t="shared" si="30"/>
        <v>0</v>
      </c>
      <c r="Q112">
        <f t="shared" si="30"/>
        <v>0</v>
      </c>
      <c r="R112">
        <f t="shared" si="30"/>
        <v>195.7696</v>
      </c>
      <c r="S112">
        <f t="shared" si="30"/>
        <v>5.3999999999999998E-5</v>
      </c>
      <c r="T112">
        <f t="shared" si="30"/>
        <v>0</v>
      </c>
      <c r="U112">
        <f t="shared" si="30"/>
        <v>-2.0000000000000001E-10</v>
      </c>
      <c r="V112">
        <f t="shared" si="31"/>
        <v>5.4059999999999997</v>
      </c>
      <c r="W112">
        <f t="shared" si="32"/>
        <v>1.17</v>
      </c>
      <c r="X112">
        <f t="shared" si="32"/>
        <v>0</v>
      </c>
      <c r="Y112">
        <f t="shared" si="33"/>
        <v>0</v>
      </c>
      <c r="Z112">
        <f t="shared" si="33"/>
        <v>0</v>
      </c>
      <c r="AA112">
        <f t="shared" si="33"/>
        <v>0</v>
      </c>
      <c r="AB112">
        <f t="shared" si="33"/>
        <v>0</v>
      </c>
      <c r="AC112">
        <f t="shared" si="33"/>
        <v>0</v>
      </c>
      <c r="AD112">
        <f t="shared" si="33"/>
        <v>2466.27</v>
      </c>
      <c r="AE112">
        <f t="shared" si="34"/>
        <v>0</v>
      </c>
      <c r="AF112">
        <f t="shared" si="34"/>
        <v>1.25</v>
      </c>
      <c r="AG112">
        <f t="shared" si="34"/>
        <v>0</v>
      </c>
    </row>
    <row r="113" spans="3:33" x14ac:dyDescent="0.3">
      <c r="C113" t="str">
        <f t="shared" si="25"/>
        <v>coe</v>
      </c>
      <c r="D113">
        <f t="shared" si="26"/>
        <v>3</v>
      </c>
      <c r="E113">
        <f t="shared" si="27"/>
        <v>298</v>
      </c>
      <c r="F113">
        <f t="shared" si="28"/>
        <v>1</v>
      </c>
      <c r="G113">
        <f t="shared" si="29"/>
        <v>2911</v>
      </c>
      <c r="J113">
        <f t="shared" si="30"/>
        <v>0</v>
      </c>
      <c r="K113">
        <f t="shared" si="30"/>
        <v>0</v>
      </c>
      <c r="L113">
        <f t="shared" si="30"/>
        <v>2911</v>
      </c>
      <c r="M113">
        <f t="shared" si="30"/>
        <v>98</v>
      </c>
      <c r="N113">
        <f t="shared" si="30"/>
        <v>-1.4E-2</v>
      </c>
      <c r="O113">
        <f t="shared" si="30"/>
        <v>4.3</v>
      </c>
      <c r="P113">
        <f t="shared" si="30"/>
        <v>0</v>
      </c>
      <c r="Q113">
        <f t="shared" si="30"/>
        <v>0</v>
      </c>
      <c r="R113">
        <f t="shared" si="30"/>
        <v>102.17157</v>
      </c>
      <c r="S113">
        <f t="shared" si="30"/>
        <v>2.4700000000000001E-5</v>
      </c>
      <c r="T113">
        <f t="shared" si="30"/>
        <v>0</v>
      </c>
      <c r="U113">
        <f t="shared" si="30"/>
        <v>2.8999999999999999E-9</v>
      </c>
      <c r="V113">
        <f t="shared" si="31"/>
        <v>2.3839999999999999</v>
      </c>
      <c r="W113">
        <f t="shared" si="32"/>
        <v>1</v>
      </c>
      <c r="X113">
        <f t="shared" si="32"/>
        <v>0</v>
      </c>
      <c r="Y113">
        <f t="shared" si="33"/>
        <v>0</v>
      </c>
      <c r="Z113">
        <f t="shared" si="33"/>
        <v>0</v>
      </c>
      <c r="AA113">
        <f t="shared" si="33"/>
        <v>0</v>
      </c>
      <c r="AB113">
        <f t="shared" si="33"/>
        <v>0</v>
      </c>
      <c r="AC113">
        <f t="shared" si="33"/>
        <v>0</v>
      </c>
      <c r="AD113">
        <f t="shared" si="33"/>
        <v>657.77</v>
      </c>
      <c r="AE113">
        <f t="shared" si="34"/>
        <v>0</v>
      </c>
      <c r="AF113">
        <f t="shared" si="34"/>
        <v>1.25</v>
      </c>
      <c r="AG113">
        <f t="shared" si="34"/>
        <v>0</v>
      </c>
    </row>
    <row r="114" spans="3:33" x14ac:dyDescent="0.3">
      <c r="C114" t="str">
        <f t="shared" si="25"/>
        <v>cor</v>
      </c>
      <c r="D114">
        <f t="shared" si="26"/>
        <v>3</v>
      </c>
      <c r="E114">
        <f t="shared" si="27"/>
        <v>298</v>
      </c>
      <c r="F114">
        <f t="shared" si="28"/>
        <v>1</v>
      </c>
      <c r="G114">
        <f t="shared" si="29"/>
        <v>3988</v>
      </c>
      <c r="J114">
        <f t="shared" si="30"/>
        <v>0</v>
      </c>
      <c r="K114">
        <f t="shared" si="30"/>
        <v>0</v>
      </c>
      <c r="L114">
        <f t="shared" si="30"/>
        <v>3988</v>
      </c>
      <c r="M114">
        <f t="shared" si="30"/>
        <v>257</v>
      </c>
      <c r="N114">
        <f t="shared" si="30"/>
        <v>-8.9999999999999993E-3</v>
      </c>
      <c r="O114">
        <f t="shared" si="30"/>
        <v>4.4000000000000004</v>
      </c>
      <c r="P114">
        <f t="shared" si="30"/>
        <v>0</v>
      </c>
      <c r="Q114">
        <f t="shared" si="30"/>
        <v>0</v>
      </c>
      <c r="R114">
        <f t="shared" si="30"/>
        <v>259.68155999999999</v>
      </c>
      <c r="S114">
        <f t="shared" si="30"/>
        <v>4.1999999999999998E-5</v>
      </c>
      <c r="T114">
        <f t="shared" si="30"/>
        <v>0</v>
      </c>
      <c r="U114">
        <f t="shared" si="30"/>
        <v>-8.0000000000000003E-10</v>
      </c>
      <c r="V114">
        <f t="shared" si="31"/>
        <v>4.2240000000000002</v>
      </c>
      <c r="W114">
        <f t="shared" si="32"/>
        <v>1</v>
      </c>
      <c r="X114">
        <f t="shared" si="32"/>
        <v>0</v>
      </c>
      <c r="Y114">
        <f t="shared" si="33"/>
        <v>0</v>
      </c>
      <c r="Z114">
        <f t="shared" si="33"/>
        <v>0</v>
      </c>
      <c r="AA114">
        <f t="shared" si="33"/>
        <v>0</v>
      </c>
      <c r="AB114">
        <f t="shared" si="33"/>
        <v>0</v>
      </c>
      <c r="AC114">
        <f t="shared" si="33"/>
        <v>0</v>
      </c>
      <c r="AD114">
        <f t="shared" si="33"/>
        <v>3708</v>
      </c>
      <c r="AE114">
        <f t="shared" si="34"/>
        <v>0</v>
      </c>
      <c r="AF114">
        <f t="shared" si="34"/>
        <v>1.25</v>
      </c>
      <c r="AG114">
        <f t="shared" si="34"/>
        <v>0</v>
      </c>
    </row>
    <row r="115" spans="3:33" x14ac:dyDescent="0.3">
      <c r="C115" t="str">
        <f t="shared" si="25"/>
        <v>q</v>
      </c>
      <c r="D115">
        <f t="shared" si="26"/>
        <v>3</v>
      </c>
      <c r="E115">
        <f t="shared" si="27"/>
        <v>298</v>
      </c>
      <c r="F115">
        <f t="shared" si="28"/>
        <v>1</v>
      </c>
      <c r="G115">
        <f t="shared" si="29"/>
        <v>2650</v>
      </c>
      <c r="J115">
        <f t="shared" si="30"/>
        <v>0</v>
      </c>
      <c r="K115">
        <f t="shared" si="30"/>
        <v>0</v>
      </c>
      <c r="L115">
        <f t="shared" si="30"/>
        <v>2650</v>
      </c>
      <c r="M115">
        <f t="shared" si="30"/>
        <v>37.700000000000003</v>
      </c>
      <c r="N115">
        <f t="shared" si="30"/>
        <v>-8.9999999999999993E-3</v>
      </c>
      <c r="O115">
        <f t="shared" si="30"/>
        <v>6.4</v>
      </c>
      <c r="P115">
        <f t="shared" si="30"/>
        <v>0</v>
      </c>
      <c r="Q115">
        <f t="shared" si="30"/>
        <v>0</v>
      </c>
      <c r="R115">
        <f t="shared" si="30"/>
        <v>40.381360000000008</v>
      </c>
      <c r="S115">
        <f t="shared" si="30"/>
        <v>6.0000000000000002E-5</v>
      </c>
      <c r="T115">
        <f t="shared" si="30"/>
        <v>0</v>
      </c>
      <c r="U115">
        <f t="shared" si="30"/>
        <v>0</v>
      </c>
      <c r="V115">
        <f t="shared" si="31"/>
        <v>6</v>
      </c>
      <c r="W115">
        <f t="shared" si="32"/>
        <v>1</v>
      </c>
      <c r="X115">
        <f t="shared" si="32"/>
        <v>0</v>
      </c>
      <c r="Y115">
        <f t="shared" si="33"/>
        <v>0</v>
      </c>
      <c r="Z115">
        <f t="shared" si="33"/>
        <v>0</v>
      </c>
      <c r="AA115">
        <f t="shared" si="33"/>
        <v>0</v>
      </c>
      <c r="AB115">
        <f t="shared" si="33"/>
        <v>0</v>
      </c>
      <c r="AC115">
        <f t="shared" si="33"/>
        <v>0</v>
      </c>
      <c r="AD115">
        <f t="shared" si="33"/>
        <v>567.20000000000005</v>
      </c>
      <c r="AE115">
        <f t="shared" si="34"/>
        <v>0</v>
      </c>
      <c r="AF115">
        <f t="shared" si="34"/>
        <v>1.25</v>
      </c>
      <c r="AG115">
        <f t="shared" si="34"/>
        <v>0</v>
      </c>
    </row>
    <row r="116" spans="3:33" x14ac:dyDescent="0.3">
      <c r="C116" t="str">
        <f t="shared" si="25"/>
        <v>per</v>
      </c>
      <c r="D116">
        <f t="shared" si="26"/>
        <v>3</v>
      </c>
      <c r="E116">
        <f t="shared" si="27"/>
        <v>298</v>
      </c>
      <c r="F116">
        <f t="shared" si="28"/>
        <v>1</v>
      </c>
      <c r="G116">
        <f t="shared" si="29"/>
        <v>3585</v>
      </c>
      <c r="J116">
        <f t="shared" si="30"/>
        <v>0</v>
      </c>
      <c r="K116">
        <f t="shared" si="30"/>
        <v>0</v>
      </c>
      <c r="L116">
        <f t="shared" si="30"/>
        <v>3585</v>
      </c>
      <c r="M116">
        <f t="shared" si="30"/>
        <v>162</v>
      </c>
      <c r="N116">
        <f t="shared" si="30"/>
        <v>-2.8000000000000001E-2</v>
      </c>
      <c r="O116">
        <f t="shared" si="30"/>
        <v>4.26</v>
      </c>
      <c r="P116">
        <f t="shared" si="30"/>
        <v>0</v>
      </c>
      <c r="Q116">
        <f t="shared" si="30"/>
        <v>0</v>
      </c>
      <c r="R116">
        <f t="shared" si="30"/>
        <v>170.34357399999999</v>
      </c>
      <c r="S116">
        <f t="shared" si="30"/>
        <v>3.6399999999999997E-5</v>
      </c>
      <c r="T116">
        <f t="shared" si="30"/>
        <v>0</v>
      </c>
      <c r="U116">
        <f t="shared" si="30"/>
        <v>8.3500000000000003E-9</v>
      </c>
      <c r="V116">
        <f t="shared" si="31"/>
        <v>3.391</v>
      </c>
      <c r="W116">
        <f t="shared" si="32"/>
        <v>1.47</v>
      </c>
      <c r="X116">
        <f t="shared" si="32"/>
        <v>0</v>
      </c>
      <c r="Y116">
        <f t="shared" si="33"/>
        <v>0</v>
      </c>
      <c r="Z116">
        <f t="shared" si="33"/>
        <v>0</v>
      </c>
      <c r="AA116">
        <f t="shared" si="33"/>
        <v>0</v>
      </c>
      <c r="AB116">
        <f t="shared" si="33"/>
        <v>0</v>
      </c>
      <c r="AC116">
        <f t="shared" si="33"/>
        <v>0</v>
      </c>
      <c r="AD116">
        <f t="shared" si="33"/>
        <v>1513.75</v>
      </c>
      <c r="AE116">
        <f t="shared" si="34"/>
        <v>0</v>
      </c>
      <c r="AF116">
        <f t="shared" si="34"/>
        <v>1.25</v>
      </c>
      <c r="AG116">
        <f t="shared" si="34"/>
        <v>0</v>
      </c>
    </row>
    <row r="117" spans="3:33" x14ac:dyDescent="0.3">
      <c r="C117" t="str">
        <f t="shared" si="25"/>
        <v>merw</v>
      </c>
      <c r="D117">
        <f t="shared" si="26"/>
        <v>3</v>
      </c>
      <c r="E117">
        <f t="shared" si="27"/>
        <v>298</v>
      </c>
      <c r="F117">
        <f t="shared" si="28"/>
        <v>1</v>
      </c>
      <c r="G117">
        <f t="shared" si="29"/>
        <v>3330</v>
      </c>
      <c r="J117">
        <f t="shared" si="30"/>
        <v>0</v>
      </c>
      <c r="K117">
        <f t="shared" si="30"/>
        <v>0</v>
      </c>
      <c r="L117">
        <f t="shared" si="30"/>
        <v>3330</v>
      </c>
      <c r="M117">
        <f t="shared" si="30"/>
        <v>129</v>
      </c>
      <c r="N117">
        <f t="shared" si="30"/>
        <v>-1.6E-2</v>
      </c>
      <c r="O117">
        <f t="shared" si="30"/>
        <v>4.2</v>
      </c>
      <c r="P117">
        <f t="shared" si="30"/>
        <v>0</v>
      </c>
      <c r="Q117">
        <f t="shared" si="30"/>
        <v>0</v>
      </c>
      <c r="R117">
        <f t="shared" si="30"/>
        <v>133.76758000000001</v>
      </c>
      <c r="S117">
        <f t="shared" si="30"/>
        <v>2.5199999999999999E-5</v>
      </c>
      <c r="T117">
        <f t="shared" si="30"/>
        <v>0</v>
      </c>
      <c r="U117">
        <f t="shared" si="30"/>
        <v>1.5300000000000001E-8</v>
      </c>
      <c r="V117">
        <f t="shared" si="31"/>
        <v>2.0640000000000001</v>
      </c>
      <c r="W117">
        <f t="shared" si="32"/>
        <v>1</v>
      </c>
      <c r="X117">
        <f t="shared" si="32"/>
        <v>0</v>
      </c>
      <c r="Y117">
        <f t="shared" si="33"/>
        <v>0</v>
      </c>
      <c r="Z117">
        <f t="shared" si="33"/>
        <v>0</v>
      </c>
      <c r="AA117">
        <f t="shared" si="33"/>
        <v>0</v>
      </c>
      <c r="AB117">
        <f t="shared" si="33"/>
        <v>0</v>
      </c>
      <c r="AC117">
        <f t="shared" si="33"/>
        <v>0</v>
      </c>
      <c r="AD117">
        <f t="shared" si="33"/>
        <v>906.78</v>
      </c>
      <c r="AE117">
        <f t="shared" si="34"/>
        <v>0</v>
      </c>
      <c r="AF117">
        <f t="shared" si="34"/>
        <v>1.25</v>
      </c>
      <c r="AG117">
        <f t="shared" si="34"/>
        <v>0</v>
      </c>
    </row>
    <row r="120" spans="3:33" x14ac:dyDescent="0.3">
      <c r="R120"/>
      <c r="V120"/>
      <c r="AD120"/>
      <c r="AG120"/>
    </row>
    <row r="121" spans="3:33" x14ac:dyDescent="0.3">
      <c r="R121"/>
      <c r="V121"/>
      <c r="AD121"/>
      <c r="AG121"/>
    </row>
    <row r="122" spans="3:33" x14ac:dyDescent="0.3">
      <c r="R122"/>
      <c r="V122"/>
      <c r="AD122"/>
      <c r="AG122"/>
    </row>
    <row r="123" spans="3:33" x14ac:dyDescent="0.3">
      <c r="R123"/>
      <c r="V123"/>
      <c r="AD123"/>
      <c r="AG123"/>
    </row>
    <row r="124" spans="3:33" x14ac:dyDescent="0.3">
      <c r="R124"/>
      <c r="V124"/>
      <c r="AD124"/>
      <c r="AG124"/>
    </row>
    <row r="125" spans="3:33" x14ac:dyDescent="0.3">
      <c r="R125"/>
      <c r="V125"/>
      <c r="AD125"/>
      <c r="AG125"/>
    </row>
    <row r="126" spans="3:33" x14ac:dyDescent="0.3">
      <c r="R126"/>
      <c r="V126"/>
      <c r="AD126"/>
      <c r="AG126"/>
    </row>
  </sheetData>
  <mergeCells count="3">
    <mergeCell ref="G90:L90"/>
    <mergeCell ref="M90:R90"/>
    <mergeCell ref="S90:V90"/>
  </mergeCells>
  <hyperlinks>
    <hyperlink ref="AL15" r:id="rId1" xr:uid="{5E08DC54-D425-4B74-A227-011D19CA08C4}"/>
  </hyperlinks>
  <pageMargins left="0.7" right="0.7" top="0.75" bottom="0.75" header="0.3" footer="0.3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o m 3 b W D I 2 4 p y k A A A A 9 g A A A B I A H A B D b 2 5 m a W c v U G F j a 2 F n Z S 5 4 b W w g o h g A K K A U A A A A A A A A A A A A A A A A A A A A A A A A A A A A h Y 9 B D o I w F E S v Q r q n L T U m S j 5 l 4 R a M i Y l x S 2 q F R v g Y W i x 3 c + G R v I I Y R d 2 5 n D d v M X O / 3 i A d m j q 4 6 M 6 a F h M S U U 4 C j a o 9 G C w T 0 r t j u C C p h E 2 h T k W p g 1 F G G w / 2 k J D K u X P M m P e e + h l t u 5 I J z i O 2 z 7 O t q n R T k I 9 s / s u h Q e s K V J p I 2 L 3 G S E E j s a R i L i g H N k H I D X 4 F M e 5 9 t j 8 Q V n 3 t + k 5 L j e E 6 A z Z F Y O 8 P 8 g F Q S w M E F A A C A A g A o m 3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J t 2 1 g 0 D B 5 W g w E A A B A D A A A T A B w A R m 9 y b X V s Y X M v U 2 V j d G l v b j E u b S C i G A A o o B Q A A A A A A A A A A A A A A A A A A A A A A A A A A A C F k V 9 r I j E U x d 8 F v 8 M l Z U F h a i n d h 2 5 L H + z Y X W Q p W 6 r S h x k p c e a q w f y R m 6 Q o 4 n d v Z q L b 4 n b Y e Q l z f + e e H H I s F k 4 Y D a N 4 X t 6 2 W + 2 W X X L C E s Z 8 J v E K 7 k C i a 7 c g f C P j q c A w e d g U K H s v h l Y z Y 1 a d n 0 J i L z X a o X a 2 w 9 K b f G K R b L 7 0 u M D 8 j 8 Y B i T f M B 6 b w q p L k 4 8 n 5 A O X c 5 f 2 H 7 9 c / r u B p u b W i s G D m 8 C S 5 R s d p C y L 4 k T D B p 2 + t W O h q F S 7 z 6 t a j U 2 8 j 7 Y Z 1 E 9 B e y g Q c e e w m M W t M / 1 o f I X G M v s u G D t U d i 5 A l v 4 U u D 3 9 s u s 8 G 3 P H p Y f + M p U u u F 9 U 7 b N f I g k U t 6 4 2 J a z s 3 p F I j v d I V t J 3 P l y W 7 H b P o W I g T G J T c 4 T 6 B H S s M 4 X H o c O P q o e L a y X / H w / Q e i J f C W 8 h W a n r k 2 q s Z U q 1 I H / + n s F 7 O P U E R a 4 H s 2 1 e i 8 n H d R I a N Q F 0 0 M W c c l 4 B E h h o U 6 9 c q e f Z r z b + E 1 S P V 9 H R 3 3 / 3 b y z M q 8 x Z 6 i Q X Y j 2 o i O I w 7 J w U m s Z V 9 t 9 0 S u s n q 9 h 1 Q S w E C L Q A U A A I A C A C i b d t Y M j b i n K Q A A A D 2 A A A A E g A A A A A A A A A A A A A A A A A A A A A A Q 2 9 u Z m l n L 1 B h Y 2 t h Z 2 U u e G 1 s U E s B A i 0 A F A A C A A g A o m 3 b W A / K 6 a u k A A A A 6 Q A A A B M A A A A A A A A A A A A A A A A A 8 A A A A F t D b 2 5 0 Z W 5 0 X 1 R 5 c G V z X S 5 4 b W x Q S w E C L Q A U A A I A C A C i b d t Y N A w e V o M B A A A Q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w A A A A A A A B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x Z j I 5 M W E t Z T I x Y S 0 0 Z D R j L T g 1 N G Q t N j g 1 N m V j N G U 1 N T h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3 J l J n F 1 b 3 Q 7 L C Z x d W 9 0 O 2 1 h b n R s Z S Z x d W 9 0 O y w m c X V v d D t J Q 0 I g c m F k a X V z I F t r b V 0 m c X V v d D s s J n F 1 b 3 Q 7 Q 0 1 C I H J h Z G l 1 c y B b a 2 1 d J n F 1 b 3 Q 7 L C Z x d W 9 0 O 3 N 1 b G Z 1 c i B j b 2 5 0 Z W 5 0 I F s l X S Z x d W 9 0 O y w m c X V v d D t k T X A g W y V d J n F 1 b 3 Q 7 L C Z x d W 9 0 O 2 R J I F s l X S Z x d W 9 0 O y w m c X V v d D t k S W 0 v S S B b J V 0 m c X V v d D s s J n F 1 b 3 Q 7 d G 9 0 Y W w g Z X J y b 3 I g W y V d J n F 1 b 3 Q 7 L C Z x d W 9 0 O 3 B f Q 0 1 C I F t H c G E m c X V v d D s s J n F 1 b 3 Q 7 c F 9 j b 3 J l I F t H c G F d J n F 1 b 3 Q 7 X S I g L z 4 8 R W 5 0 c n k g V H l w Z T 0 i R m l s b E N v b H V t b l R 5 c G V z I i B W Y W x 1 Z T 0 i c 0 J n W U Z C U V V G Q l F V R k J R V T 0 i I C 8 + P E V u d H J 5 I F R 5 c G U 9 I k Z p b G x M Y X N 0 V X B k Y X R l Z C I g V m F s d W U 9 I m Q y M D I 0 L T A 2 L T A 1 V D I y O j A w O j U 3 L j g 0 M z M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z L 0 F 1 d G 9 S Z W 1 v d m V k Q 2 9 s d W 1 u c z E u e 2 N v c m U s M H 0 m c X V v d D s s J n F 1 b 3 Q 7 U 2 V j d G l v b j E v V G F i b G U z L 0 F 1 d G 9 S Z W 1 v d m V k Q 2 9 s d W 1 u c z E u e 2 1 h b n R s Z S w x f S Z x d W 9 0 O y w m c X V v d D t T Z W N 0 a W 9 u M S 9 U Y W J s Z T M v Q X V 0 b 1 J l b W 9 2 Z W R D b 2 x 1 b W 5 z M S 5 7 S U N C I H J h Z G l 1 c y B b a 2 1 d L D J 9 J n F 1 b 3 Q 7 L C Z x d W 9 0 O 1 N l Y 3 R p b 2 4 x L 1 R h Y m x l M y 9 B d X R v U m V t b 3 Z l Z E N v b H V t b n M x L n t D T U I g c m F k a X V z I F t r b V 0 s M 3 0 m c X V v d D s s J n F 1 b 3 Q 7 U 2 V j d G l v b j E v V G F i b G U z L 0 F 1 d G 9 S Z W 1 v d m V k Q 2 9 s d W 1 u c z E u e 3 N 1 b G Z 1 c i B j b 2 5 0 Z W 5 0 I F s l X S w 0 f S Z x d W 9 0 O y w m c X V v d D t T Z W N 0 a W 9 u M S 9 U Y W J s Z T M v Q X V 0 b 1 J l b W 9 2 Z W R D b 2 x 1 b W 5 z M S 5 7 Z E 1 w I F s l X S w 1 f S Z x d W 9 0 O y w m c X V v d D t T Z W N 0 a W 9 u M S 9 U Y W J s Z T M v Q X V 0 b 1 J l b W 9 2 Z W R D b 2 x 1 b W 5 z M S 5 7 Z E k g W y V d L D Z 9 J n F 1 b 3 Q 7 L C Z x d W 9 0 O 1 N l Y 3 R p b 2 4 x L 1 R h Y m x l M y 9 B d X R v U m V t b 3 Z l Z E N v b H V t b n M x L n t k S W 0 v S S B b J V 0 s N 3 0 m c X V v d D s s J n F 1 b 3 Q 7 U 2 V j d G l v b j E v V G F i b G U z L 0 F 1 d G 9 S Z W 1 v d m V k Q 2 9 s d W 1 u c z E u e 3 R v d G F s I G V y c m 9 y I F s l X S w 4 f S Z x d W 9 0 O y w m c X V v d D t T Z W N 0 a W 9 u M S 9 U Y W J s Z T M v Q X V 0 b 1 J l b W 9 2 Z W R D b 2 x 1 b W 5 z M S 5 7 c F 9 D T U I g W 0 d w Y S w 5 f S Z x d W 9 0 O y w m c X V v d D t T Z W N 0 a W 9 u M S 9 U Y W J s Z T M v Q X V 0 b 1 J l b W 9 2 Z W R D b 2 x 1 b W 5 z M S 5 7 c F 9 j b 3 J l I F t H c G F d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Y W J s Z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T B H G E G Y 9 E i M R 8 2 M D k m t 7 Q A A A A A C A A A A A A A Q Z g A A A A E A A C A A A A A T f S G l R i N d o w F b p B e I 5 P s k W c d a f l V Z 8 5 j M 3 d O 8 V z l Y n w A A A A A O g A A A A A I A A C A A A A A 1 H r r L F J M m f L C S R u D G V n K k j s F Q e m x 5 4 l G 2 I 4 U J H T O / K V A A A A B 8 p Z G c C z Q 6 / l l + 9 j E m a / P y p b W p x I K N x O f 4 B B d l E A N 9 3 6 k O 3 Z + e y a c R 1 Y E A 1 s V K x w 8 D 6 s S s o x + t p K u N r x F 6 p i K L 5 K l q O r A d o y T g K K z U G 5 C D g 0 A A A A A D S F y U v C I H / w 3 8 G 0 f c G O t p 3 M W g c Q B E D f t e f q h u u v t t N n p c x w / S C w 7 D D O H d F M O b C X v w c w I r l X e r M N O j + B L 4 Q h X q < / D a t a M a s h u p > 
</file>

<file path=customXml/itemProps1.xml><?xml version="1.0" encoding="utf-8"?>
<ds:datastoreItem xmlns:ds="http://schemas.openxmlformats.org/officeDocument/2006/customXml" ds:itemID="{2601CE6E-CF0F-419F-9DF9-E990197D0B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AS1Model2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Huegens</dc:creator>
  <cp:lastModifiedBy>Théo Huegens</cp:lastModifiedBy>
  <dcterms:created xsi:type="dcterms:W3CDTF">2015-06-05T18:17:20Z</dcterms:created>
  <dcterms:modified xsi:type="dcterms:W3CDTF">2024-06-27T15:58:31Z</dcterms:modified>
</cp:coreProperties>
</file>