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580FC96D-EEFD-4261-A405-94FFBACB5DE5}" xr6:coauthVersionLast="47" xr6:coauthVersionMax="47" xr10:uidLastSave="{00000000-0000-0000-0000-000000000000}"/>
  <bookViews>
    <workbookView xWindow="-110" yWindow="-110" windowWidth="19420" windowHeight="11620" activeTab="2" xr2:uid="{7EB0B72A-79A8-4C26-A6CB-77D713D26FC7}"/>
  </bookViews>
  <sheets>
    <sheet name="results" sheetId="1" r:id="rId1"/>
    <sheet name="results_additional" sheetId="4" r:id="rId2"/>
    <sheet name="metrics" sheetId="2" r:id="rId3"/>
    <sheet name="diag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2" l="1" a="1"/>
  <c r="G84" i="2" s="1"/>
  <c r="F84" i="2" a="1"/>
  <c r="F84" i="2" s="1"/>
  <c r="E84" i="2" a="1"/>
  <c r="E84" i="2" s="1"/>
  <c r="D84" i="2" a="1"/>
  <c r="D84" i="2" s="1"/>
  <c r="G83" i="2" a="1"/>
  <c r="G83" i="2" s="1"/>
  <c r="F83" i="2" a="1"/>
  <c r="F83" i="2" s="1"/>
  <c r="H83" i="2" s="1"/>
  <c r="E83" i="2" a="1"/>
  <c r="E83" i="2"/>
  <c r="D83" i="2" a="1"/>
  <c r="D83" i="2"/>
  <c r="G82" i="2" a="1"/>
  <c r="G82" i="2" s="1"/>
  <c r="F82" i="2" a="1"/>
  <c r="F82" i="2" s="1"/>
  <c r="E82" i="2" a="1"/>
  <c r="E82" i="2" s="1"/>
  <c r="D82" i="2" a="1"/>
  <c r="D82" i="2" s="1"/>
  <c r="G81" i="2" a="1"/>
  <c r="G81" i="2" s="1"/>
  <c r="F81" i="2" a="1"/>
  <c r="F81" i="2" s="1"/>
  <c r="E81" i="2" a="1"/>
  <c r="E81" i="2" s="1"/>
  <c r="D81" i="2" a="1"/>
  <c r="D81" i="2"/>
  <c r="G80" i="2" a="1"/>
  <c r="G80" i="2"/>
  <c r="F80" i="2" a="1"/>
  <c r="F80" i="2" s="1"/>
  <c r="E80" i="2" a="1"/>
  <c r="E80" i="2" s="1"/>
  <c r="D80" i="2" a="1"/>
  <c r="D80" i="2" s="1"/>
  <c r="G79" i="2" a="1"/>
  <c r="G79" i="2" s="1"/>
  <c r="F79" i="2" a="1"/>
  <c r="F79" i="2"/>
  <c r="E79" i="2" a="1"/>
  <c r="E79" i="2" s="1"/>
  <c r="D79" i="2" a="1"/>
  <c r="D79" i="2" s="1"/>
  <c r="G78" i="2" a="1"/>
  <c r="G78" i="2" s="1"/>
  <c r="F78" i="2" a="1"/>
  <c r="F78" i="2" s="1"/>
  <c r="H78" i="2" s="1"/>
  <c r="E78" i="2" a="1"/>
  <c r="E78" i="2"/>
  <c r="D78" i="2" a="1"/>
  <c r="D78" i="2" s="1"/>
  <c r="G77" i="2" a="1"/>
  <c r="G77" i="2" s="1"/>
  <c r="F77" i="2" a="1"/>
  <c r="F77" i="2" s="1"/>
  <c r="E77" i="2" a="1"/>
  <c r="E77" i="2" s="1"/>
  <c r="D77" i="2" a="1"/>
  <c r="D77" i="2" s="1"/>
  <c r="G76" i="2" a="1"/>
  <c r="G76" i="2" s="1"/>
  <c r="F76" i="2" a="1"/>
  <c r="F76" i="2" s="1"/>
  <c r="H76" i="2" s="1"/>
  <c r="E76" i="2" a="1"/>
  <c r="E76" i="2"/>
  <c r="D76" i="2" a="1"/>
  <c r="D76" i="2" s="1"/>
  <c r="G75" i="2" a="1"/>
  <c r="G75" i="2" s="1"/>
  <c r="F75" i="2" a="1"/>
  <c r="F75" i="2" s="1"/>
  <c r="E75" i="2" a="1"/>
  <c r="E75" i="2" s="1"/>
  <c r="D75" i="2" a="1"/>
  <c r="D75" i="2" s="1"/>
  <c r="G68" i="2" a="1"/>
  <c r="G68" i="2" s="1"/>
  <c r="F68" i="2" a="1"/>
  <c r="F68" i="2"/>
  <c r="E68" i="2" a="1"/>
  <c r="E68" i="2" s="1"/>
  <c r="D68" i="2" a="1"/>
  <c r="D68" i="2" s="1"/>
  <c r="G67" i="2" a="1"/>
  <c r="G67" i="2" s="1"/>
  <c r="F67" i="2" a="1"/>
  <c r="F67" i="2" s="1"/>
  <c r="E67" i="2" a="1"/>
  <c r="E67" i="2" s="1"/>
  <c r="D67" i="2" a="1"/>
  <c r="D67" i="2" s="1"/>
  <c r="G66" i="2" a="1"/>
  <c r="G66" i="2"/>
  <c r="F66" i="2" a="1"/>
  <c r="F66" i="2" s="1"/>
  <c r="E66" i="2" a="1"/>
  <c r="E66" i="2" s="1"/>
  <c r="D66" i="2" a="1"/>
  <c r="D66" i="2" s="1"/>
  <c r="G65" i="2" a="1"/>
  <c r="G65" i="2" s="1"/>
  <c r="F65" i="2" a="1"/>
  <c r="F65" i="2" s="1"/>
  <c r="H65" i="2" s="1"/>
  <c r="E65" i="2" a="1"/>
  <c r="E65" i="2"/>
  <c r="D65" i="2" a="1"/>
  <c r="D65" i="2" s="1"/>
  <c r="G64" i="2" a="1"/>
  <c r="G64" i="2" s="1"/>
  <c r="F64" i="2" a="1"/>
  <c r="F64" i="2" s="1"/>
  <c r="E64" i="2" a="1"/>
  <c r="E64" i="2" s="1"/>
  <c r="D64" i="2" a="1"/>
  <c r="D64" i="2" s="1"/>
  <c r="G63" i="2" a="1"/>
  <c r="G63" i="2" s="1"/>
  <c r="F63" i="2" a="1"/>
  <c r="F63" i="2" s="1"/>
  <c r="E63" i="2" a="1"/>
  <c r="E63" i="2"/>
  <c r="D63" i="2" a="1"/>
  <c r="D63" i="2" s="1"/>
  <c r="G62" i="2" a="1"/>
  <c r="G62" i="2" s="1"/>
  <c r="F62" i="2" a="1"/>
  <c r="F62" i="2" s="1"/>
  <c r="E62" i="2" a="1"/>
  <c r="E62" i="2" s="1"/>
  <c r="D62" i="2" a="1"/>
  <c r="D62" i="2" s="1"/>
  <c r="G61" i="2" a="1"/>
  <c r="G61" i="2" s="1"/>
  <c r="F61" i="2" a="1"/>
  <c r="F61" i="2" s="1"/>
  <c r="E61" i="2" a="1"/>
  <c r="E61" i="2" s="1"/>
  <c r="D61" i="2" a="1"/>
  <c r="D61" i="2" s="1"/>
  <c r="G60" i="2" a="1"/>
  <c r="G60" i="2" s="1"/>
  <c r="F60" i="2" a="1"/>
  <c r="F60" i="2" s="1"/>
  <c r="E60" i="2" a="1"/>
  <c r="E60" i="2" s="1"/>
  <c r="D60" i="2" a="1"/>
  <c r="D60" i="2" s="1"/>
  <c r="G59" i="2" a="1"/>
  <c r="G59" i="2" s="1"/>
  <c r="F59" i="2" a="1"/>
  <c r="F59" i="2" s="1"/>
  <c r="E59" i="2" a="1"/>
  <c r="E59" i="2" s="1"/>
  <c r="D59" i="2" a="1"/>
  <c r="D59" i="2" s="1"/>
  <c r="G41" i="2" a="1"/>
  <c r="G41" i="2" s="1"/>
  <c r="F41" i="2" a="1"/>
  <c r="F41" i="2" s="1"/>
  <c r="E41" i="2" a="1"/>
  <c r="E41" i="2" s="1"/>
  <c r="D41" i="2" a="1"/>
  <c r="D41" i="2" s="1"/>
  <c r="G40" i="2" a="1"/>
  <c r="G40" i="2" s="1"/>
  <c r="F40" i="2" a="1"/>
  <c r="F40" i="2" s="1"/>
  <c r="E40" i="2" a="1"/>
  <c r="E40" i="2" s="1"/>
  <c r="D40" i="2" a="1"/>
  <c r="D40" i="2" s="1"/>
  <c r="G39" i="2" a="1"/>
  <c r="G39" i="2" s="1"/>
  <c r="F39" i="2" a="1"/>
  <c r="F39" i="2" s="1"/>
  <c r="E39" i="2" a="1"/>
  <c r="E39" i="2" s="1"/>
  <c r="D39" i="2" a="1"/>
  <c r="D39" i="2" s="1"/>
  <c r="G38" i="2" a="1"/>
  <c r="G38" i="2" s="1"/>
  <c r="F38" i="2" a="1"/>
  <c r="F38" i="2" s="1"/>
  <c r="E38" i="2" a="1"/>
  <c r="E38" i="2" s="1"/>
  <c r="D38" i="2" a="1"/>
  <c r="D38" i="2" s="1"/>
  <c r="G37" i="2" a="1"/>
  <c r="G37" i="2" s="1"/>
  <c r="F37" i="2" a="1"/>
  <c r="F37" i="2" s="1"/>
  <c r="E37" i="2" a="1"/>
  <c r="E37" i="2" s="1"/>
  <c r="D37" i="2" a="1"/>
  <c r="D37" i="2" s="1"/>
  <c r="G20" i="2" a="1"/>
  <c r="G20" i="2" s="1"/>
  <c r="G36" i="2" a="1"/>
  <c r="G36" i="2" s="1"/>
  <c r="F36" i="2" a="1"/>
  <c r="F36" i="2" s="1"/>
  <c r="E36" i="2" a="1"/>
  <c r="E36" i="2" s="1"/>
  <c r="D36" i="2" a="1"/>
  <c r="D36" i="2" s="1"/>
  <c r="G35" i="2" a="1"/>
  <c r="G35" i="2" s="1"/>
  <c r="F35" i="2" a="1"/>
  <c r="F35" i="2" s="1"/>
  <c r="E35" i="2" a="1"/>
  <c r="E35" i="2" s="1"/>
  <c r="D35" i="2" a="1"/>
  <c r="D35" i="2" s="1"/>
  <c r="G34" i="2" a="1"/>
  <c r="G34" i="2" s="1"/>
  <c r="F34" i="2" a="1"/>
  <c r="F34" i="2" s="1"/>
  <c r="E34" i="2" a="1"/>
  <c r="E34" i="2" s="1"/>
  <c r="D34" i="2" a="1"/>
  <c r="D34" i="2" s="1"/>
  <c r="G33" i="2" a="1"/>
  <c r="G33" i="2" s="1"/>
  <c r="F33" i="2" a="1"/>
  <c r="F33" i="2" s="1"/>
  <c r="E33" i="2" a="1"/>
  <c r="E33" i="2" s="1"/>
  <c r="D33" i="2" a="1"/>
  <c r="D33" i="2" s="1"/>
  <c r="G32" i="2" a="1"/>
  <c r="G32" i="2" s="1"/>
  <c r="F32" i="2" a="1"/>
  <c r="F32" i="2" s="1"/>
  <c r="E32" i="2" a="1"/>
  <c r="E32" i="2" s="1"/>
  <c r="D32" i="2" a="1"/>
  <c r="D32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19" i="2" a="1"/>
  <c r="G19" i="2" s="1"/>
  <c r="G18" i="2" a="1"/>
  <c r="G18" i="2" s="1"/>
  <c r="G17" i="2" a="1"/>
  <c r="G17" i="2" s="1"/>
  <c r="G16" i="2" a="1"/>
  <c r="G16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E25" i="2" a="1"/>
  <c r="E25" i="2" s="1"/>
  <c r="E24" i="2" a="1"/>
  <c r="E24" i="2" s="1"/>
  <c r="E23" i="2" a="1"/>
  <c r="E23" i="2" s="1"/>
  <c r="E22" i="2" a="1"/>
  <c r="E22" i="2" s="1"/>
  <c r="H22" i="2" s="1"/>
  <c r="E21" i="2" a="1"/>
  <c r="E21" i="2" s="1"/>
  <c r="H21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E20" i="2" a="1"/>
  <c r="E20" i="2" s="1"/>
  <c r="H20" i="2" s="1"/>
  <c r="E19" i="2" a="1"/>
  <c r="E19" i="2" s="1"/>
  <c r="E18" i="2" a="1"/>
  <c r="E18" i="2" s="1"/>
  <c r="E17" i="2" a="1"/>
  <c r="E17" i="2" s="1"/>
  <c r="E16" i="2" a="1"/>
  <c r="E16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G7" i="2" a="1"/>
  <c r="G7" i="2" s="1"/>
  <c r="G6" i="2" a="1"/>
  <c r="G6" i="2" s="1"/>
  <c r="G4" i="2" a="1"/>
  <c r="G4" i="2" s="1"/>
  <c r="G3" i="2" a="1"/>
  <c r="G3" i="2" s="1"/>
  <c r="G5" i="2" a="1"/>
  <c r="G5" i="2" s="1"/>
  <c r="F7" i="2" a="1"/>
  <c r="F7" i="2" s="1"/>
  <c r="F8" i="2" a="1"/>
  <c r="F8" i="2" s="1"/>
  <c r="F9" i="2" a="1"/>
  <c r="F9" i="2" s="1"/>
  <c r="F11" i="2" a="1"/>
  <c r="F11" i="2" s="1"/>
  <c r="F6" i="2" a="1"/>
  <c r="F6" i="2" s="1"/>
  <c r="F4" i="2" a="1"/>
  <c r="F4" i="2" s="1"/>
  <c r="F3" i="2" a="1"/>
  <c r="F3" i="2" s="1"/>
  <c r="E7" i="2" a="1"/>
  <c r="E7" i="2" s="1"/>
  <c r="E8" i="2" a="1"/>
  <c r="E8" i="2" s="1"/>
  <c r="E9" i="2" a="1"/>
  <c r="E9" i="2" s="1"/>
  <c r="E11" i="2" a="1"/>
  <c r="E11" i="2" s="1"/>
  <c r="E6" i="2" a="1"/>
  <c r="E6" i="2" s="1"/>
  <c r="E4" i="2" a="1"/>
  <c r="E4" i="2" s="1"/>
  <c r="E3" i="2" a="1"/>
  <c r="E3" i="2" s="1"/>
  <c r="D6" i="2" a="1"/>
  <c r="D6" i="2" s="1"/>
  <c r="D8" i="2" a="1"/>
  <c r="D8" i="2" s="1"/>
  <c r="D9" i="2" a="1"/>
  <c r="D9" i="2" s="1"/>
  <c r="D3" i="2" a="1"/>
  <c r="D3" i="2" s="1"/>
  <c r="D5" i="2" a="1"/>
  <c r="D5" i="2" s="1"/>
  <c r="N2" i="2"/>
  <c r="D4" i="2" s="1" a="1"/>
  <c r="D4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E95" i="2" a="1"/>
  <c r="E95" i="2" s="1"/>
  <c r="H95" i="2" s="1"/>
  <c r="E93" i="2" a="1"/>
  <c r="E93" i="2" s="1"/>
  <c r="E94" i="2" a="1"/>
  <c r="E94" i="2" s="1"/>
  <c r="E92" i="2" a="1"/>
  <c r="E92" i="2" s="1"/>
  <c r="E91" i="2" a="1"/>
  <c r="E91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H48" i="2" s="1"/>
  <c r="D52" i="2" a="1"/>
  <c r="D52" i="2" s="1"/>
  <c r="D49" i="2" a="1"/>
  <c r="D49" i="2" s="1"/>
  <c r="D50" i="2" a="1"/>
  <c r="D50" i="2" s="1"/>
  <c r="D51" i="2" a="1"/>
  <c r="D51" i="2" s="1"/>
  <c r="D48" i="2" a="1"/>
  <c r="D48" i="2" s="1"/>
  <c r="G9" i="2" a="1"/>
  <c r="G9" i="2" s="1"/>
  <c r="D47" i="2" a="1"/>
  <c r="D47" i="2" s="1"/>
  <c r="E12" i="2" a="1"/>
  <c r="E12" i="2" s="1"/>
  <c r="F12" i="2" a="1"/>
  <c r="F12" i="2" s="1"/>
  <c r="E13" i="2" a="1"/>
  <c r="E13" i="2" s="1"/>
  <c r="F13" i="2" a="1"/>
  <c r="F13" i="2" s="1"/>
  <c r="E14" i="2" a="1"/>
  <c r="E14" i="2" s="1"/>
  <c r="F14" i="2" a="1"/>
  <c r="F14" i="2" s="1"/>
  <c r="E15" i="2" a="1"/>
  <c r="E15" i="2" s="1"/>
  <c r="F15" i="2" a="1"/>
  <c r="F15" i="2" s="1"/>
  <c r="E27" i="2" a="1"/>
  <c r="E27" i="2" s="1"/>
  <c r="F27" i="2" a="1"/>
  <c r="F27" i="2" s="1"/>
  <c r="E28" i="2" a="1"/>
  <c r="E28" i="2" s="1"/>
  <c r="F28" i="2" a="1"/>
  <c r="F28" i="2" s="1"/>
  <c r="E29" i="2" a="1"/>
  <c r="E29" i="2" s="1"/>
  <c r="F29" i="2" a="1"/>
  <c r="F29" i="2" s="1"/>
  <c r="E30" i="2" a="1"/>
  <c r="E30" i="2" s="1"/>
  <c r="F30" i="2" a="1"/>
  <c r="F30" i="2" s="1"/>
  <c r="D11" i="2" a="1"/>
  <c r="D11" i="2" s="1"/>
  <c r="D12" i="2" a="1"/>
  <c r="D12" i="2" s="1"/>
  <c r="D13" i="2" a="1"/>
  <c r="D13" i="2" s="1"/>
  <c r="T11" i="2"/>
  <c r="R11" i="2"/>
  <c r="P11" i="2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31" i="2" a="1"/>
  <c r="F3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31" i="2" a="1"/>
  <c r="E3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46" i="2" a="1"/>
  <c r="D46" i="2" s="1"/>
  <c r="D45" i="2" a="1"/>
  <c r="D45" i="2" s="1"/>
  <c r="D44" i="2" a="1"/>
  <c r="D44" i="2" s="1"/>
  <c r="D43" i="2" a="1"/>
  <c r="D43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14" i="2" a="1"/>
  <c r="D14" i="2" s="1"/>
  <c r="D15" i="2" a="1"/>
  <c r="D15" i="2" s="1"/>
  <c r="G8" i="2" a="1"/>
  <c r="G8" i="2" s="1"/>
  <c r="G2" i="2" a="1"/>
  <c r="G2" i="2" s="1"/>
  <c r="F5" i="2" a="1"/>
  <c r="F5" i="2" s="1"/>
  <c r="F2" i="2" a="1"/>
  <c r="F2" i="2" s="1"/>
  <c r="E5" i="2" a="1"/>
  <c r="E5" i="2" s="1"/>
  <c r="E2" i="2" a="1"/>
  <c r="E2" i="2" s="1"/>
  <c r="D2" i="2" a="1"/>
  <c r="D2" i="2" s="1"/>
  <c r="E209" i="1"/>
  <c r="E108" i="1"/>
  <c r="E7" i="1"/>
  <c r="H82" i="2" l="1"/>
  <c r="H81" i="2"/>
  <c r="H80" i="2"/>
  <c r="H84" i="2"/>
  <c r="H75" i="2"/>
  <c r="H79" i="2"/>
  <c r="H77" i="2"/>
  <c r="H68" i="2"/>
  <c r="H67" i="2"/>
  <c r="H64" i="2"/>
  <c r="H66" i="2"/>
  <c r="H63" i="2"/>
  <c r="H62" i="2"/>
  <c r="H60" i="2"/>
  <c r="H59" i="2"/>
  <c r="H61" i="2"/>
  <c r="H25" i="2"/>
  <c r="H24" i="2"/>
  <c r="H7" i="2"/>
  <c r="H18" i="2"/>
  <c r="H16" i="2"/>
  <c r="H23" i="2"/>
  <c r="H17" i="2"/>
  <c r="H19" i="2"/>
  <c r="H41" i="2"/>
  <c r="H40" i="2"/>
  <c r="H39" i="2"/>
  <c r="H38" i="2"/>
  <c r="H37" i="2"/>
  <c r="H36" i="2"/>
  <c r="H35" i="2"/>
  <c r="H34" i="2"/>
  <c r="H33" i="2"/>
  <c r="H32" i="2"/>
  <c r="H3" i="2"/>
  <c r="H52" i="2"/>
  <c r="H6" i="2"/>
  <c r="H4" i="2"/>
  <c r="D7" i="2" a="1"/>
  <c r="D7" i="2" s="1"/>
  <c r="H49" i="2"/>
  <c r="H9" i="2"/>
  <c r="H50" i="2"/>
  <c r="H89" i="2"/>
  <c r="H51" i="2"/>
  <c r="H93" i="2"/>
  <c r="H94" i="2"/>
  <c r="H91" i="2"/>
  <c r="H13" i="2"/>
  <c r="H92" i="2"/>
  <c r="H44" i="2"/>
  <c r="H45" i="2"/>
  <c r="H46" i="2"/>
  <c r="H47" i="2"/>
  <c r="H87" i="2"/>
  <c r="H73" i="2"/>
  <c r="H74" i="2"/>
  <c r="H12" i="2"/>
  <c r="H11" i="2"/>
  <c r="H30" i="2"/>
  <c r="H70" i="2"/>
  <c r="H28" i="2"/>
  <c r="H57" i="2"/>
  <c r="H29" i="2"/>
  <c r="H58" i="2"/>
  <c r="H31" i="2"/>
  <c r="H71" i="2"/>
  <c r="H43" i="2"/>
  <c r="H72" i="2"/>
  <c r="H5" i="2"/>
  <c r="H14" i="2"/>
  <c r="H54" i="2"/>
  <c r="H27" i="2"/>
  <c r="H90" i="2"/>
  <c r="H86" i="2"/>
  <c r="H8" i="2"/>
  <c r="H88" i="2"/>
  <c r="H15" i="2"/>
  <c r="H55" i="2"/>
  <c r="H2" i="2"/>
  <c r="H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<sst xmlns="http://schemas.openxmlformats.org/spreadsheetml/2006/main" count="952" uniqueCount="145">
  <si>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</si>
  <si>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</si>
  <si>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</si>
  <si>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</si>
  <si>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</si>
  <si>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</si>
  <si>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</si>
  <si>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</si>
  <si>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</si>
  <si>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</si>
  <si>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</si>
  <si>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</si>
  <si>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</si>
  <si>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</si>
  <si>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</si>
  <si>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</si>
  <si>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</si>
  <si>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</si>
  <si>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</si>
  <si>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</si>
  <si>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</si>
  <si>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</si>
  <si>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</si>
  <si>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</si>
  <si>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</si>
  <si>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</si>
  <si>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</si>
  <si>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</si>
  <si>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</si>
  <si>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</si>
  <si>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</si>
  <si>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</si>
  <si>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</si>
  <si>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</si>
  <si>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</si>
  <si>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</si>
  <si>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</si>
  <si>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</si>
  <si>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</si>
  <si>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</si>
  <si>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</si>
  <si>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</si>
  <si>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</si>
  <si>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</si>
  <si>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</si>
  <si>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</si>
  <si>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</si>
  <si>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</si>
  <si>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</si>
  <si>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</si>
  <si>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</si>
  <si>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</si>
  <si>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</si>
  <si>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</si>
  <si>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</si>
  <si>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</si>
  <si>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</si>
  <si>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</si>
  <si>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</si>
  <si>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</si>
  <si>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</si>
  <si>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</si>
  <si>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</si>
  <si>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</si>
  <si>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</si>
  <si>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</si>
  <si>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</si>
  <si>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</si>
  <si>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</si>
  <si>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</si>
  <si>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</si>
  <si>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</si>
  <si>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</si>
  <si>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</si>
  <si>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</si>
  <si>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</si>
  <si>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</si>
  <si>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</si>
  <si>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</si>
  <si>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</si>
  <si>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</si>
  <si>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</si>
  <si>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</si>
  <si>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</si>
  <si>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</si>
  <si>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</si>
  <si>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</si>
  <si>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</si>
  <si>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</si>
  <si>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</si>
  <si>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</si>
  <si>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</si>
  <si>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</si>
  <si>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</si>
  <si>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</si>
  <si>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</si>
  <si>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</si>
  <si>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</si>
  <si>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</si>
  <si>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</si>
  <si>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</si>
  <si>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Type</t>
  </si>
  <si>
    <t>Tool</t>
  </si>
  <si>
    <t>Accuracy</t>
  </si>
  <si>
    <t>Precision</t>
  </si>
  <si>
    <t>Recall</t>
  </si>
  <si>
    <t>Results by low-level construct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</si>
  <si>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</si>
  <si>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</si>
  <si>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</si>
  <si>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</si>
  <si>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</si>
  <si>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</si>
  <si>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</si>
  <si>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</si>
  <si>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</si>
  <si>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</si>
  <si>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</si>
  <si>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</si>
  <si>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</si>
  <si>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</si>
  <si>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</si>
  <si>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  = TN / (TN + FP)</t>
  </si>
  <si>
    <t>Accuracy = (TP + TN) / N</t>
  </si>
  <si>
    <t>Specificity</t>
  </si>
  <si>
    <t>Mythril unchecked flagged</t>
  </si>
  <si>
    <t>Mythril Unchecked Flagged (=tp)</t>
  </si>
  <si>
    <t>Slither Unchecked Flagged (=tp)</t>
  </si>
  <si>
    <t>Confuzzius Unchecked Flagged (=tp)</t>
  </si>
  <si>
    <t>Contract_address_uc_data2_8; Contract_address_uc_data_8; Contract_uc_data_8</t>
  </si>
  <si>
    <t>F1-Score</t>
  </si>
  <si>
    <t>n function</t>
  </si>
  <si>
    <t>Mythril c+f</t>
  </si>
  <si>
    <t>Slither c+f</t>
  </si>
  <si>
    <t>Confuzzius c+f</t>
  </si>
  <si>
    <t>Mythril f</t>
  </si>
  <si>
    <t>Mythril c</t>
  </si>
  <si>
    <t>n constructor</t>
  </si>
  <si>
    <t>Slither f</t>
  </si>
  <si>
    <t>Slither c</t>
  </si>
  <si>
    <t>Confuzzius f</t>
  </si>
  <si>
    <t>TP = f</t>
  </si>
  <si>
    <t>FP = g</t>
  </si>
  <si>
    <t>TN = i</t>
  </si>
  <si>
    <t>FN =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</si>
</sst>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 Accuracy (Function)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653-445B-B15A-4BA240FFAE5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53-445B-B15A-4BA240FFAE52}"/>
              </c:ext>
            </c:extLst>
          </c:dPt>
          <c:cat>
            <c:strLit>
              <c:ptCount val="3"/>
              <c:pt idx="0">
                <c:v>Mythril</c:v>
              </c:pt>
              <c:pt idx="1">
                <c:v>Slither</c:v>
              </c:pt>
              <c:pt idx="2">
                <c:v>ConFuzzius</c:v>
              </c:pt>
            </c:strLit>
          </c:cat>
          <c:val>
            <c:numRef>
              <c:f>(metrics!$D$3,metrics!$D$6,metrics!$D$9)</c:f>
              <c:numCache>
                <c:formatCode>General</c:formatCode>
                <c:ptCount val="3"/>
                <c:pt idx="0">
                  <c:v>0.83174603174603179</c:v>
                </c:pt>
                <c:pt idx="1">
                  <c:v>0.77777777777777779</c:v>
                </c:pt>
                <c:pt idx="2">
                  <c:v>0.69841269841269837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7-4480-B46F-15163A9F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735"/>
        <c:axId val="46785855"/>
      </c:barChart>
      <c:catAx>
        <c:axId val="468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785855"/>
        <c:crosses val="autoZero"/>
        <c:auto val="1"/>
        <c:lblAlgn val="ctr"/>
        <c:lblOffset val="100"/>
        <c:noMultiLvlLbl val="0"/>
      </c:catAx>
      <c:valAx>
        <c:axId val="4678585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80073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 (Function)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Mythril</c:v>
          </c:tx>
          <c:spPr>
            <a:solidFill>
              <a:schemeClr val="accent1"/>
            </a:solidFill>
          </c:spPr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metrics!$D$59:$D$63</c:f>
              <c:numCache>
                <c:formatCode>General</c:formatCode>
                <c:ptCount val="5"/>
                <c:pt idx="0">
                  <c:v>0.88888888888888884</c:v>
                </c:pt>
                <c:pt idx="1">
                  <c:v>0.88888888888888884</c:v>
                </c:pt>
                <c:pt idx="2">
                  <c:v>0.88888888888888884</c:v>
                </c:pt>
                <c:pt idx="3">
                  <c:v>0.88888888888888884</c:v>
                </c:pt>
                <c:pt idx="4">
                  <c:v>0.60317460317460314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39-4AB8-B987-BB5AFD1CF933}"/>
            </c:ext>
          </c:extLst>
        </c:ser>
        <c:ser>
          <c:idx val="1"/>
          <c:order val="1"/>
          <c:tx>
            <c:v>Slither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metrics!$D$75:$D$79</c:f>
              <c:numCache>
                <c:formatCode>General</c:formatCode>
                <c:ptCount val="5"/>
                <c:pt idx="0">
                  <c:v>0.77777777777777779</c:v>
                </c:pt>
                <c:pt idx="1">
                  <c:v>0.77777777777777779</c:v>
                </c:pt>
                <c:pt idx="2">
                  <c:v>0.77777777777777779</c:v>
                </c:pt>
                <c:pt idx="3">
                  <c:v>0.77777777777777779</c:v>
                </c:pt>
                <c:pt idx="4">
                  <c:v>0.77777777777777779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39-4AB8-B987-BB5AFD1CF933}"/>
            </c:ext>
          </c:extLst>
        </c:ser>
        <c:ser>
          <c:idx val="2"/>
          <c:order val="2"/>
          <c:tx>
            <c:v>Confuzzius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metrics!$D$91:$D$95</c:f>
              <c:numCache>
                <c:formatCode>General</c:formatCode>
                <c:ptCount val="5"/>
                <c:pt idx="0">
                  <c:v>0.69841269841269837</c:v>
                </c:pt>
                <c:pt idx="1">
                  <c:v>0.69841269841269837</c:v>
                </c:pt>
                <c:pt idx="2">
                  <c:v>0.69841269841269837</c:v>
                </c:pt>
                <c:pt idx="3">
                  <c:v>0.69841269841269837</c:v>
                </c:pt>
                <c:pt idx="4">
                  <c:v>0.69841269841269837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39-4AB8-B987-BB5AFD1C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83103"/>
        <c:axId val="388292703"/>
      </c:barChart>
      <c:catAx>
        <c:axId val="38828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Solidity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92703"/>
        <c:crosses val="autoZero"/>
        <c:auto val="1"/>
        <c:lblAlgn val="ctr"/>
        <c:lblOffset val="100"/>
        <c:noMultiLvlLbl val="0"/>
      </c:catAx>
      <c:valAx>
        <c:axId val="3882927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8310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 Mythril (Function)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send</c:v>
              </c:pt>
              <c:pt idx="1">
                <c:v>call</c:v>
              </c:pt>
              <c:pt idx="2">
                <c:v>delegatecall</c:v>
              </c:pt>
              <c:pt idx="3">
                <c:v>staticcall</c:v>
              </c:pt>
              <c:pt idx="4">
                <c:v>callcode</c:v>
              </c:pt>
            </c:strLit>
          </c:cat>
          <c:val>
            <c:numRef>
              <c:f>metrics!$D$16:$D$20</c:f>
              <c:numCache>
                <c:formatCode>General</c:formatCode>
                <c:ptCount val="5"/>
                <c:pt idx="0">
                  <c:v>0.88888888888888884</c:v>
                </c:pt>
                <c:pt idx="1">
                  <c:v>0.82222222222222219</c:v>
                </c:pt>
                <c:pt idx="2">
                  <c:v>0.82222222222222219</c:v>
                </c:pt>
                <c:pt idx="3">
                  <c:v>0.80555555555555558</c:v>
                </c:pt>
                <c:pt idx="4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9-44C2-BABE-BF547D98D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337935"/>
        <c:axId val="1456334095"/>
      </c:barChart>
      <c:catAx>
        <c:axId val="14563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56334095"/>
        <c:crosses val="autoZero"/>
        <c:auto val="1"/>
        <c:lblAlgn val="ctr"/>
        <c:lblOffset val="100"/>
        <c:noMultiLvlLbl val="0"/>
      </c:catAx>
      <c:valAx>
        <c:axId val="14563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563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 per tool</a:t>
            </a:r>
            <a:r>
              <a:rPr lang="de-AT" baseline="0"/>
              <a:t> and low-level construct (Function)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send</c:v>
              </c:pt>
              <c:pt idx="1">
                <c:v>call</c:v>
              </c:pt>
              <c:pt idx="2">
                <c:v>delegatecall</c:v>
              </c:pt>
              <c:pt idx="3">
                <c:v>staticcall</c:v>
              </c:pt>
              <c:pt idx="4">
                <c:v>callcode</c:v>
              </c:pt>
            </c:strLit>
          </c:cat>
          <c:val>
            <c:numRef>
              <c:f>metrics!$D$16:$D$20</c:f>
              <c:numCache>
                <c:formatCode>General</c:formatCode>
                <c:ptCount val="5"/>
                <c:pt idx="0">
                  <c:v>0.88888888888888884</c:v>
                </c:pt>
                <c:pt idx="1">
                  <c:v>0.82222222222222219</c:v>
                </c:pt>
                <c:pt idx="2">
                  <c:v>0.82222222222222219</c:v>
                </c:pt>
                <c:pt idx="3">
                  <c:v>0.80555555555555558</c:v>
                </c:pt>
                <c:pt idx="4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C-4B69-9C51-E2BB21BB7BFE}"/>
            </c:ext>
          </c:extLst>
        </c:ser>
        <c:ser>
          <c:idx val="1"/>
          <c:order val="1"/>
          <c:tx>
            <c:v>Slither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metrics!$D$32:$D$36</c:f>
              <c:numCache>
                <c:formatCode>General</c:formatCode>
                <c:ptCount val="5"/>
                <c:pt idx="0">
                  <c:v>0.77777777777777779</c:v>
                </c:pt>
                <c:pt idx="1">
                  <c:v>0.77777777777777779</c:v>
                </c:pt>
                <c:pt idx="2">
                  <c:v>0.77777777777777779</c:v>
                </c:pt>
                <c:pt idx="3">
                  <c:v>0.77777777777777779</c:v>
                </c:pt>
                <c:pt idx="4">
                  <c:v>0.77777777777777779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C-4B69-9C51-E2BB21BB7BFE}"/>
            </c:ext>
          </c:extLst>
        </c:ser>
        <c:ser>
          <c:idx val="2"/>
          <c:order val="2"/>
          <c:tx>
            <c:v>Confuzzius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metrics!$D$48:$D$52</c:f>
              <c:numCache>
                <c:formatCode>General</c:formatCode>
                <c:ptCount val="5"/>
                <c:pt idx="0">
                  <c:v>0.88888888888888884</c:v>
                </c:pt>
                <c:pt idx="1">
                  <c:v>0.88888888888888884</c:v>
                </c:pt>
                <c:pt idx="2">
                  <c:v>0.55555555555555558</c:v>
                </c:pt>
                <c:pt idx="3">
                  <c:v>0.55555555555555558</c:v>
                </c:pt>
                <c:pt idx="4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8C-4B69-9C51-E2BB21BB7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530831"/>
        <c:axId val="685532271"/>
      </c:barChart>
      <c:catAx>
        <c:axId val="68553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85532271"/>
        <c:crosses val="autoZero"/>
        <c:auto val="1"/>
        <c:lblAlgn val="ctr"/>
        <c:lblOffset val="100"/>
        <c:noMultiLvlLbl val="0"/>
      </c:catAx>
      <c:valAx>
        <c:axId val="685532271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8553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 Accuracy (Constructor)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8C-408B-8FCE-E6C3AEDCE66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8C-408B-8FCE-E6C3AEDCE669}"/>
              </c:ext>
            </c:extLst>
          </c:dPt>
          <c:cat>
            <c:strLit>
              <c:ptCount val="2"/>
              <c:pt idx="0">
                <c:v>Mythril</c:v>
              </c:pt>
              <c:pt idx="1">
                <c:v>Slither</c:v>
              </c:pt>
            </c:strLit>
          </c:cat>
          <c:val>
            <c:numRef>
              <c:f>(metrics!$D$4,metrics!$D$7)</c:f>
              <c:numCache>
                <c:formatCode>General</c:formatCode>
                <c:ptCount val="2"/>
                <c:pt idx="0">
                  <c:v>0.91428571428571426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8C-408B-8FCE-E6C3AEDCE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735"/>
        <c:axId val="46785855"/>
      </c:barChart>
      <c:catAx>
        <c:axId val="468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785855"/>
        <c:crosses val="autoZero"/>
        <c:auto val="1"/>
        <c:lblAlgn val="ctr"/>
        <c:lblOffset val="100"/>
        <c:noMultiLvlLbl val="0"/>
      </c:catAx>
      <c:valAx>
        <c:axId val="4678585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8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</a:t>
            </a:r>
            <a:r>
              <a:rPr lang="de-AT" baseline="0"/>
              <a:t> F1-Score (Function)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45-43E1-8E5B-47EE06EE6B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345-43E1-8E5B-47EE06EE6B4F}"/>
              </c:ext>
            </c:extLst>
          </c:dPt>
          <c:cat>
            <c:strLit>
              <c:ptCount val="3"/>
              <c:pt idx="0">
                <c:v>Mythril</c:v>
              </c:pt>
              <c:pt idx="1">
                <c:v>Slither</c:v>
              </c:pt>
              <c:pt idx="2">
                <c:v>ConFuzzius</c:v>
              </c:pt>
            </c:strLit>
          </c:cat>
          <c:val>
            <c:numRef>
              <c:f>(metrics!$H$3,metrics!$H$6,metrics!$H$9)</c:f>
              <c:numCache>
                <c:formatCode>General</c:formatCode>
                <c:ptCount val="3"/>
                <c:pt idx="0">
                  <c:v>0.81403508771929833</c:v>
                </c:pt>
                <c:pt idx="1">
                  <c:v>0.66666666666666663</c:v>
                </c:pt>
                <c:pt idx="2">
                  <c:v>0.55813953488372092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5-43E1-8E5B-47EE06EE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650416"/>
        <c:axId val="747662416"/>
      </c:barChart>
      <c:catAx>
        <c:axId val="7476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662416"/>
        <c:crosses val="autoZero"/>
        <c:auto val="1"/>
        <c:lblAlgn val="ctr"/>
        <c:lblOffset val="100"/>
        <c:noMultiLvlLbl val="0"/>
      </c:catAx>
      <c:valAx>
        <c:axId val="747662416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65041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</a:t>
            </a:r>
            <a:r>
              <a:rPr lang="de-AT" baseline="0"/>
              <a:t> F1-Score (Constructor)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09-4713-9458-1092591C5302}"/>
              </c:ext>
            </c:extLst>
          </c:dPt>
          <c:cat>
            <c:strLit>
              <c:ptCount val="2"/>
              <c:pt idx="0">
                <c:v>Mythril</c:v>
              </c:pt>
              <c:pt idx="1">
                <c:v>Slither</c:v>
              </c:pt>
            </c:strLit>
          </c:cat>
          <c:val>
            <c:numRef>
              <c:f>(metrics!$H$4,metrics!$H$7)</c:f>
              <c:numCache>
                <c:formatCode>General</c:formatCode>
                <c:ptCount val="2"/>
                <c:pt idx="0">
                  <c:v>0.90625</c:v>
                </c:pt>
                <c:pt idx="1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09-4713-9458-1092591C5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650416"/>
        <c:axId val="747662416"/>
      </c:barChart>
      <c:catAx>
        <c:axId val="7476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662416"/>
        <c:crosses val="autoZero"/>
        <c:auto val="1"/>
        <c:lblAlgn val="ctr"/>
        <c:lblOffset val="100"/>
        <c:noMultiLvlLbl val="0"/>
      </c:catAx>
      <c:valAx>
        <c:axId val="747662416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65041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</a:t>
            </a:r>
            <a:r>
              <a:rPr lang="de-AT" baseline="0"/>
              <a:t> F1-Score (Function + Constructor)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FF-4956-A082-A69173E462F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FF-4956-A082-A69173E462FC}"/>
              </c:ext>
            </c:extLst>
          </c:dPt>
          <c:cat>
            <c:strLit>
              <c:ptCount val="3"/>
              <c:pt idx="0">
                <c:v>Mythril f+c</c:v>
              </c:pt>
              <c:pt idx="1">
                <c:v>Slither f+c</c:v>
              </c:pt>
              <c:pt idx="2">
                <c:v>ConFuzzius f</c:v>
              </c:pt>
            </c:strLit>
          </c:cat>
          <c:val>
            <c:numRef>
              <c:f>(metrics!$H$3,metrics!$H$6,metrics!$H$9)</c:f>
              <c:numCache>
                <c:formatCode>General</c:formatCode>
                <c:ptCount val="3"/>
                <c:pt idx="0">
                  <c:v>0.81403508771929833</c:v>
                </c:pt>
                <c:pt idx="1">
                  <c:v>0.66666666666666663</c:v>
                </c:pt>
                <c:pt idx="2">
                  <c:v>0.55813953488372092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FF-4956-A082-A69173E462F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FFF-4956-A082-A69173E462F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FF-4956-A082-A69173E462FC}"/>
              </c:ext>
            </c:extLst>
          </c:dPt>
          <c:cat>
            <c:strLit>
              <c:ptCount val="3"/>
              <c:pt idx="0">
                <c:v>Mythril f+c</c:v>
              </c:pt>
              <c:pt idx="1">
                <c:v>Slither f+c</c:v>
              </c:pt>
              <c:pt idx="2">
                <c:v>ConFuzzius f</c:v>
              </c:pt>
            </c:strLit>
          </c:cat>
          <c:val>
            <c:numRef>
              <c:f>(metrics!$H$4,metrics!$H$7)</c:f>
              <c:numCache>
                <c:formatCode>General</c:formatCode>
                <c:ptCount val="2"/>
                <c:pt idx="0">
                  <c:v>0.90625</c:v>
                </c:pt>
                <c:pt idx="1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FF-4956-A082-A69173E4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650416"/>
        <c:axId val="747662416"/>
      </c:barChart>
      <c:catAx>
        <c:axId val="7476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662416"/>
        <c:crosses val="autoZero"/>
        <c:auto val="1"/>
        <c:lblAlgn val="ctr"/>
        <c:lblOffset val="100"/>
        <c:noMultiLvlLbl val="0"/>
      </c:catAx>
      <c:valAx>
        <c:axId val="747662416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65041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177594</xdr:colOff>
      <xdr:row>0</xdr:row>
      <xdr:rowOff>138397</xdr:rowOff>
    </xdr:from>
    <xdr:to>
      <xdr:col>6</xdr:col>
      <xdr:colOff>177594</xdr:colOff>
      <xdr:row>15</xdr:row>
      <xdr:rowOff>138397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C2BA7E-F299-8AF1-9AB0-A1EBDFE6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183891</xdr:colOff>
      <xdr:row>36</xdr:row>
      <xdr:rowOff>127535</xdr:rowOff>
    </xdr:from>
    <xdr:to>
      <xdr:col>6</xdr:col>
      <xdr:colOff>183891</xdr:colOff>
      <xdr:row>51</xdr:row>
      <xdr:rowOff>89196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B44F49-381A-9BFA-D3DF-9BCA7D28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189948</xdr:colOff>
      <xdr:row>52</xdr:row>
      <xdr:rowOff>101255</xdr:rowOff>
    </xdr:from>
    <xdr:to>
      <xdr:col>6</xdr:col>
      <xdr:colOff>181386</xdr:colOff>
      <xdr:row>67</xdr:row>
      <xdr:rowOff>61871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665AAF-2E06-C830-2709-0C1A3DC57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682</xdr:colOff>
      <xdr:row>52</xdr:row>
      <xdr:rowOff>105761</xdr:rowOff>
    </xdr:from>
    <xdr:to>
      <xdr:col>13</xdr:col>
      <xdr:colOff>15267</xdr:colOff>
      <xdr:row>67</xdr:row>
      <xdr:rowOff>91724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5C931C0-D85E-CE13-02EC-FA02C0A5B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13</xdr:col>
      <xdr:colOff>0</xdr:colOff>
      <xdr:row>15</xdr:row>
      <xdr:rowOff>182671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F8638E7-D53A-4F30-949A-B034F4A91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185702</xdr:colOff>
      <xdr:row>17</xdr:row>
      <xdr:rowOff>52475</xdr:rowOff>
    </xdr:from>
    <xdr:to>
      <xdr:col>6</xdr:col>
      <xdr:colOff>196435</xdr:colOff>
      <xdr:row>31</xdr:row>
      <xdr:rowOff>166238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5DB979A-FE8B-9890-AFBF-B0408AC48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722586</xdr:colOff>
      <xdr:row>17</xdr:row>
      <xdr:rowOff>43793</xdr:rowOff>
    </xdr:from>
    <xdr:to>
      <xdr:col>12</xdr:col>
      <xdr:colOff>733319</xdr:colOff>
      <xdr:row>31</xdr:row>
      <xdr:rowOff>157556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8F28604F-1762-4554-A266-E6A6D6BF3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381000</xdr:colOff>
      <xdr:row>17</xdr:row>
      <xdr:rowOff>52916</xdr:rowOff>
    </xdr:from>
    <xdr:to>
      <xdr:col>19</xdr:col>
      <xdr:colOff>391733</xdr:colOff>
      <xdr:row>31</xdr:row>
      <xdr:rowOff>166679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BC8452AD-BCA8-4883-BAF8-BD3F8644D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N303"/>
  <sheetViews>
    <sheetView zoomScale="81" zoomScaleNormal="70" workbookViewId="0">
      <pane ySplit="1" topLeftCell="A162" activePane="bottomLeft" state="frozen"/>
      <selection pane="bottomLeft" activeCell="E153" sqref="E153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4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4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4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  <c r="N3" t="s">
        <v>125</v>
      </c>
    </row>
    <row r="4" spans="1:14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4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4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4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4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4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4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4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4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4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4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4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4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28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8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8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8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4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4C76-8770-46BA-BF7E-6B24BFF81621}">
  <dimension ref="A1:M62"/>
  <sheetViews>
    <sheetView zoomScale="80" zoomScaleNormal="100" workbookViewId="0">
      <pane ySplit="1" topLeftCell="A2" activePane="bottomLeft" state="frozen"/>
      <selection pane="bottomLeft" activeCell="K22" sqref="K22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37</v>
      </c>
      <c r="C2" s="17" t="s">
        <v>9</v>
      </c>
      <c r="D2" s="17" t="s">
        <v>14</v>
      </c>
      <c r="E2" s="37">
        <v>15</v>
      </c>
      <c r="F2" s="17">
        <v>0</v>
      </c>
      <c r="G2" s="17">
        <v>0</v>
      </c>
      <c r="H2" s="17">
        <v>0</v>
      </c>
      <c r="I2" s="17">
        <v>15</v>
      </c>
      <c r="J2" s="8"/>
      <c r="K2" s="8"/>
    </row>
    <row r="3" spans="1:13" x14ac:dyDescent="0.35">
      <c r="C3" s="18" t="s">
        <v>10</v>
      </c>
      <c r="D3" s="18" t="s">
        <v>14</v>
      </c>
      <c r="E3" s="38">
        <v>5</v>
      </c>
      <c r="F3" s="18">
        <v>0</v>
      </c>
      <c r="G3" s="18">
        <v>0</v>
      </c>
      <c r="H3" s="18">
        <v>0</v>
      </c>
      <c r="I3" s="18">
        <v>5</v>
      </c>
      <c r="J3" s="2"/>
      <c r="K3" s="2"/>
    </row>
    <row r="4" spans="1:13" x14ac:dyDescent="0.35">
      <c r="C4" s="18" t="s">
        <v>11</v>
      </c>
      <c r="D4" s="18" t="s">
        <v>14</v>
      </c>
      <c r="E4" s="38">
        <v>5</v>
      </c>
      <c r="F4" s="18">
        <v>0</v>
      </c>
      <c r="G4" s="18">
        <v>0</v>
      </c>
      <c r="H4" s="18">
        <v>0</v>
      </c>
      <c r="I4" s="18">
        <v>5</v>
      </c>
      <c r="J4" s="2"/>
      <c r="K4" s="2"/>
    </row>
    <row r="5" spans="1:13" x14ac:dyDescent="0.35">
      <c r="C5" s="18" t="s">
        <v>28</v>
      </c>
      <c r="D5" s="18" t="s">
        <v>14</v>
      </c>
      <c r="E5" s="38">
        <v>5</v>
      </c>
      <c r="F5" s="18">
        <v>0</v>
      </c>
      <c r="G5" s="18">
        <v>0</v>
      </c>
      <c r="H5" s="18">
        <v>0</v>
      </c>
      <c r="I5" s="18">
        <v>5</v>
      </c>
      <c r="J5" s="2"/>
      <c r="K5" s="2"/>
    </row>
    <row r="6" spans="1:13" x14ac:dyDescent="0.35">
      <c r="C6" s="19" t="s">
        <v>20</v>
      </c>
      <c r="D6" s="19" t="s">
        <v>14</v>
      </c>
      <c r="E6" s="39">
        <v>15</v>
      </c>
      <c r="F6" s="19">
        <v>15</v>
      </c>
      <c r="G6" s="19">
        <v>0</v>
      </c>
      <c r="H6" s="19">
        <v>0</v>
      </c>
      <c r="I6" s="19">
        <v>0</v>
      </c>
      <c r="J6" s="8"/>
      <c r="K6" s="8"/>
      <c r="L6" s="6"/>
    </row>
    <row r="7" spans="1:13" x14ac:dyDescent="0.35">
      <c r="C7" s="20" t="s">
        <v>21</v>
      </c>
      <c r="D7" s="20" t="s">
        <v>14</v>
      </c>
      <c r="E7" s="40">
        <v>5</v>
      </c>
      <c r="F7" s="20">
        <v>5</v>
      </c>
      <c r="G7" s="20">
        <v>0</v>
      </c>
      <c r="H7" s="20">
        <v>0</v>
      </c>
      <c r="I7" s="20">
        <v>0</v>
      </c>
      <c r="J7" s="2"/>
      <c r="K7" s="2"/>
    </row>
    <row r="8" spans="1:13" x14ac:dyDescent="0.35">
      <c r="C8" s="20" t="s">
        <v>22</v>
      </c>
      <c r="D8" s="20" t="s">
        <v>14</v>
      </c>
      <c r="E8" s="40">
        <v>5</v>
      </c>
      <c r="F8" s="20">
        <v>5</v>
      </c>
      <c r="G8" s="20">
        <v>0</v>
      </c>
      <c r="H8" s="20">
        <v>0</v>
      </c>
      <c r="I8" s="20">
        <v>0</v>
      </c>
      <c r="J8" s="2"/>
      <c r="K8" s="2"/>
    </row>
    <row r="9" spans="1:13" x14ac:dyDescent="0.35">
      <c r="C9" s="20" t="s">
        <v>29</v>
      </c>
      <c r="D9" s="20" t="s">
        <v>14</v>
      </c>
      <c r="E9" s="40">
        <v>5</v>
      </c>
      <c r="F9" s="20">
        <v>5</v>
      </c>
      <c r="G9" s="20">
        <v>0</v>
      </c>
      <c r="H9" s="20">
        <v>0</v>
      </c>
      <c r="I9" s="20">
        <v>0</v>
      </c>
      <c r="J9" s="2"/>
      <c r="K9" s="2"/>
    </row>
    <row r="10" spans="1:13" x14ac:dyDescent="0.35">
      <c r="B10" t="s">
        <v>41</v>
      </c>
      <c r="C10" s="21" t="s">
        <v>9</v>
      </c>
      <c r="D10" s="21" t="s">
        <v>14</v>
      </c>
      <c r="E10" s="41">
        <v>15</v>
      </c>
      <c r="F10" s="21">
        <v>0</v>
      </c>
      <c r="G10" s="21">
        <v>0</v>
      </c>
      <c r="H10" s="21">
        <v>0</v>
      </c>
      <c r="I10" s="21">
        <v>15</v>
      </c>
      <c r="J10" s="8"/>
      <c r="K10" s="8"/>
    </row>
    <row r="11" spans="1:13" x14ac:dyDescent="0.35">
      <c r="C11" s="22" t="s">
        <v>10</v>
      </c>
      <c r="D11" s="22" t="s">
        <v>14</v>
      </c>
      <c r="E11" s="42">
        <v>5</v>
      </c>
      <c r="F11" s="22">
        <v>0</v>
      </c>
      <c r="G11" s="22">
        <v>0</v>
      </c>
      <c r="H11" s="22">
        <v>0</v>
      </c>
      <c r="I11" s="22">
        <v>5</v>
      </c>
      <c r="J11" s="2"/>
      <c r="K11" s="2"/>
    </row>
    <row r="12" spans="1:13" x14ac:dyDescent="0.35">
      <c r="C12" s="22" t="s">
        <v>11</v>
      </c>
      <c r="D12" s="22" t="s">
        <v>14</v>
      </c>
      <c r="E12" s="42">
        <v>5</v>
      </c>
      <c r="F12" s="22">
        <v>0</v>
      </c>
      <c r="G12" s="22">
        <v>0</v>
      </c>
      <c r="H12" s="22">
        <v>0</v>
      </c>
      <c r="I12" s="22">
        <v>5</v>
      </c>
      <c r="J12" s="2"/>
      <c r="K12" s="2"/>
    </row>
    <row r="13" spans="1:13" x14ac:dyDescent="0.35">
      <c r="C13" s="22" t="s">
        <v>28</v>
      </c>
      <c r="D13" s="22" t="s">
        <v>14</v>
      </c>
      <c r="E13" s="42">
        <v>5</v>
      </c>
      <c r="F13" s="22">
        <v>0</v>
      </c>
      <c r="G13" s="22">
        <v>0</v>
      </c>
      <c r="H13" s="22">
        <v>0</v>
      </c>
      <c r="I13" s="22">
        <v>5</v>
      </c>
      <c r="J13" s="2"/>
      <c r="K13" s="2"/>
    </row>
    <row r="14" spans="1:13" x14ac:dyDescent="0.35">
      <c r="C14" s="23" t="s">
        <v>20</v>
      </c>
      <c r="D14" s="23" t="s">
        <v>14</v>
      </c>
      <c r="E14" s="43">
        <v>15</v>
      </c>
      <c r="F14" s="23">
        <v>6</v>
      </c>
      <c r="G14" s="23">
        <v>0</v>
      </c>
      <c r="H14" s="23">
        <v>9</v>
      </c>
      <c r="I14" s="23">
        <v>0</v>
      </c>
      <c r="J14" s="8"/>
      <c r="K14" s="8"/>
    </row>
    <row r="15" spans="1:13" x14ac:dyDescent="0.35">
      <c r="C15" s="24" t="s">
        <v>21</v>
      </c>
      <c r="D15" s="24" t="s">
        <v>14</v>
      </c>
      <c r="E15" s="44">
        <v>5</v>
      </c>
      <c r="F15" s="24">
        <v>2</v>
      </c>
      <c r="G15" s="24">
        <v>0</v>
      </c>
      <c r="H15" s="24">
        <v>3</v>
      </c>
      <c r="I15" s="24">
        <v>0</v>
      </c>
      <c r="J15" s="2"/>
      <c r="K15" s="45" t="s">
        <v>129</v>
      </c>
    </row>
    <row r="16" spans="1:13" x14ac:dyDescent="0.35">
      <c r="C16" s="24" t="s">
        <v>22</v>
      </c>
      <c r="D16" s="24" t="s">
        <v>14</v>
      </c>
      <c r="E16" s="44">
        <v>5</v>
      </c>
      <c r="F16" s="24">
        <v>2</v>
      </c>
      <c r="G16" s="24">
        <v>0</v>
      </c>
      <c r="H16" s="24">
        <v>3</v>
      </c>
      <c r="I16" s="24">
        <v>0</v>
      </c>
      <c r="J16" s="2"/>
      <c r="K16" s="45" t="s">
        <v>129</v>
      </c>
    </row>
    <row r="17" spans="3:11" x14ac:dyDescent="0.35">
      <c r="C17" s="24" t="s">
        <v>29</v>
      </c>
      <c r="D17" s="24" t="s">
        <v>14</v>
      </c>
      <c r="E17" s="44">
        <v>5</v>
      </c>
      <c r="F17" s="24">
        <v>2</v>
      </c>
      <c r="G17" s="24">
        <v>0</v>
      </c>
      <c r="H17" s="24">
        <v>3</v>
      </c>
      <c r="I17" s="24">
        <v>0</v>
      </c>
      <c r="J17" s="2"/>
      <c r="K17" s="45" t="s">
        <v>129</v>
      </c>
    </row>
    <row r="18" spans="3:11" x14ac:dyDescent="0.35">
      <c r="K18" s="2"/>
    </row>
    <row r="19" spans="3:11" x14ac:dyDescent="0.35">
      <c r="K19" s="2"/>
    </row>
    <row r="20" spans="3:11" x14ac:dyDescent="0.35">
      <c r="K20" s="2"/>
    </row>
    <row r="21" spans="3:11" x14ac:dyDescent="0.35">
      <c r="K21" s="2"/>
    </row>
    <row r="22" spans="3:11" x14ac:dyDescent="0.35">
      <c r="K22" s="2"/>
    </row>
    <row r="23" spans="3:11" x14ac:dyDescent="0.35">
      <c r="K23" s="2"/>
    </row>
    <row r="24" spans="3:11" x14ac:dyDescent="0.35">
      <c r="K24" s="2"/>
    </row>
    <row r="25" spans="3:11" x14ac:dyDescent="0.35">
      <c r="K25" s="2"/>
    </row>
    <row r="26" spans="3:11" x14ac:dyDescent="0.35">
      <c r="K26" s="2"/>
    </row>
    <row r="27" spans="3:11" x14ac:dyDescent="0.35">
      <c r="K27" s="2"/>
    </row>
    <row r="28" spans="3:11" x14ac:dyDescent="0.35">
      <c r="K28" s="2"/>
    </row>
    <row r="29" spans="3:11" x14ac:dyDescent="0.35">
      <c r="K29" s="2"/>
    </row>
    <row r="30" spans="3:11" x14ac:dyDescent="0.35">
      <c r="K30" s="2"/>
    </row>
    <row r="31" spans="3:11" x14ac:dyDescent="0.35">
      <c r="K31" s="2"/>
    </row>
    <row r="32" spans="3:11" x14ac:dyDescent="0.35">
      <c r="K32" s="2"/>
    </row>
    <row r="33" spans="11:11" x14ac:dyDescent="0.35">
      <c r="K33" s="2"/>
    </row>
    <row r="34" spans="11:11" x14ac:dyDescent="0.35">
      <c r="K34" s="2"/>
    </row>
    <row r="35" spans="11:11" x14ac:dyDescent="0.35">
      <c r="K35" s="2"/>
    </row>
    <row r="36" spans="11:11" x14ac:dyDescent="0.35">
      <c r="K36" s="2"/>
    </row>
    <row r="37" spans="11:11" x14ac:dyDescent="0.35">
      <c r="K37" s="2"/>
    </row>
    <row r="38" spans="11:11" x14ac:dyDescent="0.35">
      <c r="K38" s="2"/>
    </row>
    <row r="39" spans="11:11" x14ac:dyDescent="0.35">
      <c r="K39" s="2"/>
    </row>
    <row r="40" spans="11:11" x14ac:dyDescent="0.35">
      <c r="K40" s="2"/>
    </row>
    <row r="41" spans="11:11" x14ac:dyDescent="0.35">
      <c r="K41" s="2"/>
    </row>
    <row r="42" spans="11:11" x14ac:dyDescent="0.35">
      <c r="K42" s="2"/>
    </row>
    <row r="59" spans="11:11" x14ac:dyDescent="0.35">
      <c r="K59" s="2"/>
    </row>
    <row r="60" spans="11:11" x14ac:dyDescent="0.35">
      <c r="K60" s="2"/>
    </row>
    <row r="61" spans="11:11" x14ac:dyDescent="0.35">
      <c r="K61" s="2"/>
    </row>
    <row r="62" spans="11:11" x14ac:dyDescent="0.35">
      <c r="K6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U95"/>
  <sheetViews>
    <sheetView tabSelected="1" zoomScale="105" workbookViewId="0">
      <selection activeCell="H7" sqref="H7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21" x14ac:dyDescent="0.35">
      <c r="A1" s="1" t="s">
        <v>101</v>
      </c>
      <c r="B1" s="1" t="s">
        <v>102</v>
      </c>
      <c r="C1" s="1" t="s">
        <v>107</v>
      </c>
      <c r="D1" s="1" t="s">
        <v>103</v>
      </c>
      <c r="E1" s="1" t="s">
        <v>104</v>
      </c>
      <c r="F1" s="1" t="s">
        <v>105</v>
      </c>
      <c r="G1" s="1" t="s">
        <v>124</v>
      </c>
      <c r="H1" s="1" t="s">
        <v>130</v>
      </c>
      <c r="J1" t="s">
        <v>123</v>
      </c>
      <c r="L1" s="1" t="s">
        <v>4</v>
      </c>
      <c r="M1" s="1" t="s">
        <v>131</v>
      </c>
      <c r="N1" s="1" t="s">
        <v>137</v>
      </c>
      <c r="O1" s="1"/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 x14ac:dyDescent="0.35">
      <c r="A2" t="s">
        <v>100</v>
      </c>
      <c r="B2" t="s">
        <v>132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H2">
        <f>(2*E2*F2)/(E2+F2)</f>
        <v>0.85767097966728278</v>
      </c>
      <c r="J2" t="s">
        <v>120</v>
      </c>
      <c r="L2">
        <v>595</v>
      </c>
      <c r="M2">
        <v>315</v>
      </c>
      <c r="N2">
        <f>L2-M2</f>
        <v>280</v>
      </c>
      <c r="P2">
        <v>2</v>
      </c>
      <c r="Q2">
        <v>101</v>
      </c>
      <c r="R2">
        <v>103</v>
      </c>
      <c r="S2">
        <v>202</v>
      </c>
      <c r="T2">
        <v>204</v>
      </c>
      <c r="U2">
        <v>303</v>
      </c>
    </row>
    <row r="3" spans="1:21" x14ac:dyDescent="0.35">
      <c r="B3" s="47" t="s">
        <v>135</v>
      </c>
      <c r="C3" s="47"/>
      <c r="D3" s="47" cm="1">
        <f t="array" ref="D3">_xlfn.LET(
  _xlpm.valuesF, SUM(INDEX(results!F:F, _xlfn.SEQUENCE(5,1,2,20)),INDEX(results!F:F, _xlfn.SEQUENCE(5,1,7,20))),
  _xlpm.valuesI, SUM(INDEX(results!I:I, _xlfn.SEQUENCE(5,1,2,20)),INDEX(results!I:I, _xlfn.SEQUENCE(5,1,7,20))),
  SUM(_xlpm.valuesF + _xlpm.valuesI)/M2
)</f>
        <v>0.83174603174603179</v>
      </c>
      <c r="E3" s="47" cm="1">
        <f t="array" ref="E3">_xlfn.LET(
 _xlpm.valuesF, SUM(INDEX(results!F:F, _xlfn.SEQUENCE(5,1,2,20)),INDEX(results!F:F, _xlfn.SEQUENCE(5,1,7,20))),
 _xlpm.valuesG, SUM(INDEX(results!G:G, _xlfn.SEQUENCE(5,1,2,20)),INDEX(results!G:G, _xlfn.SEQUENCE(5,1,7,20))),
 _xlpm.valuesF / (_xlpm.valuesF + _xlpm.valuesG)
)</f>
        <v>0.8</v>
      </c>
      <c r="F3" s="47" cm="1">
        <f t="array" ref="F3">_xlfn.LET(
 _xlpm.valuesF, SUM(INDEX(results!F:F, _xlfn.SEQUENCE(5,1,2,20)),INDEX(results!F:F, _xlfn.SEQUENCE(5,1,7,20))),
 _xlpm.valuesH, SUM(INDEX(results!H:H, _xlfn.SEQUENCE(5,1,2,20)),INDEX(results!H:H, _xlfn.SEQUENCE(5,1,7,20))),
 _xlpm.valuesF / (_xlpm.valuesF + _xlpm.valuesH)
)</f>
        <v>0.82857142857142863</v>
      </c>
      <c r="G3" s="47" cm="1">
        <f t="array" ref="G3">_xlfn.LET(
 _xlpm.valuesI, SUM(INDEX(results!I:I, _xlfn.SEQUENCE(5,1,2,20)),INDEX(results!I:I, _xlfn.SEQUENCE(5,1,7,20))),
 _xlpm.valuesG, SUM(INDEX(results!G:G, _xlfn.SEQUENCE(5,1,2,20)),INDEX(results!G:G, _xlfn.SEQUENCE(5,1,7,20))),
 _xlpm.valuesI / (_xlpm.valuesI + _xlpm.valuesG)
)</f>
        <v>0.8342857142857143</v>
      </c>
      <c r="H3" s="47">
        <f t="shared" ref="H3:H4" si="0">(2*E3*F3)/(E3+F3)</f>
        <v>0.81403508771929833</v>
      </c>
      <c r="J3" t="s">
        <v>121</v>
      </c>
    </row>
    <row r="4" spans="1:21" x14ac:dyDescent="0.35">
      <c r="B4" s="10" t="s">
        <v>136</v>
      </c>
      <c r="C4" s="10"/>
      <c r="D4" s="10" cm="1">
        <f t="array" ref="D4">_xlfn.LET(
  _xlpm.valuesF, SUM(INDEX(results!F:F, _xlfn.SEQUENCE(5,1,12,20)),INDEX(results!F:F, _xlfn.SEQUENCE(5,1,17,20))),
  _xlpm.valuesI, SUM(INDEX(results!I:I, _xlfn.SEQUENCE(5,1,12,20)),INDEX(results!I:I, _xlfn.SEQUENCE(5,1,17,20))),
  SUM(_xlpm.valuesF + _xlpm.valuesI)/N2
)</f>
        <v>0.91428571428571426</v>
      </c>
      <c r="E4" s="10" cm="1">
        <f t="array" ref="E4">_xlfn.LET(
 _xlpm.valuesF, SUM(INDEX(results!F:F, _xlfn.SEQUENCE(5,1,12,20)),INDEX(results!F:F, _xlfn.SEQUENCE(5,1,17,20))),
 _xlpm.valuesG, SUM(INDEX(results!G:G, _xlfn.SEQUENCE(5,1,12,20)),INDEX(results!G:G, _xlfn.SEQUENCE(5,1,17,20))),
 _xlpm.valuesF / (_xlpm.valuesF + _xlpm.valuesG)
)</f>
        <v>1</v>
      </c>
      <c r="F4" s="10" cm="1">
        <f t="array" ref="F4">_xlfn.LET(
 _xlpm.valuesF, SUM(INDEX(results!F:F, _xlfn.SEQUENCE(5,1,12,20)),INDEX(results!F:F, _xlfn.SEQUENCE(5,1,17,20))),
 _xlpm.valuesH, SUM(INDEX(results!H:H, _xlfn.SEQUENCE(5,1,12,20)),INDEX(results!H:H, _xlfn.SEQUENCE(5,1,17,20))),
 _xlpm.valuesF / (_xlpm.valuesF + _xlpm.valuesH)
)</f>
        <v>0.82857142857142863</v>
      </c>
      <c r="G4" s="10" cm="1">
        <f t="array" ref="G4">_xlfn.LET(
 _xlpm.valuesI, SUM(INDEX(results!I:I, _xlfn.SEQUENCE(5,1,12,20)),INDEX(results!I:I, _xlfn.SEQUENCE(5,1,17,20))),
 _xlpm.valuesG, SUM(INDEX(results!G:G, _xlfn.SEQUENCE(5,1,12,20)),INDEX(results!G:G, _xlfn.SEQUENCE(5,1,17,20))),
 _xlpm.valuesI / (_xlpm.valuesI + _xlpm.valuesG)
)</f>
        <v>1</v>
      </c>
      <c r="H4" s="10">
        <f t="shared" si="0"/>
        <v>0.90625</v>
      </c>
      <c r="J4" t="s">
        <v>122</v>
      </c>
      <c r="L4" t="s">
        <v>141</v>
      </c>
    </row>
    <row r="5" spans="1:21" x14ac:dyDescent="0.35">
      <c r="B5" t="s">
        <v>133</v>
      </c>
      <c r="D5" cm="1">
        <f t="array" ref="D5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0.76470588235294112</v>
      </c>
      <c r="E5" cm="1">
        <f t="array" ref="E5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5" cm="1">
        <f t="array" ref="F5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5" cm="1">
        <f t="array" ref="G5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H5">
        <f>(2*E5*F5)/(E5+F5)</f>
        <v>0.66666666666666663</v>
      </c>
      <c r="L5" t="s">
        <v>143</v>
      </c>
    </row>
    <row r="6" spans="1:21" x14ac:dyDescent="0.35">
      <c r="B6" s="47" t="s">
        <v>138</v>
      </c>
      <c r="C6" s="47"/>
      <c r="D6" s="47" cm="1">
        <f t="array" ref="D6">_xlfn.LET(
  _xlpm.valuesF, SUM(INDEX(results!F:F, _xlfn.SEQUENCE(5,1,103,20)),INDEX(results!F:F, _xlfn.SEQUENCE(5,1,108,20))),
  _xlpm.valuesI, SUM(INDEX(results!I:I, _xlfn.SEQUENCE(5,1,103,20)),INDEX(results!I:I, _xlfn.SEQUENCE(5,1,108,20))),
  SUM(_xlpm.valuesF + _xlpm.valuesI)/M2
)</f>
        <v>0.77777777777777779</v>
      </c>
      <c r="E6" s="47" cm="1">
        <f t="array" ref="E6">_xlfn.LET(
 _xlpm.valuesF, SUM(INDEX(results!F:F, _xlfn.SEQUENCE(5,1,103,20)),INDEX(results!F:F, _xlfn.SEQUENCE(5,1,108,20))),
 _xlpm.valuesG, SUM(INDEX(results!G:G, _xlfn.SEQUENCE(5,1,103,20)),INDEX(results!G:G, _xlfn.SEQUENCE(5,1,108,20))),
 _xlpm.valuesF / (_xlpm.valuesF + _xlpm.valuesG)
)</f>
        <v>1</v>
      </c>
      <c r="F6" s="47" cm="1">
        <f t="array" ref="F6">_xlfn.LET(
 _xlpm.valuesF, SUM(INDEX(results!F:F, _xlfn.SEQUENCE(5,1,103,20)),INDEX(results!F:F, _xlfn.SEQUENCE(5,1,108,20))),
 _xlpm.valuesH, SUM(INDEX(results!H:H, _xlfn.SEQUENCE(5,1,103,20)),INDEX(results!H:H, _xlfn.SEQUENCE(5,1,108,20))),
 _xlpm.valuesF / (_xlpm.valuesF + _xlpm.valuesH)
)</f>
        <v>0.5</v>
      </c>
      <c r="G6" s="47" cm="1">
        <f t="array" ref="G6">_xlfn.LET(
 _xlpm.valuesI, SUM(INDEX(results!I:I, _xlfn.SEQUENCE(5,1,103,20)),INDEX(results!I:I, _xlfn.SEQUENCE(5,1,108,20))),
 _xlpm.valuesG, SUM(INDEX(results!G:G, _xlfn.SEQUENCE(5,1,103,20)),INDEX(results!G:G, _xlfn.SEQUENCE(5,1,108,20))),
 _xlpm.valuesI / (_xlpm.valuesI + _xlpm.valuesG)
)</f>
        <v>1</v>
      </c>
      <c r="H6" s="47">
        <f t="shared" ref="H6:H7" si="1">(2*E6*F6)/(E6+F6)</f>
        <v>0.66666666666666663</v>
      </c>
      <c r="L6" t="s">
        <v>142</v>
      </c>
    </row>
    <row r="7" spans="1:21" x14ac:dyDescent="0.35">
      <c r="B7" s="10" t="s">
        <v>139</v>
      </c>
      <c r="C7" s="10"/>
      <c r="D7" s="10" cm="1">
        <f t="array" ref="D7">_xlfn.LET(
  _xlpm.valuesF, SUM(INDEX(results!F:F, _xlfn.SEQUENCE(5,1,113,20)),INDEX(results!F:F, _xlfn.SEQUENCE(5,1,118,20))),
  _xlpm.valuesI, SUM(INDEX(results!I:I, _xlfn.SEQUENCE(5,1,113,20)),INDEX(results!I:I, _xlfn.SEQUENCE(5,1,118,20))),
  SUM(_xlpm.valuesF + _xlpm.valuesI)/N2
)</f>
        <v>0.75</v>
      </c>
      <c r="E7" s="10" cm="1">
        <f t="array" ref="E7">_xlfn.LET(
 _xlpm.valuesF, SUM(INDEX(results!F:F, _xlfn.SEQUENCE(5,1,113,20)),INDEX(results!F:F, _xlfn.SEQUENCE(5,1,118,20))),
 _xlpm.valuesG, SUM(INDEX(results!G:G, _xlfn.SEQUENCE(5,1,113,20)),INDEX(results!G:G, _xlfn.SEQUENCE(5,1,118,20))),
 _xlpm.valuesF / (_xlpm.valuesF + _xlpm.valuesG)
)</f>
        <v>1</v>
      </c>
      <c r="F7" s="10" cm="1">
        <f t="array" ref="F7">_xlfn.LET(
 _xlpm.valuesF, SUM(INDEX(results!F:F, _xlfn.SEQUENCE(5,1,113,20)),INDEX(results!F:F, _xlfn.SEQUENCE(5,1,118,20))),
 _xlpm.valuesH, SUM(INDEX(results!H:H, _xlfn.SEQUENCE(5,1,113,20)),INDEX(results!H:H, _xlfn.SEQUENCE(5,1,118,20))),
 _xlpm.valuesF / (_xlpm.valuesF + _xlpm.valuesH)
)</f>
        <v>0.5</v>
      </c>
      <c r="G7" s="10" cm="1">
        <f t="array" ref="G7">_xlfn.LET(
 _xlpm.valuesI, SUM(INDEX(results!I:I, _xlfn.SEQUENCE(5,1,113,20)),INDEX(results!I:I, _xlfn.SEQUENCE(5,1,118,20))),
 _xlpm.valuesG, SUM(INDEX(results!G:G, _xlfn.SEQUENCE(5,1,113,20)),INDEX(results!G:G, _xlfn.SEQUENCE(5,1,118,20))),
 _xlpm.valuesI / (_xlpm.valuesI + _xlpm.valuesG)
)</f>
        <v>1</v>
      </c>
      <c r="H7" s="10">
        <f t="shared" si="1"/>
        <v>0.66666666666666663</v>
      </c>
      <c r="L7" t="s">
        <v>144</v>
      </c>
    </row>
    <row r="8" spans="1:21" x14ac:dyDescent="0.35">
      <c r="B8" t="s">
        <v>134</v>
      </c>
      <c r="D8" cm="1">
        <f t="array" ref="D8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8" cm="1">
        <f t="array" ref="E8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8" cm="1">
        <f t="array" ref="F8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8" cm="1">
        <f t="array" ref="G8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H8">
        <f>(2*E8*F8)/(E8+F8)</f>
        <v>0.3380281690140845</v>
      </c>
    </row>
    <row r="9" spans="1:21" x14ac:dyDescent="0.35">
      <c r="B9" s="47" t="s">
        <v>140</v>
      </c>
      <c r="C9" s="47"/>
      <c r="D9" s="47" cm="1">
        <f t="array" ref="D9">_xlfn.LET(
  _xlpm.valuesF, SUM(INDEX(results!F:F, _xlfn.SEQUENCE(5,1,204,20)),INDEX(results!F:F, _xlfn.SEQUENCE(5,1,209,20))),
  _xlpm.valuesI, SUM(INDEX(results!I:I, _xlfn.SEQUENCE(5,1,204,20)),INDEX(results!I:I, _xlfn.SEQUENCE(5,1,209,20))),
  SUM(_xlpm.valuesF + _xlpm.valuesI)/M2
)</f>
        <v>0.69841269841269837</v>
      </c>
      <c r="E9" s="47" cm="1">
        <f t="array" ref="E9">_xlfn.LET(
 _xlpm.valuesF, SUM(INDEX(results!F:F, _xlfn.SEQUENCE(5,1,204,20)),INDEX(results!F:F, _xlfn.SEQUENCE(5,1,209,20))),
 _xlpm.valuesG, SUM(INDEX(results!G:G, _xlfn.SEQUENCE(5,1,204,20)),INDEX(results!G:G, _xlfn.SEQUENCE(5,1,209,20))),
 _xlpm.valuesF / (_xlpm.valuesF + _xlpm.valuesG)
)</f>
        <v>0.8</v>
      </c>
      <c r="F9" s="47" cm="1">
        <f t="array" ref="F9">_xlfn.LET(
 _xlpm.valuesF, SUM(INDEX(results!F:F, _xlfn.SEQUENCE(5,1,204,20)),INDEX(results!F:F, _xlfn.SEQUENCE(5,1,209,20))),
 _xlpm.valuesH, SUM(INDEX(results!H:H, _xlfn.SEQUENCE(5,1,204,20)),INDEX(results!H:H, _xlfn.SEQUENCE(5,1,209,20))),
 _xlpm.valuesF / (_xlpm.valuesF + _xlpm.valuesH)
)</f>
        <v>0.42857142857142855</v>
      </c>
      <c r="G9" s="47" cm="1">
        <f t="array" ref="G9">_xlfn.LET(
 _xlpm.valuesI, SUM(INDEX(results!I:I, _xlfn.SEQUENCE(5,1,204,20)),INDEX(results!I:I, _xlfn.SEQUENCE(5,1,209,20))),
 _xlpm.valuesG, SUM(INDEX(results!G:G, _xlfn.SEQUENCE(5,1,204,20)),INDEX(results!G:G, _xlfn.SEQUENCE(5,1,209,20))),
 _xlpm.valuesI / (_xlpm.valuesI + _xlpm.valuesG)
)</f>
        <v>0.91428571428571426</v>
      </c>
      <c r="H9" s="47">
        <f>(2*E9*F9)/(E9+F9)</f>
        <v>0.55813953488372092</v>
      </c>
    </row>
    <row r="10" spans="1:21" x14ac:dyDescent="0.35">
      <c r="P10" t="s">
        <v>126</v>
      </c>
      <c r="R10" t="s">
        <v>127</v>
      </c>
      <c r="T10" t="s">
        <v>128</v>
      </c>
    </row>
    <row r="11" spans="1:21" x14ac:dyDescent="0.35">
      <c r="A11" t="s">
        <v>106</v>
      </c>
      <c r="B11" s="3" t="s">
        <v>132</v>
      </c>
      <c r="C11" s="3" t="s">
        <v>108</v>
      </c>
      <c r="D11" s="3" cm="1">
        <f t="array" ref="D11">_xlfn.LET(
  _xlpm.rows, _xlfn.SEQUENCE(20,1,6,5),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1" s="3" cm="1">
        <f t="array" ref="E11">_xlfn.LET(
  _xlpm.rows, _xlfn.SEQUENCE(20,1,6,5),
  _xlpm.rF, INDEX(results!F:F, _xlpm.rows),
  _xlpm.rG, INDEX(results!G:G, _xlpm.rows),
  _xlpm.num, SUM(_xlpm.rF),
  _xlpm.denom, SUM(_xlpm.rF + _xlpm.rG),
  _xlpm.num/_xlpm.denom
)</f>
        <v>0.88888888888888884</v>
      </c>
      <c r="F11" s="3" cm="1">
        <f t="array" ref="F11">_xlfn.LET(
  _xlpm.rows, _xlfn.SEQUENCE(20,1,6,5),
  _xlpm.rF, INDEX(results!F:F, _xlpm.rows),
  _xlpm.rH, INDEX(results!H:H, _xlpm.rows),
  _xlpm.num, SUM(_xlpm.rF),
  _xlpm.denom, SUM(_xlpm.rF + _xlpm.rH),
  _xlpm.num/_xlpm.denom
)</f>
        <v>1</v>
      </c>
      <c r="G11" s="3" cm="1">
        <f t="array" ref="G11">_xlfn.LET(
  _xlpm.rows, _xlfn.SEQUENCE(20,1,6,5),
  _xlpm.rI, INDEX(results!I:I, _xlpm.rows),
  _xlpm.rG, INDEX(results!G:G, _xlpm.rows),
  _xlpm.num, SUM(_xlpm.rI),
  _xlpm.denom, SUM(_xlpm.rI + _xlpm.rG),
  _xlpm.num/_xlpm.denom
)</f>
        <v>0.88888888888888884</v>
      </c>
      <c r="H11" s="3">
        <f t="shared" ref="H11:H47" si="2">(2*E11*F11)/(E11+F11)</f>
        <v>0.94117647058823528</v>
      </c>
      <c r="P11">
        <f>SUM(results!F7,results!F17,results!F27,results!F37,results!F47,results!F57,results!F67,results!F77,results!F87,results!F97)</f>
        <v>232</v>
      </c>
      <c r="R11">
        <f>SUM(results!F108,results!F118,results!F128,results!F138,results!F148,results!F158,results!F168,results!F178,results!F188,results!F198)</f>
        <v>140</v>
      </c>
      <c r="T11">
        <f>SUM(results!F209,results!F219,results!F229,results!F239,results!F249,results!F259,results!F269,results!F279,results!F289,results!F299)</f>
        <v>60</v>
      </c>
    </row>
    <row r="12" spans="1:21" x14ac:dyDescent="0.35">
      <c r="B12" s="3"/>
      <c r="C12" s="3" t="s">
        <v>109</v>
      </c>
      <c r="D12" s="3" cm="1">
        <f t="array" ref="D12">_xlfn.LET(
  _xlpm.rows, _xlfn.SEQUENCE(20,1,3,5),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12" s="3" cm="1">
        <f t="array" ref="E12">_xlfn.LET(
  _xlpm.rows, _xlfn.SEQUENCE(20,1,3,5),
  _xlpm.rF, INDEX(results!F:F, _xlpm.rows),
  _xlpm.rG, INDEX(results!G:G, _xlpm.rows),
  _xlpm.num, SUM(_xlpm.rF),
  _xlpm.denom, SUM(_xlpm.rF + _xlpm.rG),
  _xlpm.num/_xlpm.denom
)</f>
        <v>0.88888888888888884</v>
      </c>
      <c r="F12" s="3" cm="1">
        <f t="array" ref="F12">_xlfn.LET(
  _xlpm.rows, _xlfn.SEQUENCE(20,1,3,5),
  _xlpm.rF, INDEX(results!F:F, _xlpm.rows),
  _xlpm.rH, INDEX(results!H:H, _xlpm.rows),
  _xlpm.num, SUM(_xlpm.rF),
  _xlpm.denom, SUM(_xlpm.rF + _xlpm.rH),
  _xlpm.num/_xlpm.denom
)</f>
        <v>0.8</v>
      </c>
      <c r="G12" s="3" cm="1">
        <f t="array" ref="G12">_xlfn.LET(
  _xlpm.rows, _xlfn.SEQUENCE(20,1,3,5),
  _xlpm.rI, INDEX(results!I:I, _xlpm.rows),
  _xlpm.rG, INDEX(results!G:G, _xlpm.rows),
  _xlpm.num, SUM(_xlpm.rI),
  _xlpm.denom, SUM(_xlpm.rI + _xlpm.rG),
  _xlpm.num/_xlpm.denom
)</f>
        <v>0.91111111111111109</v>
      </c>
      <c r="H12" s="3">
        <f t="shared" si="2"/>
        <v>0.8421052631578948</v>
      </c>
    </row>
    <row r="13" spans="1:21" x14ac:dyDescent="0.35">
      <c r="B13" s="3"/>
      <c r="C13" s="3" t="s">
        <v>110</v>
      </c>
      <c r="D13" s="3" cm="1">
        <f t="array" ref="D13">_xlfn.LET(
  _xlpm.rows, _xlfn.SEQUENCE(20,1,4,5),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13" s="3" cm="1">
        <f t="array" ref="E13">_xlfn.LET(
  _xlpm.rows, _xlfn.SEQUENCE(20,1,4,5),
  _xlpm.rF, INDEX(results!F:F, _xlpm.rows),
  _xlpm.rG, INDEX(results!G:G, _xlpm.rows),
  _xlpm.num, SUM(_xlpm.rF),
  _xlpm.denom, SUM(_xlpm.rF + _xlpm.rG),
  _xlpm.num/_xlpm.denom
)</f>
        <v>0.88888888888888884</v>
      </c>
      <c r="F13" s="3" cm="1">
        <f t="array" ref="F13">_xlfn.LET(
  _xlpm.rows, _xlfn.SEQUENCE(20,1,4,5),
  _xlpm.rF, INDEX(results!F:F, _xlpm.rows),
  _xlpm.rH, INDEX(results!H:H, _xlpm.rows),
  _xlpm.num, SUM(_xlpm.rF),
  _xlpm.denom, SUM(_xlpm.rF + _xlpm.rH),
  _xlpm.num/_xlpm.denom
)</f>
        <v>0.8</v>
      </c>
      <c r="G13" s="3" cm="1">
        <f t="array" ref="G13">_xlfn.LET(
  _xlpm.rows, _xlfn.SEQUENCE(20,1,4,5),
  _xlpm.rI, INDEX(results!I:I, _xlpm.rows),
  _xlpm.rG, INDEX(results!G:G, _xlpm.rows),
  _xlpm.num, SUM(_xlpm.rI),
  _xlpm.denom, SUM(_xlpm.rI + _xlpm.rG),
  _xlpm.num/_xlpm.denom
)</f>
        <v>0.91111111111111109</v>
      </c>
      <c r="H13" s="3">
        <f t="shared" si="2"/>
        <v>0.8421052631578948</v>
      </c>
    </row>
    <row r="14" spans="1:21" x14ac:dyDescent="0.35">
      <c r="B14" s="3"/>
      <c r="C14" s="3" t="s">
        <v>111</v>
      </c>
      <c r="D14" s="3" cm="1">
        <f t="array" ref="D14">_xlfn.LET(
  _xlpm.rows, _xlfn.SEQUENCE(16,1,25,5),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0.83823529411764708</v>
      </c>
      <c r="E14" s="3" cm="1">
        <f t="array" ref="E14">_xlfn.LET(
  _xlpm.rows, _xlfn.SEQUENCE(16,1,25,5),
  _xlpm.rF, INDEX(results!F:F, _xlpm.rows),
  _xlpm.rG, INDEX(results!G:G, _xlpm.rows),
  _xlpm.num, SUM(_xlpm.rF),
  _xlpm.denom, SUM(_xlpm.rF + _xlpm.rG),
  _xlpm.num/_xlpm.denom
)</f>
        <v>0.88888888888888884</v>
      </c>
      <c r="F14" s="3" cm="1">
        <f t="array" ref="F14">_xlfn.LET(
  _xlpm.rows, _xlfn.SEQUENCE(16,1,25,5),
  _xlpm.rF, INDEX(results!F:F, _xlpm.rows),
  _xlpm.rH, INDEX(results!H:H, _xlpm.rows),
  _xlpm.num, SUM(_xlpm.rF),
  _xlpm.denom, SUM(_xlpm.rF + _xlpm.rH),
  _xlpm.num/_xlpm.denom
)</f>
        <v>0.75</v>
      </c>
      <c r="G14" s="3" cm="1">
        <f t="array" ref="G14">_xlfn.LET(
  _xlpm.rows, _xlfn.SEQUENCE(16,1,25,5),
  _xlpm.rI, INDEX(results!I:I, _xlpm.rows),
  _xlpm.rG, INDEX(results!G:G, _xlpm.rows),
  _xlpm.num, SUM(_xlpm.rI),
  _xlpm.denom, SUM(_xlpm.rI + _xlpm.rG),
  _xlpm.num/_xlpm.denom
)</f>
        <v>0.91666666666666663</v>
      </c>
      <c r="H14" s="3">
        <f t="shared" si="2"/>
        <v>0.81355932203389825</v>
      </c>
      <c r="K14" s="46"/>
    </row>
    <row r="15" spans="1:21" x14ac:dyDescent="0.35">
      <c r="B15" s="3"/>
      <c r="C15" s="3" t="s">
        <v>112</v>
      </c>
      <c r="D15" s="3" cm="1">
        <f t="array" ref="D15">_xlfn.LET(
  _xlpm.rows, _xlfn.SEQUENCE(4,1,5,5),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5" s="3" cm="1">
        <f t="array" ref="E15">_xlfn.LET(
  _xlpm.rows, _xlfn.SEQUENCE(4,1,5,5),
  _xlpm.rF, INDEX(results!F:F, _xlpm.rows),
  _xlpm.rG, INDEX(results!G:G, _xlpm.rows),
  _xlpm.num, SUM(_xlpm.rF),
  _xlpm.denom, SUM(_xlpm.rF + _xlpm.rG),
  _xlpm.num/_xlpm.denom
)</f>
        <v>0.88888888888888884</v>
      </c>
      <c r="F15" s="3" cm="1">
        <f t="array" ref="F15">_xlfn.LET(
  _xlpm.rows, _xlfn.SEQUENCE(4,1,5,5),
  _xlpm.rF, INDEX(results!F:F, _xlpm.rows),
  _xlpm.rH, INDEX(results!H:H, _xlpm.rows),
  _xlpm.num, SUM(_xlpm.rF),
  _xlpm.denom, SUM(_xlpm.rF + _xlpm.rH),
  _xlpm.num/_xlpm.denom
)</f>
        <v>1</v>
      </c>
      <c r="G15" s="3" cm="1">
        <f t="array" ref="G15">_xlfn.LET(
  _xlpm.rows, _xlfn.SEQUENCE(4,1,5,5),
  _xlpm.rI, INDEX(results!I:I, _xlpm.rows),
  _xlpm.rG, INDEX(results!G:G, _xlpm.rows),
  _xlpm.num, SUM(_xlpm.rI),
  _xlpm.denom, SUM(_xlpm.rI + _xlpm.rG),
  _xlpm.num/_xlpm.denom
)</f>
        <v>0.88888888888888884</v>
      </c>
      <c r="H15" s="3">
        <f t="shared" si="2"/>
        <v>0.94117647058823528</v>
      </c>
    </row>
    <row r="16" spans="1:21" x14ac:dyDescent="0.35">
      <c r="B16" s="10" t="s">
        <v>135</v>
      </c>
      <c r="C16" s="10" t="s">
        <v>108</v>
      </c>
      <c r="D16" s="10" cm="1">
        <f t="array" ref="D16">_xlfn.LET(
  _xlpm.valuesF, SUM(INDEX(results!F:F, _xlfn.SEQUENCE(5,1,6,20)),INDEX(results!F:F, _xlfn.SEQUENCE(5,1,11,20))),
  _xlpm.valuesI, SUM(INDEX(results!I:I, _xlfn.SEQUENCE(5,1,6,20)),INDEX(results!I:I, _xlfn.SEQUENCE(5,1,11,20))),
  _xlpm.valuesE, SUM(INDEX(results!E:E, _xlfn.SEQUENCE(5,1,6,20)),INDEX(results!E:E, _xlfn.SEQUENCE(5,1,11,20))),
  SUM(_xlpm.valuesF + _xlpm.valuesI)/(_xlpm.valuesE)
)</f>
        <v>0.88888888888888884</v>
      </c>
      <c r="E16" s="10" cm="1">
        <f t="array" ref="E16">_xlfn.LET(
 _xlpm.valuesF, SUM(INDEX(results!F:F, _xlfn.SEQUENCE(5,1,6,20)),INDEX(results!F:F, _xlfn.SEQUENCE(5,1,11,20))),
 _xlpm.valuesG, SUM(INDEX(results!G:G, _xlfn.SEQUENCE(5,1,6,20)),INDEX(results!G:G, _xlfn.SEQUENCE(5,1,11,20))),
 _xlpm.valuesF / (_xlpm.valuesF + _xlpm.valuesG)
)</f>
        <v>0.8</v>
      </c>
      <c r="F16" s="10" cm="1">
        <f t="array" ref="F16">_xlfn.LET(
 _xlpm.valuesF, SUM(INDEX(results!F:F, _xlfn.SEQUENCE(5,1,6,20)),INDEX(results!F:F, _xlfn.SEQUENCE(5,1,11,20))),
 _xlpm.valuesH, SUM(INDEX(results!H:H, _xlfn.SEQUENCE(5,1,6,20)),INDEX(results!H:H, _xlfn.SEQUENCE(5,1,11,20))),
 _xlpm.valuesF / (_xlpm.valuesF + _xlpm.valuesH)
)</f>
        <v>1</v>
      </c>
      <c r="G16" s="10" cm="1">
        <f t="array" ref="G16">_xlfn.LET(
 _xlpm.valuesI, SUM(INDEX(results!I:I, _xlfn.SEQUENCE(5,1,6,20)),INDEX(results!I:I, _xlfn.SEQUENCE(5,1,11,20))),
 _xlpm.valuesG, SUM(INDEX(results!G:G, _xlfn.SEQUENCE(5,1,6,20)),INDEX(results!G:G, _xlfn.SEQUENCE(5,1,11,20))),
 _xlpm.valuesI / (_xlpm.valuesI + _xlpm.valuesG)
)</f>
        <v>0.8</v>
      </c>
      <c r="H16" s="10">
        <f t="shared" si="2"/>
        <v>0.88888888888888895</v>
      </c>
    </row>
    <row r="17" spans="2:8" x14ac:dyDescent="0.35">
      <c r="B17" s="10"/>
      <c r="C17" s="10" t="s">
        <v>109</v>
      </c>
      <c r="D17" s="10" cm="1">
        <f t="array" ref="D17">_xlfn.LET(
  _xlpm.valuesF, SUM(INDEX(results!F:F, _xlfn.SEQUENCE(5,1,3,20)),INDEX(results!F:F, _xlfn.SEQUENCE(5,1,8,20))),
  _xlpm.valuesI, SUM(INDEX(results!I:I, _xlfn.SEQUENCE(5,1,3,20)),INDEX(results!I:I, _xlfn.SEQUENCE(5,1,8,20))),
  _xlpm.valuesE, SUM(INDEX(results!E:E, _xlfn.SEQUENCE(5,1,3,20)),INDEX(results!E:E, _xlfn.SEQUENCE(5,1,8,20))),
  SUM(_xlpm.valuesF + _xlpm.valuesI)/(_xlpm.valuesE)
)</f>
        <v>0.82222222222222219</v>
      </c>
      <c r="E17" s="10" cm="1">
        <f t="array" ref="E17">_xlfn.LET(
 _xlpm.valuesF, SUM(INDEX(results!F:F, _xlfn.SEQUENCE(5,1,3,20)),INDEX(results!F:F, _xlfn.SEQUENCE(5,1,8,20))),
 _xlpm.valuesG, SUM(INDEX(results!G:G, _xlfn.SEQUENCE(5,1,3,20)),INDEX(results!G:G, _xlfn.SEQUENCE(5,1,8,20))),
 _xlpm.valuesF / (_xlpm.valuesF + _xlpm.valuesG)
)</f>
        <v>0.8</v>
      </c>
      <c r="F17" s="10" cm="1">
        <f t="array" ref="F17">_xlfn.LET(
 _xlpm.valuesF, SUM(INDEX(results!F:F, _xlfn.SEQUENCE(5,1,3,20)),INDEX(results!F:F, _xlfn.SEQUENCE(5,1,8,20))),
 _xlpm.valuesH, SUM(INDEX(results!H:H, _xlfn.SEQUENCE(5,1,3,20)),INDEX(results!H:H, _xlfn.SEQUENCE(5,1,8,20))),
 _xlpm.valuesF / (_xlpm.valuesF + _xlpm.valuesH)
)</f>
        <v>0.8</v>
      </c>
      <c r="G17" s="10" cm="1">
        <f t="array" ref="G17">_xlfn.LET(
 _xlpm.valuesI, SUM(INDEX(results!I:I, _xlfn.SEQUENCE(5,1,3,20)),INDEX(results!I:I, _xlfn.SEQUENCE(5,1,8,20))),
 _xlpm.valuesG, SUM(INDEX(results!G:G, _xlfn.SEQUENCE(5,1,3,20)),INDEX(results!G:G, _xlfn.SEQUENCE(5,1,8,20))),
 _xlpm.valuesI / (_xlpm.valuesI + _xlpm.valuesG)
)</f>
        <v>0.84</v>
      </c>
      <c r="H17" s="10">
        <f t="shared" si="2"/>
        <v>0.80000000000000016</v>
      </c>
    </row>
    <row r="18" spans="2:8" x14ac:dyDescent="0.35">
      <c r="B18" s="10"/>
      <c r="C18" s="10" t="s">
        <v>110</v>
      </c>
      <c r="D18" s="10" cm="1">
        <f t="array" ref="D18">_xlfn.LET(
  _xlpm.valuesF, SUM(INDEX(results!F:F, _xlfn.SEQUENCE(5,1,4,20)),INDEX(results!F:F, _xlfn.SEQUENCE(5,1,9,20))),
  _xlpm.valuesI, SUM(INDEX(results!I:I, _xlfn.SEQUENCE(5,1,4,20)),INDEX(results!I:I, _xlfn.SEQUENCE(5,1,9,20))),
  _xlpm.valuesE, SUM(INDEX(results!E:E, _xlfn.SEQUENCE(5,1,4,20)),INDEX(results!E:E, _xlfn.SEQUENCE(5,1,9,20))),
  SUM(_xlpm.valuesF + _xlpm.valuesI)/(_xlpm.valuesE)
)</f>
        <v>0.82222222222222219</v>
      </c>
      <c r="E18" s="10" cm="1">
        <f t="array" ref="E18">_xlfn.LET(
 _xlpm.valuesF, SUM(INDEX(results!F:F, _xlfn.SEQUENCE(5,1,4,20)),INDEX(results!F:F, _xlfn.SEQUENCE(5,1,9,20))),
 _xlpm.valuesG, SUM(INDEX(results!G:G, _xlfn.SEQUENCE(5,1,4,20)),INDEX(results!G:G, _xlfn.SEQUENCE(5,1,9,20))),
 _xlpm.valuesF / (_xlpm.valuesF + _xlpm.valuesG)
)</f>
        <v>0.8</v>
      </c>
      <c r="F18" s="10" cm="1">
        <f t="array" ref="F18">_xlfn.LET(
 _xlpm.valuesF, SUM(INDEX(results!F:F, _xlfn.SEQUENCE(5,1,4,20)),INDEX(results!F:F, _xlfn.SEQUENCE(5,1,9,20))),
 _xlpm.valuesH, SUM(INDEX(results!H:H, _xlfn.SEQUENCE(5,1,4,20)),INDEX(results!H:H, _xlfn.SEQUENCE(5,1,9,20))),
 _xlpm.valuesF / (_xlpm.valuesF + _xlpm.valuesH)
)</f>
        <v>0.8</v>
      </c>
      <c r="G18" s="10" cm="1">
        <f t="array" ref="G18">_xlfn.LET(
 _xlpm.valuesI, SUM(INDEX(results!I:I, _xlfn.SEQUENCE(5,1,4,20)),INDEX(results!I:I, _xlfn.SEQUENCE(5,1,9,20))),
 _xlpm.valuesG, SUM(INDEX(results!G:G, _xlfn.SEQUENCE(5,1,4,20)),INDEX(results!G:G, _xlfn.SEQUENCE(5,1,9,20))),
 _xlpm.valuesI / (_xlpm.valuesI + _xlpm.valuesG)
)</f>
        <v>0.84</v>
      </c>
      <c r="H18" s="10">
        <f t="shared" si="2"/>
        <v>0.80000000000000016</v>
      </c>
    </row>
    <row r="19" spans="2:8" x14ac:dyDescent="0.35">
      <c r="B19" s="10"/>
      <c r="C19" s="10" t="s">
        <v>111</v>
      </c>
      <c r="D19" s="10" cm="1">
        <f t="array" ref="D19">_xlfn.LET(
  _xlpm.valuesF, SUM(INDEX(results!F:F, _xlfn.SEQUENCE(4,1,25,20)),INDEX(results!F:F, _xlfn.SEQUENCE(4,1,30,20))),
  _xlpm.valuesI, SUM(INDEX(results!I:I, _xlfn.SEQUENCE(4,1,25,20)),INDEX(results!I:I, _xlfn.SEQUENCE(4,1,30,20))),
  _xlpm.valuesE, SUM(INDEX(results!E:E, _xlfn.SEQUENCE(4,1,25,20)),INDEX(results!E:E, _xlfn.SEQUENCE(4,1,30,20))),
  SUM(_xlpm.valuesF + _xlpm.valuesI)/(_xlpm.valuesE)
)</f>
        <v>0.80555555555555558</v>
      </c>
      <c r="E19" s="10" cm="1">
        <f t="array" ref="E19">_xlfn.LET(
 _xlpm.valuesF, SUM(INDEX(results!F:F, _xlfn.SEQUENCE(4,1,25,20)),INDEX(results!F:F, _xlfn.SEQUENCE(4,1,30,20))),
 _xlpm.valuesG, SUM(INDEX(results!G:G, _xlfn.SEQUENCE(4,1,25,20)),INDEX(results!G:G, _xlfn.SEQUENCE(4,1,30,20))),
 _xlpm.valuesF / (_xlpm.valuesF + _xlpm.valuesG)
)</f>
        <v>0.8</v>
      </c>
      <c r="F19" s="10" cm="1">
        <f t="array" ref="F19">_xlfn.LET(
 _xlpm.valuesF, SUM(INDEX(results!F:F, _xlfn.SEQUENCE(4,1,25,20)),INDEX(results!F:F, _xlfn.SEQUENCE(4,1,30,20))),
 _xlpm.valuesH, SUM(INDEX(results!H:H, _xlfn.SEQUENCE(4,1,25,20)),INDEX(results!H:H, _xlfn.SEQUENCE(4,1,30,20))),
 _xlpm.valuesF / (_xlpm.valuesF + _xlpm.valuesH)
)</f>
        <v>0.75</v>
      </c>
      <c r="G19" s="10" cm="1">
        <f t="array" ref="G19">_xlfn.LET(
 _xlpm.valuesI, SUM(INDEX(results!I:I, _xlfn.SEQUENCE(4,1,25,20)),INDEX(results!I:I, _xlfn.SEQUENCE(4,1,30,20))),
 _xlpm.valuesG, SUM(INDEX(results!G:G, _xlfn.SEQUENCE(4,1,25,20)),INDEX(results!G:G, _xlfn.SEQUENCE(4,1,30,20))),
 _xlpm.valuesI / (_xlpm.valuesI + _xlpm.valuesG)
)</f>
        <v>0.85</v>
      </c>
      <c r="H19" s="10">
        <f t="shared" si="2"/>
        <v>0.77419354838709686</v>
      </c>
    </row>
    <row r="20" spans="2:8" x14ac:dyDescent="0.35">
      <c r="B20" s="10"/>
      <c r="C20" s="10" t="s">
        <v>112</v>
      </c>
      <c r="D20" s="10" cm="1">
        <f t="array" ref="D20">_xlfn.LET(
  _xlpm.valuesF, SUM(INDEX(results!F:F, _xlfn.SEQUENCE(1,1,5,20)),INDEX(results!F:F, _xlfn.SEQUENCE(1,1,10,20))),
  _xlpm.valuesI, SUM(INDEX(results!I:I, _xlfn.SEQUENCE(1,1,5,20)),INDEX(results!I:I, _xlfn.SEQUENCE(1,1,10,20))),
  _xlpm.valuesE, SUM(INDEX(results!E:E, _xlfn.SEQUENCE(1,1,5,20)),INDEX(results!E:E, _xlfn.SEQUENCE(1,1,10,20))),
  SUM(_xlpm.valuesF + _xlpm.valuesI)/(_xlpm.valuesE)
)</f>
        <v>0.88888888888888884</v>
      </c>
      <c r="E20" s="10" cm="1">
        <f t="array" ref="E20">_xlfn.LET(
 _xlpm.valuesF, SUM(INDEX(results!F:F, _xlfn.SEQUENCE(1,1,5,20)),INDEX(results!F:F, _xlfn.SEQUENCE(1,1,10,20))),
 _xlpm.valuesG, SUM(INDEX(results!G:G, _xlfn.SEQUENCE(1,1,5,20)),INDEX(results!G:G, _xlfn.SEQUENCE(1,1,10,20))),
 _xlpm.valuesF / (_xlpm.valuesF + _xlpm.valuesG)
)</f>
        <v>0.8</v>
      </c>
      <c r="F20" s="10" cm="1">
        <f t="array" ref="F20">_xlfn.LET(
 _xlpm.valuesF, SUM(INDEX(results!F:F, _xlfn.SEQUENCE(1,1,5,20)),INDEX(results!F:F, _xlfn.SEQUENCE(1,1,10,20))),
 _xlpm.valuesH, SUM(INDEX(results!H:H, _xlfn.SEQUENCE(1,1,5,20)),INDEX(results!H:H, _xlfn.SEQUENCE(1,1,10,20))),
 _xlpm.valuesF / (_xlpm.valuesF + _xlpm.valuesH)
)</f>
        <v>1</v>
      </c>
      <c r="G20" s="10" cm="1">
        <f t="array" ref="G20">_xlfn.LET(
 _xlpm.valuesI, SUM(INDEX(results!I:I, _xlfn.SEQUENCE(1,1,5,20)),INDEX(results!I:I, _xlfn.SEQUENCE(1,1,10,20))),
 _xlpm.valuesG, SUM(INDEX(results!G:G, _xlfn.SEQUENCE(1,1,5,20)),INDEX(results!G:G, _xlfn.SEQUENCE(1,1,10,20))),
 _xlpm.valuesI / (_xlpm.valuesI + _xlpm.valuesG)
)</f>
        <v>0.8</v>
      </c>
      <c r="H20" s="10">
        <f t="shared" si="2"/>
        <v>0.88888888888888895</v>
      </c>
    </row>
    <row r="21" spans="2:8" x14ac:dyDescent="0.35">
      <c r="B21" s="18" t="s">
        <v>136</v>
      </c>
      <c r="C21" s="18" t="s">
        <v>108</v>
      </c>
      <c r="D21" s="18" cm="1">
        <f t="array" ref="D21">_xlfn.LET(
  _xlpm.valuesF, SUM(INDEX(results!F:F, _xlfn.SEQUENCE(5,1,16,20)),INDEX(results!F:F, _xlfn.SEQUENCE(5,1,21,20))),
  _xlpm.valuesI, SUM(INDEX(results!I:I, _xlfn.SEQUENCE(5,1,16,20)),INDEX(results!I:I, _xlfn.SEQUENCE(5,1,21,20))),
  _xlpm.valuesE, SUM(INDEX(results!E:E, _xlfn.SEQUENCE(5,1,16,20)),INDEX(results!E:E, _xlfn.SEQUENCE(5,1,21,20))),
  SUM(_xlpm.valuesF + _xlpm.valuesI)/(_xlpm.valuesE)
)</f>
        <v>1</v>
      </c>
      <c r="E21" s="18" cm="1">
        <f t="array" ref="E21">_xlfn.LET(
 _xlpm.valuesF, SUM(INDEX(results!F:F, _xlfn.SEQUENCE(5,1,16,20)),INDEX(results!F:F, _xlfn.SEQUENCE(5,1,21,20))),
 _xlpm.valuesG, SUM(INDEX(results!G:G, _xlfn.SEQUENCE(5,1,16,20)),INDEX(results!G:G, _xlfn.SEQUENCE(5,1,21,20))),
 _xlpm.valuesF / (_xlpm.valuesF + _xlpm.valuesG)
)</f>
        <v>1</v>
      </c>
      <c r="F21" s="18" cm="1">
        <f t="array" ref="F21">_xlfn.LET(
 _xlpm.valuesF, SUM(INDEX(results!F:F, _xlfn.SEQUENCE(5,1,16,20)),INDEX(results!F:F, _xlfn.SEQUENCE(5,1,21,20))),
 _xlpm.valuesH, SUM(INDEX(results!H:H, _xlfn.SEQUENCE(5,1,16,20)),INDEX(results!H:H, _xlfn.SEQUENCE(5,1,21,20))),
 _xlpm.valuesF / (_xlpm.valuesF + _xlpm.valuesH)
)</f>
        <v>1</v>
      </c>
      <c r="G21" s="18" cm="1">
        <f t="array" ref="G21">_xlfn.LET(
 _xlpm.valuesI, SUM(INDEX(results!I:I, _xlfn.SEQUENCE(5,1,16,20)),INDEX(results!I:I, _xlfn.SEQUENCE(5,1,21,20))),
 _xlpm.valuesG, SUM(INDEX(results!G:G, _xlfn.SEQUENCE(5,1,16,20)),INDEX(results!G:G, _xlfn.SEQUENCE(5,1,21,20))),
 _xlpm.valuesI / (_xlpm.valuesI + _xlpm.valuesG)
)</f>
        <v>1</v>
      </c>
      <c r="H21" s="18">
        <f t="shared" si="2"/>
        <v>1</v>
      </c>
    </row>
    <row r="22" spans="2:8" x14ac:dyDescent="0.35">
      <c r="B22" s="18"/>
      <c r="C22" s="18" t="s">
        <v>109</v>
      </c>
      <c r="D22" s="18" cm="1">
        <f t="array" ref="D22">_xlfn.LET(
  _xlpm.valuesF, SUM(INDEX(results!F:F, _xlfn.SEQUENCE(5,1,13,20)),INDEX(results!F:F, _xlfn.SEQUENCE(5,1,18,20))),
  _xlpm.valuesI, SUM(INDEX(results!I:I, _xlfn.SEQUENCE(5,1,13,20)),INDEX(results!I:I, _xlfn.SEQUENCE(5,1,18,20))),
  _xlpm.valuesE, SUM(INDEX(results!E:E, _xlfn.SEQUENCE(5,1,13,20)),INDEX(results!E:E, _xlfn.SEQUENCE(5,1,18,20))),
  SUM(_xlpm.valuesF + _xlpm.valuesI)/(_xlpm.valuesE)
)</f>
        <v>0.9</v>
      </c>
      <c r="E22" s="18" cm="1">
        <f t="array" ref="E22">_xlfn.LET(
 _xlpm.valuesF, SUM(INDEX(results!F:F, _xlfn.SEQUENCE(5,1,13,20)),INDEX(results!F:F, _xlfn.SEQUENCE(5,1,18,20))),
 _xlpm.valuesG, SUM(INDEX(results!G:G, _xlfn.SEQUENCE(5,1,13,20)),INDEX(results!G:G, _xlfn.SEQUENCE(5,1,18,20))),
 _xlpm.valuesF / (_xlpm.valuesF + _xlpm.valuesG)
)</f>
        <v>1</v>
      </c>
      <c r="F22" s="18" cm="1">
        <f t="array" ref="F22">_xlfn.LET(
 _xlpm.valuesF, SUM(INDEX(results!F:F, _xlfn.SEQUENCE(5,1,13,20)),INDEX(results!F:F, _xlfn.SEQUENCE(5,1,18,20))),
 _xlpm.valuesH, SUM(INDEX(results!H:H, _xlfn.SEQUENCE(5,1,13,20)),INDEX(results!H:H, _xlfn.SEQUENCE(5,1,18,20))),
 _xlpm.valuesF / (_xlpm.valuesF + _xlpm.valuesH)
)</f>
        <v>0.8</v>
      </c>
      <c r="G22" s="18" cm="1">
        <f t="array" ref="G22">_xlfn.LET(
 _xlpm.valuesI, SUM(INDEX(results!I:I, _xlfn.SEQUENCE(5,1,13,20)),INDEX(results!I:I, _xlfn.SEQUENCE(5,1,18,20))),
 _xlpm.valuesG, SUM(INDEX(results!G:G, _xlfn.SEQUENCE(5,1,13,20)),INDEX(results!G:G, _xlfn.SEQUENCE(5,1,18,20))),
 _xlpm.valuesI / (_xlpm.valuesI + _xlpm.valuesG)
)</f>
        <v>1</v>
      </c>
      <c r="H22" s="18">
        <f t="shared" si="2"/>
        <v>0.88888888888888895</v>
      </c>
    </row>
    <row r="23" spans="2:8" x14ac:dyDescent="0.35">
      <c r="B23" s="18"/>
      <c r="C23" s="18" t="s">
        <v>110</v>
      </c>
      <c r="D23" s="18" cm="1">
        <f t="array" ref="D23">_xlfn.LET(
  _xlpm.valuesF, SUM(INDEX(results!F:F, _xlfn.SEQUENCE(5,1,14,20)),INDEX(results!F:F, _xlfn.SEQUENCE(5,1,19,20))),
  _xlpm.valuesI, SUM(INDEX(results!I:I, _xlfn.SEQUENCE(5,1,14,20)),INDEX(results!I:I, _xlfn.SEQUENCE(5,1,19,20))),
  _xlpm.valuesE, SUM(INDEX(results!E:E, _xlfn.SEQUENCE(5,1,14,20)),INDEX(results!E:E, _xlfn.SEQUENCE(5,1,19,20))),
  SUM(_xlpm.valuesF + _xlpm.valuesI)/(_xlpm.valuesE)
)</f>
        <v>0.9</v>
      </c>
      <c r="E23" s="18" cm="1">
        <f t="array" ref="E23">_xlfn.LET(
 _xlpm.valuesF, SUM(INDEX(results!F:F, _xlfn.SEQUENCE(5,1,14,20)),INDEX(results!F:F, _xlfn.SEQUENCE(5,1,19,20))),
 _xlpm.valuesG, SUM(INDEX(results!G:G, _xlfn.SEQUENCE(5,1,14,20)),INDEX(results!G:G, _xlfn.SEQUENCE(5,1,19,20))),
 _xlpm.valuesF / (_xlpm.valuesF + _xlpm.valuesG)
)</f>
        <v>1</v>
      </c>
      <c r="F23" s="18" cm="1">
        <f t="array" ref="F23">_xlfn.LET(
 _xlpm.valuesF, SUM(INDEX(results!F:F, _xlfn.SEQUENCE(5,1,14,20)),INDEX(results!F:F, _xlfn.SEQUENCE(5,1,19,20))),
 _xlpm.valuesH, SUM(INDEX(results!H:H, _xlfn.SEQUENCE(5,1,14,20)),INDEX(results!H:H, _xlfn.SEQUENCE(5,1,19,20))),
 _xlpm.valuesF / (_xlpm.valuesF + _xlpm.valuesH)
)</f>
        <v>0.8</v>
      </c>
      <c r="G23" s="18" cm="1">
        <f t="array" ref="G23">_xlfn.LET(
 _xlpm.valuesI, SUM(INDEX(results!I:I, _xlfn.SEQUENCE(5,1,14,20)),INDEX(results!I:I, _xlfn.SEQUENCE(5,1,19,20))),
 _xlpm.valuesG, SUM(INDEX(results!G:G, _xlfn.SEQUENCE(5,1,14,20)),INDEX(results!G:G, _xlfn.SEQUENCE(5,1,19,20))),
 _xlpm.valuesI / (_xlpm.valuesI + _xlpm.valuesG)
)</f>
        <v>1</v>
      </c>
      <c r="H23" s="18">
        <f t="shared" si="2"/>
        <v>0.88888888888888895</v>
      </c>
    </row>
    <row r="24" spans="2:8" x14ac:dyDescent="0.35">
      <c r="B24" s="18"/>
      <c r="C24" s="18" t="s">
        <v>111</v>
      </c>
      <c r="D24" s="18" cm="1">
        <f t="array" ref="D24">_xlfn.LET(
  _xlpm.valuesF, SUM(INDEX(results!F:F, _xlfn.SEQUENCE(4,1,35,20)),INDEX(results!F:F, _xlfn.SEQUENCE(4,1,40,20))),
  _xlpm.valuesI, SUM(INDEX(results!I:I, _xlfn.SEQUENCE(4,1,35,20)),INDEX(results!I:I, _xlfn.SEQUENCE(4,1,40,20))),
  _xlpm.valuesE, SUM(INDEX(results!E:E, _xlfn.SEQUENCE(4,1,35,20)),INDEX(results!E:E, _xlfn.SEQUENCE(4,1,40,20))),
  SUM(_xlpm.valuesF + _xlpm.valuesI)/(_xlpm.valuesE)
)</f>
        <v>0.875</v>
      </c>
      <c r="E24" s="18" cm="1">
        <f t="array" ref="E24">_xlfn.LET(
 _xlpm.valuesF, SUM(INDEX(results!F:F, _xlfn.SEQUENCE(4,1,35,20)),INDEX(results!F:F, _xlfn.SEQUENCE(4,1,40,20))),
 _xlpm.valuesG, SUM(INDEX(results!G:G, _xlfn.SEQUENCE(4,1,35,20)),INDEX(results!G:G, _xlfn.SEQUENCE(4,1,40,20))),
 _xlpm.valuesF / (_xlpm.valuesF + _xlpm.valuesG)
)</f>
        <v>1</v>
      </c>
      <c r="F24" s="18" cm="1">
        <f t="array" ref="F24">_xlfn.LET(
 _xlpm.valuesF, SUM(INDEX(results!F:F, _xlfn.SEQUENCE(4,1,35,20)),INDEX(results!F:F, _xlfn.SEQUENCE(4,1,40,20))),
 _xlpm.valuesH, SUM(INDEX(results!H:H, _xlfn.SEQUENCE(4,1,35,20)),INDEX(results!H:H, _xlfn.SEQUENCE(4,1,40,20))),
 _xlpm.valuesF / (_xlpm.valuesF + _xlpm.valuesH)
)</f>
        <v>0.75</v>
      </c>
      <c r="G24" s="18" cm="1">
        <f t="array" ref="G24">_xlfn.LET(
 _xlpm.valuesI, SUM(INDEX(results!I:I, _xlfn.SEQUENCE(4,1,35,20)),INDEX(results!I:I, _xlfn.SEQUENCE(4,1,40,20))),
 _xlpm.valuesG, SUM(INDEX(results!G:G, _xlfn.SEQUENCE(4,1,35,20)),INDEX(results!G:G, _xlfn.SEQUENCE(4,1,40,20))),
 _xlpm.valuesI / (_xlpm.valuesI + _xlpm.valuesG)
)</f>
        <v>1</v>
      </c>
      <c r="H24" s="18">
        <f t="shared" si="2"/>
        <v>0.8571428571428571</v>
      </c>
    </row>
    <row r="25" spans="2:8" x14ac:dyDescent="0.35">
      <c r="B25" s="18"/>
      <c r="C25" s="18" t="s">
        <v>112</v>
      </c>
      <c r="D25" s="18" cm="1">
        <f t="array" ref="D25">_xlfn.LET(
  _xlpm.valuesF, SUM(INDEX(results!F:F, _xlfn.SEQUENCE(1,1,15,20)),INDEX(results!F:F, _xlfn.SEQUENCE(1,1,20,20))),
  _xlpm.valuesI, SUM(INDEX(results!I:I, _xlfn.SEQUENCE(1,1,15,20)),INDEX(results!I:I, _xlfn.SEQUENCE(1,1,20,20))),
  _xlpm.valuesE, SUM(INDEX(results!E:E, _xlfn.SEQUENCE(1,1,15,20)),INDEX(results!E:E, _xlfn.SEQUENCE(1,1,20,20))),
  SUM(_xlpm.valuesF + _xlpm.valuesI)/(_xlpm.valuesE)
)</f>
        <v>1</v>
      </c>
      <c r="E25" s="18" cm="1">
        <f t="array" ref="E25">_xlfn.LET(
 _xlpm.valuesF, SUM(INDEX(results!F:F, _xlfn.SEQUENCE(1,1,15,20)),INDEX(results!F:F, _xlfn.SEQUENCE(1,1,20,20))),
 _xlpm.valuesG, SUM(INDEX(results!G:G, _xlfn.SEQUENCE(1,1,15,20)),INDEX(results!G:G, _xlfn.SEQUENCE(1,1,20,20))),
 _xlpm.valuesF / (_xlpm.valuesF + _xlpm.valuesG)
)</f>
        <v>1</v>
      </c>
      <c r="F25" s="18" cm="1">
        <f t="array" ref="F25">_xlfn.LET(
 _xlpm.valuesF, SUM(INDEX(results!F:F, _xlfn.SEQUENCE(1,1,15,20)),INDEX(results!F:F, _xlfn.SEQUENCE(1,1,20,20))),
 _xlpm.valuesH, SUM(INDEX(results!H:H, _xlfn.SEQUENCE(1,1,15,20)),INDEX(results!H:H, _xlfn.SEQUENCE(1,1,20,20))),
 _xlpm.valuesF / (_xlpm.valuesF + _xlpm.valuesH)
)</f>
        <v>1</v>
      </c>
      <c r="G25" s="18" cm="1">
        <f t="array" ref="G25">_xlfn.LET(
 _xlpm.valuesI, SUM(INDEX(results!I:I, _xlfn.SEQUENCE(1,1,15,20)),INDEX(results!I:I, _xlfn.SEQUENCE(1,1,20,20))),
 _xlpm.valuesG, SUM(INDEX(results!G:G, _xlfn.SEQUENCE(1,1,15,20)),INDEX(results!G:G, _xlfn.SEQUENCE(1,1,20,20))),
 _xlpm.valuesI / (_xlpm.valuesI + _xlpm.valuesG)
)</f>
        <v>1</v>
      </c>
      <c r="H25" s="18">
        <f t="shared" si="2"/>
        <v>1</v>
      </c>
    </row>
    <row r="27" spans="2:8" x14ac:dyDescent="0.35">
      <c r="B27" s="3" t="s">
        <v>133</v>
      </c>
      <c r="C27" s="3" t="s">
        <v>108</v>
      </c>
      <c r="D27" s="3" cm="1">
        <f t="array" ref="D27">_xlfn.LET(
  _xlpm.rows, _xlfn.SEQUENCE(20,1,107,5),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7" s="3" cm="1">
        <f t="array" ref="E27">_xlfn.LET(
  _xlpm.rows, _xlfn.SEQUENCE(20,1,107,5),
  _xlpm.rF, INDEX(results!F:F, _xlpm.rows),
  _xlpm.rG, INDEX(results!G:G, _xlpm.rows),
  _xlpm.num, SUM(_xlpm.rF),
  _xlpm.denom, SUM(_xlpm.rF + _xlpm.rG),
  _xlpm.num/_xlpm.denom
)</f>
        <v>1</v>
      </c>
      <c r="F27" s="3" cm="1">
        <f t="array" ref="F27">_xlfn.LET(
  _xlpm.rows, _xlfn.SEQUENCE(20,1,107,5),
  _xlpm.rF, INDEX(results!F:F, _xlpm.rows),
  _xlpm.rH, INDEX(results!H:H, _xlpm.rows),
  _xlpm.num, SUM(_xlpm.rF),
  _xlpm.denom, SUM(_xlpm.rF + _xlpm.rH),
  _xlpm.num/_xlpm.denom
)</f>
        <v>0.5</v>
      </c>
      <c r="G27" s="3" cm="1">
        <f t="array" ref="G27">_xlfn.LET(
  _xlpm.rows, _xlfn.SEQUENCE(20,1,107,5),
  _xlpm.rI, INDEX(results!I:I, _xlpm.rows),
  _xlpm.rG, INDEX(results!G:G, _xlpm.rows),
  _xlpm.num, SUM(_xlpm.rI),
  _xlpm.denom, SUM(_xlpm.rI + _xlpm.rG),
  _xlpm.num/_xlpm.denom
)</f>
        <v>1</v>
      </c>
      <c r="H27" s="3">
        <f t="shared" si="2"/>
        <v>0.66666666666666663</v>
      </c>
    </row>
    <row r="28" spans="2:8" x14ac:dyDescent="0.35">
      <c r="B28" s="3"/>
      <c r="C28" s="3" t="s">
        <v>109</v>
      </c>
      <c r="D28" s="3" cm="1">
        <f t="array" ref="D28">_xlfn.LET(
  _xlpm.rows, _xlfn.SEQUENCE(20,1,104,5),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8" s="3" cm="1">
        <f t="array" ref="E28">_xlfn.LET(
  _xlpm.rows, _xlfn.SEQUENCE(20,1,104,5),
  _xlpm.rF, INDEX(results!F:F, _xlpm.rows),
  _xlpm.rG, INDEX(results!G:G, _xlpm.rows),
  _xlpm.num, SUM(_xlpm.rF),
  _xlpm.denom, SUM(_xlpm.rF + _xlpm.rG),
  _xlpm.num/_xlpm.denom
)</f>
        <v>1</v>
      </c>
      <c r="F28" s="3" cm="1">
        <f t="array" ref="F28">_xlfn.LET(
  _xlpm.rows, _xlfn.SEQUENCE(20,1,104,5),
  _xlpm.rF, INDEX(results!F:F, _xlpm.rows),
  _xlpm.rH, INDEX(results!H:H, _xlpm.rows),
  _xlpm.num, SUM(_xlpm.rF),
  _xlpm.denom, SUM(_xlpm.rF + _xlpm.rH),
  _xlpm.num/_xlpm.denom
)</f>
        <v>0.5</v>
      </c>
      <c r="G28" s="3" cm="1">
        <f t="array" ref="G28">_xlfn.LET(
  _xlpm.rows, _xlfn.SEQUENCE(20,1,104,5),
  _xlpm.rI, INDEX(results!I:I, _xlpm.rows),
  _xlpm.rG, INDEX(results!G:G, _xlpm.rows),
  _xlpm.num, SUM(_xlpm.rI),
  _xlpm.denom, SUM(_xlpm.rI + _xlpm.rG),
  _xlpm.num/_xlpm.denom
)</f>
        <v>1</v>
      </c>
      <c r="H28" s="3">
        <f t="shared" si="2"/>
        <v>0.66666666666666663</v>
      </c>
    </row>
    <row r="29" spans="2:8" x14ac:dyDescent="0.35">
      <c r="B29" s="3"/>
      <c r="C29" s="3" t="s">
        <v>110</v>
      </c>
      <c r="D29" s="3" cm="1">
        <f t="array" ref="D29">_xlfn.LET(
  _xlpm.rows, _xlfn.SEQUENCE(20,1,105,5),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9" s="3" cm="1">
        <f t="array" ref="E29">_xlfn.LET(
  _xlpm.rows, _xlfn.SEQUENCE(20,1,105,5),
  _xlpm.rF, INDEX(results!F:F, _xlpm.rows),
  _xlpm.rG, INDEX(results!G:G, _xlpm.rows),
  _xlpm.num, SUM(_xlpm.rF),
  _xlpm.denom, SUM(_xlpm.rF + _xlpm.rG),
  _xlpm.num/_xlpm.denom
)</f>
        <v>1</v>
      </c>
      <c r="F29" s="3" cm="1">
        <f t="array" ref="F29">_xlfn.LET(
  _xlpm.rows, _xlfn.SEQUENCE(20,1,105,5),
  _xlpm.rF, INDEX(results!F:F, _xlpm.rows),
  _xlpm.rH, INDEX(results!H:H, _xlpm.rows),
  _xlpm.num, SUM(_xlpm.rF),
  _xlpm.denom, SUM(_xlpm.rF + _xlpm.rH),
  _xlpm.num/_xlpm.denom
)</f>
        <v>0.5</v>
      </c>
      <c r="G29" s="3" cm="1">
        <f t="array" ref="G29">_xlfn.LET(
  _xlpm.rows, _xlfn.SEQUENCE(20,1,105,5),
  _xlpm.rI, INDEX(results!I:I, _xlpm.rows),
  _xlpm.rG, INDEX(results!G:G, _xlpm.rows),
  _xlpm.num, SUM(_xlpm.rI),
  _xlpm.denom, SUM(_xlpm.rI + _xlpm.rG),
  _xlpm.num/_xlpm.denom
)</f>
        <v>1</v>
      </c>
      <c r="H29" s="3">
        <f t="shared" si="2"/>
        <v>0.66666666666666663</v>
      </c>
    </row>
    <row r="30" spans="2:8" x14ac:dyDescent="0.35">
      <c r="B30" s="3"/>
      <c r="C30" s="3" t="s">
        <v>111</v>
      </c>
      <c r="D30" s="3" cm="1">
        <f t="array" ref="D30">_xlfn.LET(
  _xlpm.rows, _xlfn.SEQUENCE(16,1,126,5),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0" s="3" cm="1">
        <f t="array" ref="E30">_xlfn.LET(
  _xlpm.rows, _xlfn.SEQUENCE(16,1,126,5),
  _xlpm.rF, INDEX(results!F:F, _xlpm.rows),
  _xlpm.rG, INDEX(results!G:G, _xlpm.rows),
  _xlpm.num, SUM(_xlpm.rF),
  _xlpm.denom, SUM(_xlpm.rF + _xlpm.rG),
  _xlpm.num/_xlpm.denom
)</f>
        <v>1</v>
      </c>
      <c r="F30" s="3" cm="1">
        <f t="array" ref="F30">_xlfn.LET(
  _xlpm.rows, _xlfn.SEQUENCE(16,1,126,5),
  _xlpm.rF, INDEX(results!F:F, _xlpm.rows),
  _xlpm.rH, INDEX(results!H:H, _xlpm.rows),
  _xlpm.num, SUM(_xlpm.rF),
  _xlpm.denom, SUM(_xlpm.rF + _xlpm.rH),
  _xlpm.num/_xlpm.denom
)</f>
        <v>0.5</v>
      </c>
      <c r="G30" s="3" cm="1">
        <f t="array" ref="G30">_xlfn.LET(
  _xlpm.rows, _xlfn.SEQUENCE(16,1,126,5),
  _xlpm.rI, INDEX(results!I:I, _xlpm.rows),
  _xlpm.rG, INDEX(results!G:G, _xlpm.rows),
  _xlpm.num, SUM(_xlpm.rI),
  _xlpm.denom, SUM(_xlpm.rI + _xlpm.rG),
  _xlpm.num/_xlpm.denom
)</f>
        <v>1</v>
      </c>
      <c r="H30" s="3">
        <f t="shared" si="2"/>
        <v>0.66666666666666663</v>
      </c>
    </row>
    <row r="31" spans="2:8" x14ac:dyDescent="0.35">
      <c r="B31" s="3"/>
      <c r="C31" s="3" t="s">
        <v>112</v>
      </c>
      <c r="D31" s="3" cm="1">
        <f t="array" ref="D31">_xlfn.LET(
  _xlpm.rows, _xlfn.SEQUENCE(4,1,106,5),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1" s="3" cm="1">
        <f t="array" ref="E31">_xlfn.LET(
  _xlpm.rows, _xlfn.SEQUENCE(4,1,106,5),
  _xlpm.rF, INDEX(results!F:F, _xlpm.rows),
  _xlpm.rG, INDEX(results!G:G, _xlpm.rows),
  _xlpm.num, SUM(_xlpm.rF),
  _xlpm.denom, SUM(_xlpm.rF + _xlpm.rG),
  _xlpm.num/_xlpm.denom
)</f>
        <v>1</v>
      </c>
      <c r="F31" s="3" cm="1">
        <f t="array" ref="F31">_xlfn.LET(
  _xlpm.rows, _xlfn.SEQUENCE(4,1,106,5),
  _xlpm.rF, INDEX(results!F:F, _xlpm.rows),
  _xlpm.rH, INDEX(results!H:H, _xlpm.rows),
  _xlpm.num, SUM(_xlpm.rF),
  _xlpm.denom, SUM(_xlpm.rF + _xlpm.rH),
  _xlpm.num/_xlpm.denom
)</f>
        <v>0.5</v>
      </c>
      <c r="G31" s="3" cm="1">
        <f t="array" ref="G31">_xlfn.LET(
  _xlpm.rows, _xlfn.SEQUENCE(4,1,106,5),
  _xlpm.rI, INDEX(results!I:I, _xlpm.rows),
  _xlpm.rG, INDEX(results!G:G, _xlpm.rows),
  _xlpm.num, SUM(_xlpm.rI),
  _xlpm.denom, SUM(_xlpm.rI + _xlpm.rG),
  _xlpm.num/_xlpm.denom
)</f>
        <v>1</v>
      </c>
      <c r="H31" s="3">
        <f t="shared" si="2"/>
        <v>0.66666666666666663</v>
      </c>
    </row>
    <row r="32" spans="2:8" x14ac:dyDescent="0.35">
      <c r="B32" s="10" t="s">
        <v>138</v>
      </c>
      <c r="C32" s="10" t="s">
        <v>108</v>
      </c>
      <c r="D32" s="10" cm="1">
        <f t="array" ref="D32">_xlfn.LET(
  _xlpm.valuesF, SUM(INDEX(results!F:F, _xlfn.SEQUENCE(5,1,107,20)),INDEX(results!F:F, _xlfn.SEQUENCE(5,1,112,20))),
  _xlpm.valuesI, SUM(INDEX(results!I:I, _xlfn.SEQUENCE(5,1,107,20)),INDEX(results!I:I, _xlfn.SEQUENCE(5,1,112,20))),
  _xlpm.valuesE, SUM(INDEX(results!E:E, _xlfn.SEQUENCE(5,1,107,20)),INDEX(results!E:E, _xlfn.SEQUENCE(5,1,112,20))),
  SUM(_xlpm.valuesF + _xlpm.valuesI)/(_xlpm.valuesE)
)</f>
        <v>0.77777777777777779</v>
      </c>
      <c r="E32" s="10" cm="1">
        <f t="array" ref="E32">_xlfn.LET(
 _xlpm.valuesF, SUM(INDEX(results!F:F, _xlfn.SEQUENCE(5,1,107,20)),INDEX(results!F:F, _xlfn.SEQUENCE(5,1,112,20))),
 _xlpm.valuesG, SUM(INDEX(results!G:G, _xlfn.SEQUENCE(5,1,107,20)),INDEX(results!G:G, _xlfn.SEQUENCE(5,1,112,20))),
 _xlpm.valuesF / (_xlpm.valuesF + _xlpm.valuesG)
)</f>
        <v>1</v>
      </c>
      <c r="F32" s="10" cm="1">
        <f t="array" ref="F32">_xlfn.LET(
 _xlpm.valuesF, SUM(INDEX(results!F:F, _xlfn.SEQUENCE(5,1,107,20)),INDEX(results!F:F, _xlfn.SEQUENCE(5,1,112,20))),
 _xlpm.valuesH, SUM(INDEX(results!H:H, _xlfn.SEQUENCE(5,1,107,20)),INDEX(results!H:H, _xlfn.SEQUENCE(5,1,112,20))),
 _xlpm.valuesF / (_xlpm.valuesF + _xlpm.valuesH)
)</f>
        <v>0.5</v>
      </c>
      <c r="G32" s="10" cm="1">
        <f t="array" ref="G32">_xlfn.LET(
 _xlpm.valuesI, SUM(INDEX(results!I:I, _xlfn.SEQUENCE(5,1,107,20)),INDEX(results!I:I, _xlfn.SEQUENCE(5,1,112,20))),
 _xlpm.valuesG, SUM(INDEX(results!G:G, _xlfn.SEQUENCE(5,1,107,20)),INDEX(results!G:G, _xlfn.SEQUENCE(5,1,112,20))),
 _xlpm.valuesI / (_xlpm.valuesI + _xlpm.valuesG)
)</f>
        <v>1</v>
      </c>
      <c r="H32" s="10">
        <f t="shared" ref="H32:H41" si="3">(2*E32*F32)/(E32+F32)</f>
        <v>0.66666666666666663</v>
      </c>
    </row>
    <row r="33" spans="2:8" x14ac:dyDescent="0.35">
      <c r="B33" s="10"/>
      <c r="C33" s="10" t="s">
        <v>109</v>
      </c>
      <c r="D33" s="10" cm="1">
        <f t="array" ref="D33">_xlfn.LET(
  _xlpm.valuesF, SUM(INDEX(results!F:F, _xlfn.SEQUENCE(5,1,104,20)),INDEX(results!F:F, _xlfn.SEQUENCE(5,1,109,20))),
  _xlpm.valuesI, SUM(INDEX(results!I:I, _xlfn.SEQUENCE(5,1,104,20)),INDEX(results!I:I, _xlfn.SEQUENCE(5,1,109,20))),
  _xlpm.valuesE, SUM(INDEX(results!E:E, _xlfn.SEQUENCE(5,1,104,20)),INDEX(results!E:E, _xlfn.SEQUENCE(5,1,109,20))),
  SUM(_xlpm.valuesF + _xlpm.valuesI)/(_xlpm.valuesE)
)</f>
        <v>0.77777777777777779</v>
      </c>
      <c r="E33" s="10" cm="1">
        <f t="array" ref="E33">_xlfn.LET(
 _xlpm.valuesF, SUM(INDEX(results!F:F, _xlfn.SEQUENCE(5,1,104,20)),INDEX(results!F:F, _xlfn.SEQUENCE(5,1,109,20))),
 _xlpm.valuesG, SUM(INDEX(results!G:G, _xlfn.SEQUENCE(5,1,104,20)),INDEX(results!G:G, _xlfn.SEQUENCE(5,1,109,20))),
 _xlpm.valuesF / (_xlpm.valuesF + _xlpm.valuesG)
)</f>
        <v>1</v>
      </c>
      <c r="F33" s="10" cm="1">
        <f t="array" ref="F33">_xlfn.LET(
 _xlpm.valuesF, SUM(INDEX(results!F:F, _xlfn.SEQUENCE(5,1,104,20)),INDEX(results!F:F, _xlfn.SEQUENCE(5,1,109,20))),
 _xlpm.valuesH, SUM(INDEX(results!H:H, _xlfn.SEQUENCE(5,1,104,20)),INDEX(results!H:H, _xlfn.SEQUENCE(5,1,109,20))),
 _xlpm.valuesF / (_xlpm.valuesF + _xlpm.valuesH)
)</f>
        <v>0.5</v>
      </c>
      <c r="G33" s="10" cm="1">
        <f t="array" ref="G33">_xlfn.LET(
 _xlpm.valuesI, SUM(INDEX(results!I:I, _xlfn.SEQUENCE(5,1,104,20)),INDEX(results!I:I, _xlfn.SEQUENCE(5,1,109,20))),
 _xlpm.valuesG, SUM(INDEX(results!G:G, _xlfn.SEQUENCE(5,1,104,20)),INDEX(results!G:G, _xlfn.SEQUENCE(5,1,109,20))),
 _xlpm.valuesI / (_xlpm.valuesI + _xlpm.valuesG)
)</f>
        <v>1</v>
      </c>
      <c r="H33" s="10">
        <f t="shared" si="3"/>
        <v>0.66666666666666663</v>
      </c>
    </row>
    <row r="34" spans="2:8" x14ac:dyDescent="0.35">
      <c r="B34" s="10"/>
      <c r="C34" s="10" t="s">
        <v>110</v>
      </c>
      <c r="D34" s="10" cm="1">
        <f t="array" ref="D34">_xlfn.LET(
  _xlpm.valuesF, SUM(INDEX(results!F:F, _xlfn.SEQUENCE(5,1,105,20)),INDEX(results!F:F, _xlfn.SEQUENCE(5,1,110,20))),
  _xlpm.valuesI, SUM(INDEX(results!I:I, _xlfn.SEQUENCE(5,1,105,20)),INDEX(results!I:I, _xlfn.SEQUENCE(5,1,110,20))),
  _xlpm.valuesE, SUM(INDEX(results!E:E, _xlfn.SEQUENCE(5,1,105,20)),INDEX(results!E:E, _xlfn.SEQUENCE(5,1,110,20))),
  SUM(_xlpm.valuesF + _xlpm.valuesI)/(_xlpm.valuesE)
)</f>
        <v>0.77777777777777779</v>
      </c>
      <c r="E34" s="10" cm="1">
        <f t="array" ref="E34">_xlfn.LET(
 _xlpm.valuesF, SUM(INDEX(results!F:F, _xlfn.SEQUENCE(5,1,105,20)),INDEX(results!F:F, _xlfn.SEQUENCE(5,1,110,20))),
 _xlpm.valuesG, SUM(INDEX(results!G:G, _xlfn.SEQUENCE(5,1,105,20)),INDEX(results!G:G, _xlfn.SEQUENCE(5,1,110,20))),
 _xlpm.valuesF / (_xlpm.valuesF + _xlpm.valuesG)
)</f>
        <v>1</v>
      </c>
      <c r="F34" s="10" cm="1">
        <f t="array" ref="F34">_xlfn.LET(
 _xlpm.valuesF, SUM(INDEX(results!F:F, _xlfn.SEQUENCE(5,1,105,20)),INDEX(results!F:F, _xlfn.SEQUENCE(5,1,110,20))),
 _xlpm.valuesH, SUM(INDEX(results!H:H, _xlfn.SEQUENCE(5,1,105,20)),INDEX(results!H:H, _xlfn.SEQUENCE(5,1,110,20))),
 _xlpm.valuesF / (_xlpm.valuesF + _xlpm.valuesH)
)</f>
        <v>0.5</v>
      </c>
      <c r="G34" s="10" cm="1">
        <f t="array" ref="G34">_xlfn.LET(
 _xlpm.valuesI, SUM(INDEX(results!I:I, _xlfn.SEQUENCE(5,1,105,20)),INDEX(results!I:I, _xlfn.SEQUENCE(5,1,110,20))),
 _xlpm.valuesG, SUM(INDEX(results!G:G, _xlfn.SEQUENCE(5,1,105,20)),INDEX(results!G:G, _xlfn.SEQUENCE(5,1,110,20))),
 _xlpm.valuesI / (_xlpm.valuesI + _xlpm.valuesG)
)</f>
        <v>1</v>
      </c>
      <c r="H34" s="10">
        <f t="shared" si="3"/>
        <v>0.66666666666666663</v>
      </c>
    </row>
    <row r="35" spans="2:8" x14ac:dyDescent="0.35">
      <c r="B35" s="10"/>
      <c r="C35" s="10" t="s">
        <v>111</v>
      </c>
      <c r="D35" s="10" cm="1">
        <f t="array" ref="D35">_xlfn.LET(
  _xlpm.valuesF, SUM(INDEX(results!F:F, _xlfn.SEQUENCE(4,1,126,20)),INDEX(results!F:F, _xlfn.SEQUENCE(4,1,131,20))),
  _xlpm.valuesI, SUM(INDEX(results!I:I, _xlfn.SEQUENCE(4,1,126,20)),INDEX(results!I:I, _xlfn.SEQUENCE(4,1,131,20))),
  _xlpm.valuesE, SUM(INDEX(results!E:E, _xlfn.SEQUENCE(4,1,126,20)),INDEX(results!E:E, _xlfn.SEQUENCE(4,1,131,20))),
  SUM(_xlpm.valuesF + _xlpm.valuesI)/(_xlpm.valuesE)
)</f>
        <v>0.77777777777777779</v>
      </c>
      <c r="E35" s="10" cm="1">
        <f t="array" ref="E35">_xlfn.LET(
 _xlpm.valuesF, SUM(INDEX(results!F:F, _xlfn.SEQUENCE(4,1,126,20)),INDEX(results!F:F, _xlfn.SEQUENCE(4,1,131,20))),
 _xlpm.valuesG, SUM(INDEX(results!G:G, _xlfn.SEQUENCE(4,1,126,20)),INDEX(results!G:G, _xlfn.SEQUENCE(4,1,131,20))),
 _xlpm.valuesF / (_xlpm.valuesF + _xlpm.valuesG)
)</f>
        <v>1</v>
      </c>
      <c r="F35" s="10" cm="1">
        <f t="array" ref="F35">_xlfn.LET(
 _xlpm.valuesF, SUM(INDEX(results!F:F, _xlfn.SEQUENCE(4,1,126,20)),INDEX(results!F:F, _xlfn.SEQUENCE(4,1,131,20))),
 _xlpm.valuesH, SUM(INDEX(results!H:H, _xlfn.SEQUENCE(4,1,126,20)),INDEX(results!H:H, _xlfn.SEQUENCE(4,1,131,20))),
 _xlpm.valuesF / (_xlpm.valuesF + _xlpm.valuesH)
)</f>
        <v>0.5</v>
      </c>
      <c r="G35" s="10" cm="1">
        <f t="array" ref="G35">_xlfn.LET(
 _xlpm.valuesI, SUM(INDEX(results!I:I, _xlfn.SEQUENCE(4,1,126,20)),INDEX(results!I:I, _xlfn.SEQUENCE(4,1,131,20))),
 _xlpm.valuesG, SUM(INDEX(results!G:G, _xlfn.SEQUENCE(4,1,126,20)),INDEX(results!G:G, _xlfn.SEQUENCE(4,1,131,20))),
 _xlpm.valuesI / (_xlpm.valuesI + _xlpm.valuesG)
)</f>
        <v>1</v>
      </c>
      <c r="H35" s="10">
        <f t="shared" si="3"/>
        <v>0.66666666666666663</v>
      </c>
    </row>
    <row r="36" spans="2:8" x14ac:dyDescent="0.35">
      <c r="B36" s="10"/>
      <c r="C36" s="10" t="s">
        <v>112</v>
      </c>
      <c r="D36" s="10" cm="1">
        <f t="array" ref="D36">_xlfn.LET(
  _xlpm.valuesF, SUM(INDEX(results!F:F, _xlfn.SEQUENCE(1,1,106,20)),INDEX(results!F:F, _xlfn.SEQUENCE(1,1,111,20))),
  _xlpm.valuesI, SUM(INDEX(results!I:I, _xlfn.SEQUENCE(1,1,106,20)),INDEX(results!I:I, _xlfn.SEQUENCE(1,1,111,20))),
  _xlpm.valuesE, SUM(INDEX(results!E:E, _xlfn.SEQUENCE(1,1,106,20)),INDEX(results!E:E, _xlfn.SEQUENCE(1,1,111,20))),
  SUM(_xlpm.valuesF + _xlpm.valuesI)/(_xlpm.valuesE)
)</f>
        <v>0.77777777777777779</v>
      </c>
      <c r="E36" s="10" cm="1">
        <f t="array" ref="E36">_xlfn.LET(
 _xlpm.valuesF, SUM(INDEX(results!F:F, _xlfn.SEQUENCE(1,1,106,20)),INDEX(results!F:F, _xlfn.SEQUENCE(1,1,111,20))),
 _xlpm.valuesG, SUM(INDEX(results!G:G, _xlfn.SEQUENCE(1,1,106,20)),INDEX(results!G:G, _xlfn.SEQUENCE(1,1,111,20))),
 _xlpm.valuesF / (_xlpm.valuesF + _xlpm.valuesG)
)</f>
        <v>1</v>
      </c>
      <c r="F36" s="10" cm="1">
        <f t="array" ref="F36">_xlfn.LET(
 _xlpm.valuesF, SUM(INDEX(results!F:F, _xlfn.SEQUENCE(1,1,106,20)),INDEX(results!F:F, _xlfn.SEQUENCE(1,1,111,20))),
 _xlpm.valuesH, SUM(INDEX(results!H:H, _xlfn.SEQUENCE(1,1,106,20)),INDEX(results!H:H, _xlfn.SEQUENCE(1,1,111,20))),
 _xlpm.valuesF / (_xlpm.valuesF + _xlpm.valuesH)
)</f>
        <v>0.5</v>
      </c>
      <c r="G36" s="10" cm="1">
        <f t="array" ref="G36">_xlfn.LET(
 _xlpm.valuesI, SUM(INDEX(results!I:I, _xlfn.SEQUENCE(1,1,106,20)),INDEX(results!I:I, _xlfn.SEQUENCE(1,1,111,20))),
 _xlpm.valuesG, SUM(INDEX(results!G:G, _xlfn.SEQUENCE(1,1,106,20)),INDEX(results!G:G, _xlfn.SEQUENCE(1,1,111,20))),
 _xlpm.valuesI / (_xlpm.valuesI + _xlpm.valuesG)
)</f>
        <v>1</v>
      </c>
      <c r="H36" s="10">
        <f t="shared" si="3"/>
        <v>0.66666666666666663</v>
      </c>
    </row>
    <row r="37" spans="2:8" x14ac:dyDescent="0.35">
      <c r="B37" s="18" t="s">
        <v>139</v>
      </c>
      <c r="C37" s="18" t="s">
        <v>108</v>
      </c>
      <c r="D37" s="18" cm="1">
        <f t="array" ref="D37">_xlfn.LET(
  _xlpm.valuesF, SUM(INDEX(results!F:F, _xlfn.SEQUENCE(5,1,117,20)),INDEX(results!F:F, _xlfn.SEQUENCE(5,1,122,20))),
  _xlpm.valuesI, SUM(INDEX(results!I:I, _xlfn.SEQUENCE(5,1,117,20)),INDEX(results!I:I, _xlfn.SEQUENCE(5,1,122,20))),
  _xlpm.valuesE, SUM(INDEX(results!E:E, _xlfn.SEQUENCE(5,1,117,20)),INDEX(results!E:E, _xlfn.SEQUENCE(5,1,122,20))),
  SUM(_xlpm.valuesF + _xlpm.valuesI)/(_xlpm.valuesE)
)</f>
        <v>0.75</v>
      </c>
      <c r="E37" s="18" cm="1">
        <f t="array" ref="E37">_xlfn.LET(
 _xlpm.valuesF, SUM(INDEX(results!F:F, _xlfn.SEQUENCE(5,1,117,20)),INDEX(results!F:F, _xlfn.SEQUENCE(5,1,122,20))),
 _xlpm.valuesG, SUM(INDEX(results!G:G, _xlfn.SEQUENCE(5,1,117,20)),INDEX(results!G:G, _xlfn.SEQUENCE(5,1,122,20))),
 _xlpm.valuesF / (_xlpm.valuesF + _xlpm.valuesG)
)</f>
        <v>1</v>
      </c>
      <c r="F37" s="18" cm="1">
        <f t="array" ref="F37">_xlfn.LET(
 _xlpm.valuesF, SUM(INDEX(results!F:F, _xlfn.SEQUENCE(5,1,117,20)),INDEX(results!F:F, _xlfn.SEQUENCE(5,1,122,20))),
 _xlpm.valuesH, SUM(INDEX(results!H:H, _xlfn.SEQUENCE(5,1,117,20)),INDEX(results!H:H, _xlfn.SEQUENCE(5,1,122,20))),
 _xlpm.valuesF / (_xlpm.valuesF + _xlpm.valuesH)
)</f>
        <v>0.5</v>
      </c>
      <c r="G37" s="18" cm="1">
        <f t="array" ref="G37">_xlfn.LET(
 _xlpm.valuesI, SUM(INDEX(results!I:I, _xlfn.SEQUENCE(5,1,117,20)),INDEX(results!I:I, _xlfn.SEQUENCE(5,1,122,20))),
 _xlpm.valuesG, SUM(INDEX(results!G:G, _xlfn.SEQUENCE(5,1,117,20)),INDEX(results!G:G, _xlfn.SEQUENCE(5,1,122,20))),
 _xlpm.valuesI / (_xlpm.valuesI + _xlpm.valuesG)
)</f>
        <v>1</v>
      </c>
      <c r="H37" s="18">
        <f t="shared" si="3"/>
        <v>0.66666666666666663</v>
      </c>
    </row>
    <row r="38" spans="2:8" x14ac:dyDescent="0.35">
      <c r="B38" s="18"/>
      <c r="C38" s="18" t="s">
        <v>109</v>
      </c>
      <c r="D38" s="18" cm="1">
        <f t="array" ref="D38">_xlfn.LET(
  _xlpm.valuesF, SUM(INDEX(results!F:F, _xlfn.SEQUENCE(5,1,114,20)),INDEX(results!F:F, _xlfn.SEQUENCE(5,1,119,20))),
  _xlpm.valuesI, SUM(INDEX(results!I:I, _xlfn.SEQUENCE(5,1,114,20)),INDEX(results!I:I, _xlfn.SEQUENCE(5,1,119,20))),
  _xlpm.valuesE, SUM(INDEX(results!E:E, _xlfn.SEQUENCE(5,1,114,20)),INDEX(results!E:E, _xlfn.SEQUENCE(5,1,119,20))),
  SUM(_xlpm.valuesF + _xlpm.valuesI)/(_xlpm.valuesE)
)</f>
        <v>0.75</v>
      </c>
      <c r="E38" s="18" cm="1">
        <f t="array" ref="E38">_xlfn.LET(
 _xlpm.valuesF, SUM(INDEX(results!F:F, _xlfn.SEQUENCE(5,1,114,20)),INDEX(results!F:F, _xlfn.SEQUENCE(5,1,119,20))),
 _xlpm.valuesG, SUM(INDEX(results!G:G, _xlfn.SEQUENCE(5,1,114,20)),INDEX(results!G:G, _xlfn.SEQUENCE(5,1,119,20))),
 _xlpm.valuesF / (_xlpm.valuesF + _xlpm.valuesG)
)</f>
        <v>1</v>
      </c>
      <c r="F38" s="18" cm="1">
        <f t="array" ref="F38">_xlfn.LET(
 _xlpm.valuesF, SUM(INDEX(results!F:F, _xlfn.SEQUENCE(5,1,114,20)),INDEX(results!F:F, _xlfn.SEQUENCE(5,1,119,20))),
 _xlpm.valuesH, SUM(INDEX(results!H:H, _xlfn.SEQUENCE(5,1,114,20)),INDEX(results!H:H, _xlfn.SEQUENCE(5,1,119,20))),
 _xlpm.valuesF / (_xlpm.valuesF + _xlpm.valuesH)
)</f>
        <v>0.5</v>
      </c>
      <c r="G38" s="18" cm="1">
        <f t="array" ref="G38">_xlfn.LET(
 _xlpm.valuesI, SUM(INDEX(results!I:I, _xlfn.SEQUENCE(5,1,114,20)),INDEX(results!I:I, _xlfn.SEQUENCE(5,1,119,20))),
 _xlpm.valuesG, SUM(INDEX(results!G:G, _xlfn.SEQUENCE(5,1,114,20)),INDEX(results!G:G, _xlfn.SEQUENCE(5,1,119,20))),
 _xlpm.valuesI / (_xlpm.valuesI + _xlpm.valuesG)
)</f>
        <v>1</v>
      </c>
      <c r="H38" s="18">
        <f t="shared" si="3"/>
        <v>0.66666666666666663</v>
      </c>
    </row>
    <row r="39" spans="2:8" x14ac:dyDescent="0.35">
      <c r="B39" s="18"/>
      <c r="C39" s="18" t="s">
        <v>110</v>
      </c>
      <c r="D39" s="18" cm="1">
        <f t="array" ref="D39">_xlfn.LET(
  _xlpm.valuesF, SUM(INDEX(results!F:F, _xlfn.SEQUENCE(5,1,115,20)),INDEX(results!F:F, _xlfn.SEQUENCE(5,1,120,20))),
  _xlpm.valuesI, SUM(INDEX(results!I:I, _xlfn.SEQUENCE(5,1,115,20)),INDEX(results!I:I, _xlfn.SEQUENCE(5,1,120,20))),
  _xlpm.valuesE, SUM(INDEX(results!E:E, _xlfn.SEQUENCE(5,1,115,20)),INDEX(results!E:E, _xlfn.SEQUENCE(5,1,120,20))),
  SUM(_xlpm.valuesF + _xlpm.valuesI)/(_xlpm.valuesE)
)</f>
        <v>0.75</v>
      </c>
      <c r="E39" s="18" cm="1">
        <f t="array" ref="E39">_xlfn.LET(
 _xlpm.valuesF, SUM(INDEX(results!F:F, _xlfn.SEQUENCE(5,1,115,20)),INDEX(results!F:F, _xlfn.SEQUENCE(5,1,120,20))),
 _xlpm.valuesG, SUM(INDEX(results!G:G, _xlfn.SEQUENCE(5,1,115,20)),INDEX(results!G:G, _xlfn.SEQUENCE(5,1,120,20))),
 _xlpm.valuesF / (_xlpm.valuesF + _xlpm.valuesG)
)</f>
        <v>1</v>
      </c>
      <c r="F39" s="18" cm="1">
        <f t="array" ref="F39">_xlfn.LET(
 _xlpm.valuesF, SUM(INDEX(results!F:F, _xlfn.SEQUENCE(5,1,115,20)),INDEX(results!F:F, _xlfn.SEQUENCE(5,1,120,20))),
 _xlpm.valuesH, SUM(INDEX(results!H:H, _xlfn.SEQUENCE(5,1,115,20)),INDEX(results!H:H, _xlfn.SEQUENCE(5,1,120,20))),
 _xlpm.valuesF / (_xlpm.valuesF + _xlpm.valuesH)
)</f>
        <v>0.5</v>
      </c>
      <c r="G39" s="18" cm="1">
        <f t="array" ref="G39">_xlfn.LET(
 _xlpm.valuesI, SUM(INDEX(results!I:I, _xlfn.SEQUENCE(5,1,115,20)),INDEX(results!I:I, _xlfn.SEQUENCE(5,1,120,20))),
 _xlpm.valuesG, SUM(INDEX(results!G:G, _xlfn.SEQUENCE(5,1,115,20)),INDEX(results!G:G, _xlfn.SEQUENCE(5,1,120,20))),
 _xlpm.valuesI / (_xlpm.valuesI + _xlpm.valuesG)
)</f>
        <v>1</v>
      </c>
      <c r="H39" s="18">
        <f t="shared" si="3"/>
        <v>0.66666666666666663</v>
      </c>
    </row>
    <row r="40" spans="2:8" x14ac:dyDescent="0.35">
      <c r="B40" s="18"/>
      <c r="C40" s="18" t="s">
        <v>111</v>
      </c>
      <c r="D40" s="18" cm="1">
        <f t="array" ref="D40">_xlfn.LET(
  _xlpm.valuesF, SUM(INDEX(results!F:F, _xlfn.SEQUENCE(4,1,136,20)),INDEX(results!F:F, _xlfn.SEQUENCE(4,1,141,20))),
  _xlpm.valuesI, SUM(INDEX(results!I:I, _xlfn.SEQUENCE(4,1,136,20)),INDEX(results!I:I, _xlfn.SEQUENCE(4,1,141,20))),
  _xlpm.valuesE, SUM(INDEX(results!E:E, _xlfn.SEQUENCE(4,1,136,20)),INDEX(results!E:E, _xlfn.SEQUENCE(4,1,141,20))),
  SUM(_xlpm.valuesF + _xlpm.valuesI)/(_xlpm.valuesE)
)</f>
        <v>0.75</v>
      </c>
      <c r="E40" s="18" cm="1">
        <f t="array" ref="E40">_xlfn.LET(
 _xlpm.valuesF, SUM(INDEX(results!F:F, _xlfn.SEQUENCE(4,1,136,20)),INDEX(results!F:F, _xlfn.SEQUENCE(4,1,141,20))),
 _xlpm.valuesG, SUM(INDEX(results!G:G, _xlfn.SEQUENCE(4,1,136,20)),INDEX(results!G:G, _xlfn.SEQUENCE(4,1,141,20))),
 _xlpm.valuesF / (_xlpm.valuesF + _xlpm.valuesG)
)</f>
        <v>1</v>
      </c>
      <c r="F40" s="18" cm="1">
        <f t="array" ref="F40">_xlfn.LET(
 _xlpm.valuesF, SUM(INDEX(results!F:F, _xlfn.SEQUENCE(4,1,136,20)),INDEX(results!F:F, _xlfn.SEQUENCE(4,1,141,20))),
 _xlpm.valuesH, SUM(INDEX(results!H:H, _xlfn.SEQUENCE(4,1,136,20)),INDEX(results!H:H, _xlfn.SEQUENCE(4,1,141,20))),
 _xlpm.valuesF / (_xlpm.valuesF + _xlpm.valuesH)
)</f>
        <v>0.5</v>
      </c>
      <c r="G40" s="18" cm="1">
        <f t="array" ref="G40">_xlfn.LET(
 _xlpm.valuesI, SUM(INDEX(results!I:I, _xlfn.SEQUENCE(4,1,136,20)),INDEX(results!I:I, _xlfn.SEQUENCE(4,1,141,20))),
 _xlpm.valuesG, SUM(INDEX(results!G:G, _xlfn.SEQUENCE(4,1,136,20)),INDEX(results!G:G, _xlfn.SEQUENCE(4,1,141,20))),
 _xlpm.valuesI / (_xlpm.valuesI + _xlpm.valuesG)
)</f>
        <v>1</v>
      </c>
      <c r="H40" s="18">
        <f t="shared" si="3"/>
        <v>0.66666666666666663</v>
      </c>
    </row>
    <row r="41" spans="2:8" x14ac:dyDescent="0.35">
      <c r="B41" s="18"/>
      <c r="C41" s="18" t="s">
        <v>112</v>
      </c>
      <c r="D41" s="18" cm="1">
        <f t="array" ref="D41">_xlfn.LET(
  _xlpm.valuesF, SUM(INDEX(results!F:F, _xlfn.SEQUENCE(1,1,116,20)),INDEX(results!F:F, _xlfn.SEQUENCE(1,1,121,20))),
  _xlpm.valuesI, SUM(INDEX(results!I:I, _xlfn.SEQUENCE(1,1,116,20)),INDEX(results!I:I, _xlfn.SEQUENCE(1,1,121,20))),
  _xlpm.valuesE, SUM(INDEX(results!E:E, _xlfn.SEQUENCE(1,1,116,20)),INDEX(results!E:E, _xlfn.SEQUENCE(1,1,121,20))),
  SUM(_xlpm.valuesF + _xlpm.valuesI)/(_xlpm.valuesE)
)</f>
        <v>0.75</v>
      </c>
      <c r="E41" s="18" cm="1">
        <f t="array" ref="E41">_xlfn.LET(
 _xlpm.valuesF, SUM(INDEX(results!F:F, _xlfn.SEQUENCE(1,1,116,20)),INDEX(results!F:F, _xlfn.SEQUENCE(1,1,121,20))),
 _xlpm.valuesG, SUM(INDEX(results!G:G, _xlfn.SEQUENCE(1,1,116,20)),INDEX(results!G:G, _xlfn.SEQUENCE(1,1,121,20))),
 _xlpm.valuesF / (_xlpm.valuesF + _xlpm.valuesG)
)</f>
        <v>1</v>
      </c>
      <c r="F41" s="18" cm="1">
        <f t="array" ref="F41">_xlfn.LET(
 _xlpm.valuesF, SUM(INDEX(results!F:F, _xlfn.SEQUENCE(1,1,116,20)),INDEX(results!F:F, _xlfn.SEQUENCE(1,1,121,20))),
 _xlpm.valuesH, SUM(INDEX(results!H:H, _xlfn.SEQUENCE(1,1,116,20)),INDEX(results!H:H, _xlfn.SEQUENCE(1,1,121,20))),
 _xlpm.valuesF / (_xlpm.valuesF + _xlpm.valuesH)
)</f>
        <v>0.5</v>
      </c>
      <c r="G41" s="18" cm="1">
        <f t="array" ref="G41">_xlfn.LET(
 _xlpm.valuesI, SUM(INDEX(results!I:I, _xlfn.SEQUENCE(1,1,116,20)),INDEX(results!I:I, _xlfn.SEQUENCE(1,1,121,20))),
 _xlpm.valuesG, SUM(INDEX(results!G:G, _xlfn.SEQUENCE(1,1,116,20)),INDEX(results!G:G, _xlfn.SEQUENCE(1,1,121,20))),
 _xlpm.valuesI / (_xlpm.valuesI + _xlpm.valuesG)
)</f>
        <v>1</v>
      </c>
      <c r="H41" s="18">
        <f t="shared" si="3"/>
        <v>0.66666666666666663</v>
      </c>
    </row>
    <row r="43" spans="2:8" x14ac:dyDescent="0.35">
      <c r="B43" s="3" t="s">
        <v>134</v>
      </c>
      <c r="C43" s="3" t="s">
        <v>108</v>
      </c>
      <c r="D43" s="3" cm="1">
        <f t="array" ref="D43">_xlfn.LET(
  _xlpm.rows, _xlfn.SEQUENCE(20,1,208,5),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43" s="3" cm="1">
        <f t="array" ref="E43">_xlfn.LET(
  _xlpm.rows, _xlfn.SEQUENCE(20,1,208,5),
  _xlpm.rF, INDEX(results!F:F, _xlpm.rows),
  _xlpm.rG, INDEX(results!G:G, _xlpm.rows),
  _xlpm.num, SUM(_xlpm.rF),
  _xlpm.denom, SUM(_xlpm.rF + _xlpm.rG),
  _xlpm.num/_xlpm.denom
)</f>
        <v>0.8</v>
      </c>
      <c r="F43" s="3" cm="1">
        <f t="array" ref="F43">_xlfn.LET(
  _xlpm.rows, _xlfn.SEQUENCE(20,1,208,5),
  _xlpm.rF, INDEX(results!F:F, _xlpm.rows),
  _xlpm.rH, INDEX(results!H:H, _xlpm.rows),
  _xlpm.num, SUM(_xlpm.rF),
  _xlpm.denom, SUM(_xlpm.rF + _xlpm.rH),
  _xlpm.num/_xlpm.denom
)</f>
        <v>0.5</v>
      </c>
      <c r="G43" s="3" cm="1">
        <f t="array" ref="G43">_xlfn.LET(
  _xlpm.rows, _xlfn.SEQUENCE(20,1,208,5),
  _xlpm.rI, INDEX(results!I:I, _xlpm.rows),
  _xlpm.rG, INDEX(results!G:G, _xlpm.rows),
  _xlpm.num, SUM(_xlpm.rI),
  _xlpm.denom, SUM(_xlpm.rI + _xlpm.rG),
  _xlpm.num/_xlpm.denom
)</f>
        <v>0.88888888888888884</v>
      </c>
      <c r="H43" s="3">
        <f t="shared" si="2"/>
        <v>0.61538461538461542</v>
      </c>
    </row>
    <row r="44" spans="2:8" x14ac:dyDescent="0.35">
      <c r="B44" s="3"/>
      <c r="C44" s="3" t="s">
        <v>109</v>
      </c>
      <c r="D44" s="3" cm="1">
        <f t="array" ref="D44">_xlfn.LET(
  _xlpm.rows, _xlfn.SEQUENCE(20,1,205,5),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44" s="3" cm="1">
        <f t="array" ref="E44">_xlfn.LET(
  _xlpm.rows, _xlfn.SEQUENCE(20,1,205,5),
  _xlpm.rF, INDEX(results!F:F, _xlpm.rows),
  _xlpm.rG, INDEX(results!G:G, _xlpm.rows),
  _xlpm.num, SUM(_xlpm.rF),
  _xlpm.denom, SUM(_xlpm.rF + _xlpm.rG),
  _xlpm.num/_xlpm.denom
)</f>
        <v>0.8</v>
      </c>
      <c r="F44" s="3" cm="1">
        <f t="array" ref="F44">_xlfn.LET(
  _xlpm.rows, _xlfn.SEQUENCE(20,1,205,5),
  _xlpm.rF, INDEX(results!F:F, _xlpm.rows),
  _xlpm.rH, INDEX(results!H:H, _xlpm.rows),
  _xlpm.num, SUM(_xlpm.rF),
  _xlpm.denom, SUM(_xlpm.rF + _xlpm.rH),
  _xlpm.num/_xlpm.denom
)</f>
        <v>0.5</v>
      </c>
      <c r="G44" s="3" cm="1">
        <f t="array" ref="G44">_xlfn.LET(
  _xlpm.rows, _xlfn.SEQUENCE(20,1,205,5),
  _xlpm.rI, INDEX(results!I:I, _xlpm.rows),
  _xlpm.rG, INDEX(results!G:G, _xlpm.rows),
  _xlpm.num, SUM(_xlpm.rI),
  _xlpm.denom, SUM(_xlpm.rI + _xlpm.rG),
  _xlpm.num/_xlpm.denom
)</f>
        <v>0.88888888888888884</v>
      </c>
      <c r="H44" s="3">
        <f t="shared" si="2"/>
        <v>0.61538461538461542</v>
      </c>
    </row>
    <row r="45" spans="2:8" x14ac:dyDescent="0.35">
      <c r="B45" s="3"/>
      <c r="C45" s="3" t="s">
        <v>110</v>
      </c>
      <c r="D45" s="3" cm="1">
        <f t="array" ref="D45">_xlfn.LET(
  _xlpm.rows, _xlfn.SEQUENCE(20,1,206,5),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45" s="3" t="e" cm="1">
        <f t="array" ref="E45">_xlfn.LET(
  _xlpm.rows, _xlfn.SEQUENCE(20,1,206,5),
  _xlpm.rF, INDEX(results!F:F, _xlpm.rows),
  _xlpm.rG, INDEX(results!G:G, _xlpm.rows),
  _xlpm.num, SUM(_xlpm.rF),
  _xlpm.denom, SUM(_xlpm.rF + _xlpm.rG),
  _xlpm.num/_xlpm.denom
)</f>
        <v>#DIV/0!</v>
      </c>
      <c r="F45" s="3" cm="1">
        <f t="array" ref="F45">_xlfn.LET(
  _xlpm.rows, _xlfn.SEQUENCE(20,1,206,5),
  _xlpm.rF, INDEX(results!F:F, _xlpm.rows),
  _xlpm.rH, INDEX(results!H:H, _xlpm.rows),
  _xlpm.num, SUM(_xlpm.rF),
  _xlpm.denom, SUM(_xlpm.rF + _xlpm.rH),
  _xlpm.num/_xlpm.denom
)</f>
        <v>0</v>
      </c>
      <c r="G45" s="3" cm="1">
        <f t="array" ref="G45">_xlfn.LET(
  _xlpm.rows, _xlfn.SEQUENCE(20,1,206,5),
  _xlpm.rI, INDEX(results!I:I, _xlpm.rows),
  _xlpm.rG, INDEX(results!G:G, _xlpm.rows),
  _xlpm.num, SUM(_xlpm.rI),
  _xlpm.denom, SUM(_xlpm.rI + _xlpm.rG),
  _xlpm.num/_xlpm.denom
)</f>
        <v>1</v>
      </c>
      <c r="H45" s="3" t="e">
        <f t="shared" si="2"/>
        <v>#DIV/0!</v>
      </c>
    </row>
    <row r="46" spans="2:8" x14ac:dyDescent="0.35">
      <c r="B46" s="3"/>
      <c r="C46" s="3" t="s">
        <v>111</v>
      </c>
      <c r="D46" s="3" cm="1">
        <f t="array" ref="D46">_xlfn.LET(
  _xlpm.rows, _xlfn.SEQUENCE(16,1,227,5),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46" s="3" t="e" cm="1">
        <f t="array" ref="E46">_xlfn.LET(
  _xlpm.rows, _xlfn.SEQUENCE(16,1,227,5),
  _xlpm.rF, INDEX(results!F:F, _xlpm.rows),
  _xlpm.rG, INDEX(results!G:G, _xlpm.rows),
  _xlpm.num, SUM(_xlpm.rF),
  _xlpm.denom, SUM(_xlpm.rF + _xlpm.rG),
  _xlpm.num/_xlpm.denom
)</f>
        <v>#DIV/0!</v>
      </c>
      <c r="F46" s="3" cm="1">
        <f t="array" ref="F46">_xlfn.LET(
  _xlpm.rows, _xlfn.SEQUENCE(16,1,227,5),
  _xlpm.rF, INDEX(results!F:F, _xlpm.rows),
  _xlpm.rH, INDEX(results!H:H, _xlpm.rows),
  _xlpm.num, SUM(_xlpm.rF),
  _xlpm.denom, SUM(_xlpm.rF + _xlpm.rH),
  _xlpm.num/_xlpm.denom
)</f>
        <v>0</v>
      </c>
      <c r="G46" s="3" cm="1">
        <f t="array" ref="G46">_xlfn.LET(
  _xlpm.rows, _xlfn.SEQUENCE(16,1,227,5),
  _xlpm.rI, INDEX(results!I:I, _xlpm.rows),
  _xlpm.rG, INDEX(results!G:G, _xlpm.rows),
  _xlpm.num, SUM(_xlpm.rI),
  _xlpm.denom, SUM(_xlpm.rI + _xlpm.rG),
  _xlpm.num/_xlpm.denom
)</f>
        <v>1</v>
      </c>
      <c r="H46" s="3" t="e">
        <f t="shared" si="2"/>
        <v>#DIV/0!</v>
      </c>
    </row>
    <row r="47" spans="2:8" x14ac:dyDescent="0.35">
      <c r="B47" s="3"/>
      <c r="C47" s="3" t="s">
        <v>112</v>
      </c>
      <c r="D47" s="3" cm="1">
        <f t="array" ref="D47">_xlfn.LET(
  _xlpm.rows, _xlfn.SEQUENCE(4,1,207,5),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47" s="3" t="e" cm="1">
        <f t="array" ref="E47">_xlfn.LET(
  _xlpm.rows, _xlfn.SEQUENCE(4,1,207,5),
  _xlpm.rF, INDEX(results!F:F, _xlpm.rows),
  _xlpm.rG, INDEX(results!G:G, _xlpm.rows),
  _xlpm.num, SUM(_xlpm.rF),
  _xlpm.denom, SUM(_xlpm.rF + _xlpm.rG),
  _xlpm.num/_xlpm.denom
)</f>
        <v>#DIV/0!</v>
      </c>
      <c r="F47" s="3" cm="1">
        <f t="array" ref="F47">_xlfn.LET(
  _xlpm.rows, _xlfn.SEQUENCE(4,1,207,5),
  _xlpm.rF, INDEX(results!F:F, _xlpm.rows),
  _xlpm.rH, INDEX(results!H:H, _xlpm.rows),
  _xlpm.num, SUM(_xlpm.rF),
  _xlpm.denom, SUM(_xlpm.rF + _xlpm.rH),
  _xlpm.num/_xlpm.denom
)</f>
        <v>0</v>
      </c>
      <c r="G47" s="3" cm="1">
        <f t="array" ref="G47">_xlfn.LET(
  _xlpm.rows, _xlfn.SEQUENCE(4,1,207,5),
  _xlpm.rI, INDEX(results!I:I, _xlpm.rows),
  _xlpm.rG, INDEX(results!G:G, _xlpm.rows),
  _xlpm.num, SUM(_xlpm.rI),
  _xlpm.denom, SUM(_xlpm.rI + _xlpm.rG),
  _xlpm.num/_xlpm.denom
)</f>
        <v>1</v>
      </c>
      <c r="H47" s="3" t="e">
        <f t="shared" si="2"/>
        <v>#DIV/0!</v>
      </c>
    </row>
    <row r="48" spans="2:8" x14ac:dyDescent="0.35">
      <c r="B48" s="10" t="s">
        <v>140</v>
      </c>
      <c r="C48" s="10" t="s">
        <v>108</v>
      </c>
      <c r="D48" s="10" cm="1">
        <f t="array" ref="D48">_xlfn.LET(
  _xlpm.valuesF, SUM(INDEX(results!F:F, _xlfn.SEQUENCE(5,1,208,20)),INDEX(results!F:F, _xlfn.SEQUENCE(5,1,213,20))),
  _xlpm.valuesI, SUM(INDEX(results!I:I, _xlfn.SEQUENCE(5,1,208,20)),INDEX(results!I:I, _xlfn.SEQUENCE(5,1,213,20))),
  _xlpm.valuesE, SUM(INDEX(results!E:E, _xlfn.SEQUENCE(5,1,208,20)),INDEX(results!E:E, _xlfn.SEQUENCE(5,1,213,20))),
  SUM(_xlpm.valuesF + _xlpm.valuesI)/(_xlpm.valuesE)
)</f>
        <v>0.88888888888888884</v>
      </c>
      <c r="E48" s="10" cm="1">
        <f t="array" ref="E48">_xlfn.LET(
 _xlpm.valuesF, SUM(INDEX(results!F:F, _xlfn.SEQUENCE(5,1,208,20)),INDEX(results!F:F, _xlfn.SEQUENCE(5,1,213,20))),
 _xlpm.valuesG, SUM(INDEX(results!G:G, _xlfn.SEQUENCE(5,1,208,20)),INDEX(results!G:G, _xlfn.SEQUENCE(5,1,213,20))),
 _xlpm.valuesF / (_xlpm.valuesF + _xlpm.valuesG)
)</f>
        <v>0.8</v>
      </c>
      <c r="F48" s="10" cm="1">
        <f t="array" ref="F48">_xlfn.LET(
 _xlpm.valuesF, SUM(INDEX(results!F:F, _xlfn.SEQUENCE(5,1,208,20)),INDEX(results!F:F, _xlfn.SEQUENCE(5,1,213,20))),
 _xlpm.valuesH, SUM(INDEX(results!H:H, _xlfn.SEQUENCE(5,1,208,20)),INDEX(results!H:H, _xlfn.SEQUENCE(5,1,213,20))),
 _xlpm.valuesF / (_xlpm.valuesF + _xlpm.valuesH)
)</f>
        <v>1</v>
      </c>
      <c r="G48" s="10" cm="1">
        <f t="array" ref="G48">_xlfn.LET(
 _xlpm.valuesI, SUM(INDEX(results!I:I, _xlfn.SEQUENCE(5,1,208,20)),INDEX(results!I:I, _xlfn.SEQUENCE(5,1,213,20))),
 _xlpm.valuesG, SUM(INDEX(results!G:G, _xlfn.SEQUENCE(5,1,208,20)),INDEX(results!G:G, _xlfn.SEQUENCE(5,1,213,20))),
 _xlpm.valuesI / (_xlpm.valuesI + _xlpm.valuesG)
)</f>
        <v>0.8</v>
      </c>
      <c r="H48" s="10">
        <f>(2*E48*F48)/(E48+F48)</f>
        <v>0.88888888888888895</v>
      </c>
    </row>
    <row r="49" spans="1:8" x14ac:dyDescent="0.35">
      <c r="B49" s="10"/>
      <c r="C49" s="10" t="s">
        <v>109</v>
      </c>
      <c r="D49" s="10" cm="1">
        <f t="array" ref="D49">_xlfn.LET(
  _xlpm.valuesF, SUM(INDEX(results!F:F, _xlfn.SEQUENCE(5,1,205,20)),INDEX(results!F:F, _xlfn.SEQUENCE(5,1,210,20))),
  _xlpm.valuesI, SUM(INDEX(results!I:I, _xlfn.SEQUENCE(5,1,205,20)),INDEX(results!I:I, _xlfn.SEQUENCE(5,1,210,20))),
  _xlpm.valuesE, SUM(INDEX(results!E:E, _xlfn.SEQUENCE(5,1,205,20)),INDEX(results!E:E, _xlfn.SEQUENCE(5,1,210,20))),
  SUM(_xlpm.valuesF + _xlpm.valuesI)/(_xlpm.valuesE)
)</f>
        <v>0.88888888888888884</v>
      </c>
      <c r="E49" s="10" cm="1">
        <f t="array" ref="E49">_xlfn.LET(
 _xlpm.valuesF, SUM(INDEX(results!F:F, _xlfn.SEQUENCE(5,1,205,20)),INDEX(results!F:F, _xlfn.SEQUENCE(5,1,210,20))),
 _xlpm.valuesG, SUM(INDEX(results!G:G, _xlfn.SEQUENCE(5,1,205,20)),INDEX(results!G:G, _xlfn.SEQUENCE(5,1,210,20))),
 _xlpm.valuesF / (_xlpm.valuesF + _xlpm.valuesG)
)</f>
        <v>0.8</v>
      </c>
      <c r="F49" s="10" cm="1">
        <f t="array" ref="F49">_xlfn.LET(
 _xlpm.valuesF, SUM(INDEX(results!F:F, _xlfn.SEQUENCE(5,1,205,20)),INDEX(results!F:F, _xlfn.SEQUENCE(5,1,210,20))),
 _xlpm.valuesH, SUM(INDEX(results!H:H, _xlfn.SEQUENCE(5,1,205,20)),INDEX(results!H:H, _xlfn.SEQUENCE(5,1,210,20))),
 _xlpm.valuesF / (_xlpm.valuesF + _xlpm.valuesH)
)</f>
        <v>1</v>
      </c>
      <c r="G49" s="10" cm="1">
        <f t="array" ref="G49">_xlfn.LET(
 _xlpm.valuesI, SUM(INDEX(results!I:I, _xlfn.SEQUENCE(5,1,205,20)),INDEX(results!I:I, _xlfn.SEQUENCE(5,1,210,20))),
 _xlpm.valuesG, SUM(INDEX(results!G:G, _xlfn.SEQUENCE(5,1,205,20)),INDEX(results!G:G, _xlfn.SEQUENCE(5,1,210,20))),
 _xlpm.valuesI / (_xlpm.valuesI + _xlpm.valuesG)
)</f>
        <v>0.8</v>
      </c>
      <c r="H49" s="10">
        <f t="shared" ref="H49:H52" si="4">(2*E49*F49)/(E49+F49)</f>
        <v>0.88888888888888895</v>
      </c>
    </row>
    <row r="50" spans="1:8" x14ac:dyDescent="0.35">
      <c r="B50" s="10"/>
      <c r="C50" s="10" t="s">
        <v>110</v>
      </c>
      <c r="D50" s="10" cm="1">
        <f t="array" ref="D50">_xlfn.LET(
  _xlpm.valuesF, SUM(INDEX(results!F:F, _xlfn.SEQUENCE(5,1,206,20)),INDEX(results!F:F, _xlfn.SEQUENCE(5,1,211,20))),
  _xlpm.valuesI, SUM(INDEX(results!I:I, _xlfn.SEQUENCE(5,1,206,20)),INDEX(results!I:I, _xlfn.SEQUENCE(5,1,211,20))),
  _xlpm.valuesE, SUM(INDEX(results!E:E, _xlfn.SEQUENCE(5,1,206,20)),INDEX(results!E:E, _xlfn.SEQUENCE(5,1,211,20))),
  SUM(_xlpm.valuesF + _xlpm.valuesI)/(_xlpm.valuesE)
)</f>
        <v>0.55555555555555558</v>
      </c>
      <c r="E50" s="10" t="e" cm="1">
        <f t="array" ref="E50">_xlfn.LET(
 _xlpm.valuesF, SUM(INDEX(results!F:F, _xlfn.SEQUENCE(5,1,206,20)),INDEX(results!F:F, _xlfn.SEQUENCE(5,1,211,20))),
 _xlpm.valuesG, SUM(INDEX(results!G:G, _xlfn.SEQUENCE(5,1,206,20)),INDEX(results!G:G, _xlfn.SEQUENCE(5,1,211,20))),
 _xlpm.valuesF / (_xlpm.valuesF + _xlpm.valuesG)
)</f>
        <v>#DIV/0!</v>
      </c>
      <c r="F50" s="10" cm="1">
        <f t="array" ref="F50">_xlfn.LET(
 _xlpm.valuesF, SUM(INDEX(results!F:F, _xlfn.SEQUENCE(5,1,206,20)),INDEX(results!F:F, _xlfn.SEQUENCE(5,1,211,20))),
 _xlpm.valuesH, SUM(INDEX(results!H:H, _xlfn.SEQUENCE(5,1,206,20)),INDEX(results!H:H, _xlfn.SEQUENCE(5,1,211,20))),
 _xlpm.valuesF / (_xlpm.valuesF + _xlpm.valuesH)
)</f>
        <v>0</v>
      </c>
      <c r="G50" s="10" cm="1">
        <f t="array" ref="G50">_xlfn.LET(
 _xlpm.valuesI, SUM(INDEX(results!I:I, _xlfn.SEQUENCE(5,1,206,20)),INDEX(results!I:I, _xlfn.SEQUENCE(5,1,211,20))),
 _xlpm.valuesG, SUM(INDEX(results!G:G, _xlfn.SEQUENCE(5,1,206,20)),INDEX(results!G:G, _xlfn.SEQUENCE(5,1,211,20))),
 _xlpm.valuesI / (_xlpm.valuesI + _xlpm.valuesG)
)</f>
        <v>1</v>
      </c>
      <c r="H50" s="10" t="e">
        <f t="shared" si="4"/>
        <v>#DIV/0!</v>
      </c>
    </row>
    <row r="51" spans="1:8" x14ac:dyDescent="0.35">
      <c r="B51" s="10"/>
      <c r="C51" s="10" t="s">
        <v>111</v>
      </c>
      <c r="D51" s="10" cm="1">
        <f t="array" ref="D51">_xlfn.LET(
  _xlpm.valuesF, SUM(INDEX(results!F:F, _xlfn.SEQUENCE(4,1,227,20)),INDEX(results!F:F, _xlfn.SEQUENCE(4,1,232,20))),
  _xlpm.valuesI, SUM(INDEX(results!I:I, _xlfn.SEQUENCE(4,1,227,20)),INDEX(results!I:I, _xlfn.SEQUENCE(4,1,232,20))),
  _xlpm.valuesE, SUM(INDEX(results!E:E, _xlfn.SEQUENCE(4,1,227,20)),INDEX(results!E:E, _xlfn.SEQUENCE(4,1,232,20))),
  SUM(_xlpm.valuesF + _xlpm.valuesI)/(_xlpm.valuesE)
)</f>
        <v>0.55555555555555558</v>
      </c>
      <c r="E51" s="10" t="e" cm="1">
        <f t="array" ref="E51">_xlfn.LET(
 _xlpm.valuesF, SUM(INDEX(results!F:F, _xlfn.SEQUENCE(4,1,227,20)),INDEX(results!F:F, _xlfn.SEQUENCE(4,1,232,20))),
 _xlpm.valuesG, SUM(INDEX(results!G:G, _xlfn.SEQUENCE(4,1,227,20)),INDEX(results!G:G, _xlfn.SEQUENCE(4,1,232,20))),
 _xlpm.valuesF / (_xlpm.valuesF + _xlpm.valuesG)
)</f>
        <v>#DIV/0!</v>
      </c>
      <c r="F51" s="10" cm="1">
        <f t="array" ref="F51">_xlfn.LET(
 _xlpm.valuesF, SUM(INDEX(results!F:F, _xlfn.SEQUENCE(4,1,227,20)),INDEX(results!F:F, _xlfn.SEQUENCE(4,1,232,20))),
 _xlpm.valuesH, SUM(INDEX(results!H:H, _xlfn.SEQUENCE(4,1,227,20)),INDEX(results!H:H, _xlfn.SEQUENCE(4,1,232,20))),
 _xlpm.valuesF / (_xlpm.valuesF + _xlpm.valuesH)
)</f>
        <v>0</v>
      </c>
      <c r="G51" s="10" cm="1">
        <f t="array" ref="G51">_xlfn.LET(
 _xlpm.valuesI, SUM(INDEX(results!I:I, _xlfn.SEQUENCE(4,1,227,20)),INDEX(results!I:I, _xlfn.SEQUENCE(4,1,232,20))),
 _xlpm.valuesG, SUM(INDEX(results!G:G, _xlfn.SEQUENCE(4,1,227,20)),INDEX(results!G:G, _xlfn.SEQUENCE(4,1,232,20))),
 _xlpm.valuesI / (_xlpm.valuesI + _xlpm.valuesG)
)</f>
        <v>1</v>
      </c>
      <c r="H51" s="10" t="e">
        <f t="shared" si="4"/>
        <v>#DIV/0!</v>
      </c>
    </row>
    <row r="52" spans="1:8" x14ac:dyDescent="0.35">
      <c r="B52" s="10"/>
      <c r="C52" s="10" t="s">
        <v>112</v>
      </c>
      <c r="D52" s="10" cm="1">
        <f t="array" ref="D52">_xlfn.LET(
  _xlpm.valuesF, SUM(INDEX(results!F:F, _xlfn.SEQUENCE(1,1,207,20)),INDEX(results!F:F, _xlfn.SEQUENCE(1,1,212,20))),
  _xlpm.valuesI, SUM(INDEX(results!I:I, _xlfn.SEQUENCE(1,1,207,20)),INDEX(results!I:I, _xlfn.SEQUENCE(1,1,212,20))),
  _xlpm.valuesE, SUM(INDEX(results!E:E, _xlfn.SEQUENCE(1,1,207,20)),INDEX(results!E:E, _xlfn.SEQUENCE(1,1,212,20))),
  SUM(_xlpm.valuesF + _xlpm.valuesI)/(_xlpm.valuesE)
)</f>
        <v>0.55555555555555558</v>
      </c>
      <c r="E52" s="10" t="e" cm="1">
        <f t="array" ref="E52">_xlfn.LET(
 _xlpm.valuesF, SUM(INDEX(results!F:F, _xlfn.SEQUENCE(1,1,207,20)),INDEX(results!F:F, _xlfn.SEQUENCE(1,1,212,20))),
 _xlpm.valuesG, SUM(INDEX(results!G:G, _xlfn.SEQUENCE(1,1,207,20)),INDEX(results!G:G, _xlfn.SEQUENCE(1,1,212,20))),
 _xlpm.valuesF / (_xlpm.valuesF + _xlpm.valuesG)
)</f>
        <v>#DIV/0!</v>
      </c>
      <c r="F52" s="10" cm="1">
        <f t="array" ref="F52">_xlfn.LET(
 _xlpm.valuesF, SUM(INDEX(results!F:F, _xlfn.SEQUENCE(1,1,207,20)),INDEX(results!F:F, _xlfn.SEQUENCE(1,1,212,20))),
 _xlpm.valuesH, SUM(INDEX(results!H:H, _xlfn.SEQUENCE(1,1,207,20)),INDEX(results!H:H, _xlfn.SEQUENCE(1,1,212,20))),
 _xlpm.valuesF / (_xlpm.valuesF + _xlpm.valuesH)
)</f>
        <v>0</v>
      </c>
      <c r="G52" s="10" cm="1">
        <f t="array" ref="G52">_xlfn.LET(
 _xlpm.valuesI, SUM(INDEX(results!I:I, _xlfn.SEQUENCE(1,1,207,20)),INDEX(results!I:I, _xlfn.SEQUENCE(1,1,212,20))),
 _xlpm.valuesG, SUM(INDEX(results!G:G, _xlfn.SEQUENCE(1,1,207,20)),INDEX(results!G:G, _xlfn.SEQUENCE(1,1,212,20))),
 _xlpm.valuesI / (_xlpm.valuesI + _xlpm.valuesG)
)</f>
        <v>1</v>
      </c>
      <c r="H52" s="10" t="e">
        <f t="shared" si="4"/>
        <v>#DIV/0!</v>
      </c>
    </row>
    <row r="54" spans="1:8" x14ac:dyDescent="0.35">
      <c r="A54" t="s">
        <v>113</v>
      </c>
      <c r="B54" s="3" t="s">
        <v>132</v>
      </c>
      <c r="C54" s="3" t="s">
        <v>1</v>
      </c>
      <c r="D54" s="3" cm="1">
        <f t="array" ref="D54">_xlfn.LET(
  _xlpm.rows, _xlfn.SEQUENCE(4,1,2,5),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4" s="3" cm="1">
        <f t="array" ref="E54">_xlfn.LET(
  _xlpm.rows, _xlfn.SEQUENCE(4,1,2,5),
  _xlpm.rF, INDEX(results!F:F, _xlpm.rows),
  _xlpm.rG, INDEX(results!G:G, _xlpm.rows),
  _xlpm.num, SUM(_xlpm.rF),
  _xlpm.denom, SUM(_xlpm.rF + _xlpm.rG),
  _xlpm.num/_xlpm.denom
)</f>
        <v>0.88888888888888884</v>
      </c>
      <c r="F54" s="3" cm="1">
        <f t="array" ref="F54">_xlfn.LET(
  _xlpm.rows, _xlfn.SEQUENCE(4,1,2,5),
  _xlpm.rF, INDEX(results!F:F, _xlpm.rows),
  _xlpm.rH, INDEX(results!H:H, _xlpm.rows),
  _xlpm.num, SUM(_xlpm.rF),
  _xlpm.denom, SUM(_xlpm.rF + _xlpm.rH),
  _xlpm.num/_xlpm.denom
)</f>
        <v>1</v>
      </c>
      <c r="G54" s="3" cm="1">
        <f t="array" ref="G54">_xlfn.LET(
  _xlpm.rows, _xlfn.SEQUENCE(4,1,2,5),
  _xlpm.rI, INDEX(results!I:I, _xlpm.rows),
  _xlpm.rG, INDEX(results!G:G, _xlpm.rows),
  _xlpm.num, SUM(_xlpm.rI),
  _xlpm.denom, SUM(_xlpm.rI + _xlpm.rG),
  _xlpm.num/_xlpm.denom
)</f>
        <v>0.88888888888888884</v>
      </c>
      <c r="H54" s="3">
        <f t="shared" ref="H54:H90" si="5">(2*E54*F54)/(E54+F54)</f>
        <v>0.94117647058823528</v>
      </c>
    </row>
    <row r="55" spans="1:8" x14ac:dyDescent="0.35">
      <c r="B55" s="3"/>
      <c r="C55" s="3" t="s">
        <v>19</v>
      </c>
      <c r="D55" s="3" cm="1">
        <f t="array" ref="D55">_xlfn.LET(
  _xlpm.rows, _xlfn.SEQUENCE(4,1,22,5),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5" s="3" cm="1">
        <f t="array" ref="E55">_xlfn.LET(
  _xlpm.rows, _xlfn.SEQUENCE(4,1,22,5),
  _xlpm.rF, INDEX(results!F:F, _xlpm.rows),
  _xlpm.rG, INDEX(results!G:G, _xlpm.rows),
  _xlpm.num, SUM(_xlpm.rF),
  _xlpm.denom, SUM(_xlpm.rF + _xlpm.rG),
  _xlpm.num/_xlpm.denom
)</f>
        <v>0.88888888888888884</v>
      </c>
      <c r="F55" s="3" cm="1">
        <f t="array" ref="F55">_xlfn.LET(
  _xlpm.rows, _xlfn.SEQUENCE(4,1,22,5),
  _xlpm.rF, INDEX(results!F:F, _xlpm.rows),
  _xlpm.rH, INDEX(results!H:H, _xlpm.rows),
  _xlpm.num, SUM(_xlpm.rF),
  _xlpm.denom, SUM(_xlpm.rF + _xlpm.rH),
  _xlpm.num/_xlpm.denom
)</f>
        <v>1</v>
      </c>
      <c r="G55" s="3" cm="1">
        <f t="array" ref="G55">_xlfn.LET(
  _xlpm.rows, _xlfn.SEQUENCE(4,1,22,5),
  _xlpm.rI, INDEX(results!I:I, _xlpm.rows),
  _xlpm.rG, INDEX(results!G:G, _xlpm.rows),
  _xlpm.num, SUM(_xlpm.rI),
  _xlpm.denom, SUM(_xlpm.rI + _xlpm.rG),
  _xlpm.num/_xlpm.denom
)</f>
        <v>0.88888888888888884</v>
      </c>
      <c r="H55" s="3">
        <f t="shared" si="5"/>
        <v>0.94117647058823528</v>
      </c>
    </row>
    <row r="56" spans="1:8" x14ac:dyDescent="0.35">
      <c r="B56" s="3"/>
      <c r="C56" s="3" t="s">
        <v>33</v>
      </c>
      <c r="D56" s="3" cm="1">
        <f t="array" ref="D56">_xlfn.LET(
  _xlpm.rows, _xlfn.SEQUENCE(4,1,42,5),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6" s="3" cm="1">
        <f t="array" ref="E56">_xlfn.LET(
  _xlpm.rows, _xlfn.SEQUENCE(4,1,42,5),
  _xlpm.rF, INDEX(results!F:F, _xlpm.rows),
  _xlpm.rG, INDEX(results!G:G, _xlpm.rows),
  _xlpm.num, SUM(_xlpm.rF),
  _xlpm.denom, SUM(_xlpm.rF + _xlpm.rG),
  _xlpm.num/_xlpm.denom
)</f>
        <v>0.88888888888888884</v>
      </c>
      <c r="F56" s="3" cm="1">
        <f t="array" ref="F56">_xlfn.LET(
  _xlpm.rows, _xlfn.SEQUENCE(4,1,42,5),
  _xlpm.rF, INDEX(results!F:F, _xlpm.rows),
  _xlpm.rH, INDEX(results!H:H, _xlpm.rows),
  _xlpm.num, SUM(_xlpm.rF),
  _xlpm.denom, SUM(_xlpm.rF + _xlpm.rH),
  _xlpm.num/_xlpm.denom
)</f>
        <v>1</v>
      </c>
      <c r="G56" s="3" cm="1">
        <f t="array" ref="G56">_xlfn.LET(
  _xlpm.rows, _xlfn.SEQUENCE(4,1,42,5),
  _xlpm.rI, INDEX(results!I:I, _xlpm.rows),
  _xlpm.rG, INDEX(results!G:G, _xlpm.rows),
  _xlpm.num, SUM(_xlpm.rI),
  _xlpm.denom, SUM(_xlpm.rI + _xlpm.rG),
  _xlpm.num/_xlpm.denom
)</f>
        <v>0.88888888888888884</v>
      </c>
      <c r="H56" s="3">
        <f t="shared" si="5"/>
        <v>0.94117647058823528</v>
      </c>
    </row>
    <row r="57" spans="1:8" x14ac:dyDescent="0.35">
      <c r="B57" s="3"/>
      <c r="C57" s="3" t="s">
        <v>37</v>
      </c>
      <c r="D57" s="3" cm="1">
        <f t="array" ref="D57">_xlfn.LET(
  _xlpm.rows, _xlfn.SEQUENCE(4,1,62,5),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7" s="3" cm="1">
        <f t="array" ref="E57">_xlfn.LET(
  _xlpm.rows, _xlfn.SEQUENCE(4,1,62,5),
  _xlpm.rF, INDEX(results!F:F, _xlpm.rows),
  _xlpm.rG, INDEX(results!G:G, _xlpm.rows),
  _xlpm.num, SUM(_xlpm.rF),
  _xlpm.denom, SUM(_xlpm.rF + _xlpm.rG),
  _xlpm.num/_xlpm.denom
)</f>
        <v>0.88888888888888884</v>
      </c>
      <c r="F57" s="3" cm="1">
        <f t="array" ref="F57">_xlfn.LET(
  _xlpm.rows, _xlfn.SEQUENCE(4,1,62,5),
  _xlpm.rF, INDEX(results!F:F, _xlpm.rows),
  _xlpm.rH, INDEX(results!H:H, _xlpm.rows),
  _xlpm.num, SUM(_xlpm.rF),
  _xlpm.denom, SUM(_xlpm.rF + _xlpm.rH),
  _xlpm.num/_xlpm.denom
)</f>
        <v>1</v>
      </c>
      <c r="G57" s="3" cm="1">
        <f t="array" ref="G57">_xlfn.LET(
  _xlpm.rows, _xlfn.SEQUENCE(4,1,62,5),
  _xlpm.rI, INDEX(results!I:I, _xlpm.rows),
  _xlpm.rG, INDEX(results!G:G, _xlpm.rows),
  _xlpm.num, SUM(_xlpm.rI),
  _xlpm.denom, SUM(_xlpm.rI + _xlpm.rG),
  _xlpm.num/_xlpm.denom
)</f>
        <v>0.88888888888888884</v>
      </c>
      <c r="H57" s="3">
        <f t="shared" si="5"/>
        <v>0.94117647058823528</v>
      </c>
    </row>
    <row r="58" spans="1:8" x14ac:dyDescent="0.35">
      <c r="B58" s="3"/>
      <c r="C58" s="3" t="s">
        <v>41</v>
      </c>
      <c r="D58" s="3" cm="1">
        <f t="array" ref="D58">_xlfn.LET(
  _xlpm.rows, _xlfn.SEQUENCE(4,1,82,5),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0.58823529411764708</v>
      </c>
      <c r="E58" s="3" cm="1">
        <f t="array" ref="E58">_xlfn.LET(
  _xlpm.rows, _xlfn.SEQUENCE(4,1,82,5),
  _xlpm.rF, INDEX(results!F:F, _xlpm.rows),
  _xlpm.rG, INDEX(results!G:G, _xlpm.rows),
  _xlpm.num, SUM(_xlpm.rF),
  _xlpm.denom, SUM(_xlpm.rF + _xlpm.rG),
  _xlpm.num/_xlpm.denom
)</f>
        <v>0.88888888888888884</v>
      </c>
      <c r="F58" s="3" cm="1">
        <f t="array" ref="F58">_xlfn.LET(
  _xlpm.rows, _xlfn.SEQUENCE(4,1,82,5),
  _xlpm.rF, INDEX(results!F:F, _xlpm.rows),
  _xlpm.rH, INDEX(results!H:H, _xlpm.rows),
  _xlpm.num, SUM(_xlpm.rF),
  _xlpm.denom, SUM(_xlpm.rF + _xlpm.rH),
  _xlpm.num/_xlpm.denom
)</f>
        <v>0.14285714285714285</v>
      </c>
      <c r="G58" s="3" cm="1">
        <f t="array" ref="G58">_xlfn.LET(
  _xlpm.rows, _xlfn.SEQUENCE(4,1,82,5),
  _xlpm.rI, INDEX(results!I:I, _xlpm.rows),
  _xlpm.rG, INDEX(results!G:G, _xlpm.rows),
  _xlpm.num, SUM(_xlpm.rI),
  _xlpm.denom, SUM(_xlpm.rI + _xlpm.rG),
  _xlpm.num/_xlpm.denom
)</f>
        <v>0.98412698412698407</v>
      </c>
      <c r="H58" s="3">
        <f t="shared" si="5"/>
        <v>0.24615384615384617</v>
      </c>
    </row>
    <row r="59" spans="1:8" x14ac:dyDescent="0.35">
      <c r="B59" s="10" t="s">
        <v>135</v>
      </c>
      <c r="C59" s="10" t="s">
        <v>1</v>
      </c>
      <c r="D59" s="10" cm="1">
        <f t="array" ref="D59">_xlfn.LET(
  _xlpm.valuesF, SUM(INDEX(results!F:F, _xlfn.SEQUENCE(2,1,2,5))),
  _xlpm.valuesI, SUM(INDEX(results!I:I, _xlfn.SEQUENCE(2,1,2,5))),
  _xlpm.valuesE, SUM(INDEX(results!E:E, _xlfn.SEQUENCE(2,1,2,5))),
  SUM(_xlpm.valuesF + _xlpm.valuesI)/(_xlpm.valuesE)
)</f>
        <v>0.88888888888888884</v>
      </c>
      <c r="E59" s="10" cm="1">
        <f t="array" ref="E59">_xlfn.LET(
 _xlpm.valuesF, SUM(INDEX(results!F:F, _xlfn.SEQUENCE(2,1,2,5))),
 _xlpm.valuesG, SUM(INDEX(results!G:G, _xlfn.SEQUENCE(2,1,2,5))),
 _xlpm.valuesF / (_xlpm.valuesF + _xlpm.valuesG)
)</f>
        <v>0.8</v>
      </c>
      <c r="F59" s="10" cm="1">
        <f t="array" ref="F59">_xlfn.LET(
 _xlpm.valuesF, SUM(INDEX(results!F:F, _xlfn.SEQUENCE(2,1,2,5))),
 _xlpm.valuesH, SUM(INDEX(results!H:H, _xlfn.SEQUENCE(2,1,2,5))),
 _xlpm.valuesF / (_xlpm.valuesF + _xlpm.valuesH)
)</f>
        <v>1</v>
      </c>
      <c r="G59" s="10" cm="1">
        <f t="array" ref="G59">_xlfn.LET(
 _xlpm.valuesI, SUM(INDEX(results!I:I, _xlfn.SEQUENCE(2,1,2,5))),
 _xlpm.valuesG, SUM(INDEX(results!G:G, _xlfn.SEQUENCE(2,1,2,5))),
 _xlpm.valuesI / (_xlpm.valuesI + _xlpm.valuesG)
)</f>
        <v>0.8</v>
      </c>
      <c r="H59" s="10">
        <f>(2*E59*F59)/(E59+F59)</f>
        <v>0.88888888888888895</v>
      </c>
    </row>
    <row r="60" spans="1:8" x14ac:dyDescent="0.35">
      <c r="B60" s="10"/>
      <c r="C60" s="10" t="s">
        <v>19</v>
      </c>
      <c r="D60" s="10" cm="1">
        <f t="array" ref="D60">_xlfn.LET(
  _xlpm.valuesF, SUM(INDEX(results!F:F, _xlfn.SEQUENCE(2,1,22,5))),
  _xlpm.valuesI, SUM(INDEX(results!I:I, _xlfn.SEQUENCE(2,1,22,5))),
  _xlpm.valuesE, SUM(INDEX(results!E:E, _xlfn.SEQUENCE(2,1,22,5))),
  SUM(_xlpm.valuesF + _xlpm.valuesI)/(_xlpm.valuesE)
)</f>
        <v>0.88888888888888884</v>
      </c>
      <c r="E60" s="10" cm="1">
        <f t="array" ref="E60">_xlfn.LET(
 _xlpm.valuesF, SUM(INDEX(results!F:F, _xlfn.SEQUENCE(2,1,22,5))),
 _xlpm.valuesG, SUM(INDEX(results!G:G, _xlfn.SEQUENCE(2,1,22,5))),
 _xlpm.valuesF / (_xlpm.valuesF + _xlpm.valuesG)
)</f>
        <v>0.8</v>
      </c>
      <c r="F60" s="10" cm="1">
        <f t="array" ref="F60">_xlfn.LET(
 _xlpm.valuesF, SUM(INDEX(results!F:F, _xlfn.SEQUENCE(2,1,22,5))),
 _xlpm.valuesH, SUM(INDEX(results!H:H, _xlfn.SEQUENCE(2,1,22,5))),
 _xlpm.valuesF / (_xlpm.valuesF + _xlpm.valuesH)
)</f>
        <v>1</v>
      </c>
      <c r="G60" s="10" cm="1">
        <f t="array" ref="G60">_xlfn.LET(
 _xlpm.valuesI, SUM(INDEX(results!I:I, _xlfn.SEQUENCE(2,1,22,5))),
 _xlpm.valuesG, SUM(INDEX(results!G:G, _xlfn.SEQUENCE(2,1,22,5))),
 _xlpm.valuesI / (_xlpm.valuesI + _xlpm.valuesG)
)</f>
        <v>0.8</v>
      </c>
      <c r="H60" s="10">
        <f t="shared" ref="H60:H63" si="6">(2*E60*F60)/(E60+F60)</f>
        <v>0.88888888888888895</v>
      </c>
    </row>
    <row r="61" spans="1:8" x14ac:dyDescent="0.35">
      <c r="B61" s="10"/>
      <c r="C61" s="10" t="s">
        <v>33</v>
      </c>
      <c r="D61" s="10" cm="1">
        <f t="array" ref="D61">_xlfn.LET(
  _xlpm.valuesF, SUM(INDEX(results!F:F, _xlfn.SEQUENCE(2,1,42,5))),
  _xlpm.valuesI, SUM(INDEX(results!I:I, _xlfn.SEQUENCE(2,1,42,5))),
  _xlpm.valuesE, SUM(INDEX(results!E:E, _xlfn.SEQUENCE(2,1,42,5))),
  SUM(_xlpm.valuesF + _xlpm.valuesI)/(_xlpm.valuesE)
)</f>
        <v>0.88888888888888884</v>
      </c>
      <c r="E61" s="10" cm="1">
        <f t="array" ref="E61">_xlfn.LET(
 _xlpm.valuesF, SUM(INDEX(results!F:F, _xlfn.SEQUENCE(2,1,42,5))),
 _xlpm.valuesG, SUM(INDEX(results!G:G, _xlfn.SEQUENCE(2,1,42,5))),
 _xlpm.valuesF / (_xlpm.valuesF + _xlpm.valuesG)
)</f>
        <v>0.8</v>
      </c>
      <c r="F61" s="10" cm="1">
        <f t="array" ref="F61">_xlfn.LET(
 _xlpm.valuesF, SUM(INDEX(results!F:F, _xlfn.SEQUENCE(2,1,42,5))),
 _xlpm.valuesH, SUM(INDEX(results!H:H, _xlfn.SEQUENCE(2,1,42,5))),
 _xlpm.valuesF / (_xlpm.valuesF + _xlpm.valuesH)
)</f>
        <v>1</v>
      </c>
      <c r="G61" s="10" cm="1">
        <f t="array" ref="G61">_xlfn.LET(
 _xlpm.valuesI, SUM(INDEX(results!I:I, _xlfn.SEQUENCE(2,1,42,5))),
 _xlpm.valuesG, SUM(INDEX(results!G:G, _xlfn.SEQUENCE(2,1,42,5))),
 _xlpm.valuesI / (_xlpm.valuesI + _xlpm.valuesG)
)</f>
        <v>0.8</v>
      </c>
      <c r="H61" s="10">
        <f t="shared" si="6"/>
        <v>0.88888888888888895</v>
      </c>
    </row>
    <row r="62" spans="1:8" x14ac:dyDescent="0.35">
      <c r="B62" s="10"/>
      <c r="C62" s="10" t="s">
        <v>37</v>
      </c>
      <c r="D62" s="10" cm="1">
        <f t="array" ref="D62">_xlfn.LET(
  _xlpm.valuesF, SUM(INDEX(results!F:F, _xlfn.SEQUENCE(2,1,62,5))),
  _xlpm.valuesI, SUM(INDEX(results!I:I, _xlfn.SEQUENCE(2,1,62,5))),
  _xlpm.valuesE, SUM(INDEX(results!E:E, _xlfn.SEQUENCE(2,1,62,5))),
  SUM(_xlpm.valuesF + _xlpm.valuesI)/(_xlpm.valuesE)
)</f>
        <v>0.88888888888888884</v>
      </c>
      <c r="E62" s="10" cm="1">
        <f t="array" ref="E62">_xlfn.LET(
 _xlpm.valuesF, SUM(INDEX(results!F:F, _xlfn.SEQUENCE(2,1,62,5))),
 _xlpm.valuesG, SUM(INDEX(results!G:G, _xlfn.SEQUENCE(2,1,62,5))),
 _xlpm.valuesF / (_xlpm.valuesF + _xlpm.valuesG)
)</f>
        <v>0.8</v>
      </c>
      <c r="F62" s="10" cm="1">
        <f t="array" ref="F62">_xlfn.LET(
 _xlpm.valuesF, SUM(INDEX(results!F:F, _xlfn.SEQUENCE(2,1,62,5))),
 _xlpm.valuesH, SUM(INDEX(results!H:H, _xlfn.SEQUENCE(2,1,62,5))),
 _xlpm.valuesF / (_xlpm.valuesF + _xlpm.valuesH)
)</f>
        <v>1</v>
      </c>
      <c r="G62" s="10" cm="1">
        <f t="array" ref="G62">_xlfn.LET(
 _xlpm.valuesI, SUM(INDEX(results!I:I, _xlfn.SEQUENCE(2,1,62,5))),
 _xlpm.valuesG, SUM(INDEX(results!G:G, _xlfn.SEQUENCE(2,1,62,5))),
 _xlpm.valuesI / (_xlpm.valuesI + _xlpm.valuesG)
)</f>
        <v>0.8</v>
      </c>
      <c r="H62" s="10">
        <f t="shared" si="6"/>
        <v>0.88888888888888895</v>
      </c>
    </row>
    <row r="63" spans="1:8" x14ac:dyDescent="0.35">
      <c r="B63" s="10"/>
      <c r="C63" s="10" t="s">
        <v>41</v>
      </c>
      <c r="D63" s="10" cm="1">
        <f t="array" ref="D63">_xlfn.LET(
  _xlpm.valuesF, SUM(INDEX(results!F:F, _xlfn.SEQUENCE(2,1,82,5))),
  _xlpm.valuesI, SUM(INDEX(results!I:I, _xlfn.SEQUENCE(2,1,82,5))),
  _xlpm.valuesE, SUM(INDEX(results!E:E, _xlfn.SEQUENCE(2,1,82,5))),
  SUM(_xlpm.valuesF + _xlpm.valuesI)/(_xlpm.valuesE)
)</f>
        <v>0.60317460317460314</v>
      </c>
      <c r="E63" s="10" cm="1">
        <f t="array" ref="E63">_xlfn.LET(
 _xlpm.valuesF, SUM(INDEX(results!F:F, _xlfn.SEQUENCE(2,1,82,5))),
 _xlpm.valuesG, SUM(INDEX(results!G:G, _xlfn.SEQUENCE(2,1,82,5))),
 _xlpm.valuesF / (_xlpm.valuesF + _xlpm.valuesG)
)</f>
        <v>0.8</v>
      </c>
      <c r="F63" s="10" cm="1">
        <f t="array" ref="F63">_xlfn.LET(
 _xlpm.valuesF, SUM(INDEX(results!F:F, _xlfn.SEQUENCE(2,1,82,5))),
 _xlpm.valuesH, SUM(INDEX(results!H:H, _xlfn.SEQUENCE(2,1,82,5))),
 _xlpm.valuesF / (_xlpm.valuesF + _xlpm.valuesH)
)</f>
        <v>0.14285714285714285</v>
      </c>
      <c r="G63" s="10" cm="1">
        <f t="array" ref="G63">_xlfn.LET(
 _xlpm.valuesI, SUM(INDEX(results!I:I, _xlfn.SEQUENCE(2,1,82,5))),
 _xlpm.valuesG, SUM(INDEX(results!G:G, _xlfn.SEQUENCE(2,1,82,5))),
 _xlpm.valuesI / (_xlpm.valuesI + _xlpm.valuesG)
)</f>
        <v>0.97142857142857142</v>
      </c>
      <c r="H63" s="10">
        <f t="shared" si="6"/>
        <v>0.24242424242424243</v>
      </c>
    </row>
    <row r="64" spans="1:8" x14ac:dyDescent="0.35">
      <c r="B64" s="18" t="s">
        <v>136</v>
      </c>
      <c r="C64" s="18" t="s">
        <v>1</v>
      </c>
      <c r="D64" s="18" cm="1">
        <f t="array" ref="D64">_xlfn.LET(
  _xlpm.valuesF, SUM(INDEX(results!F:F, _xlfn.SEQUENCE(2,1,12,5))),
  _xlpm.valuesI, SUM(INDEX(results!I:I, _xlfn.SEQUENCE(2,1,12,5))),
  _xlpm.valuesE, SUM(INDEX(results!E:E, _xlfn.SEQUENCE(2,1,12,5))),
  SUM(_xlpm.valuesF + _xlpm.valuesI)/(_xlpm.valuesE)
)</f>
        <v>1</v>
      </c>
      <c r="E64" s="18" cm="1">
        <f t="array" ref="E64">_xlfn.LET(
 _xlpm.valuesF, SUM(INDEX(results!F:F, _xlfn.SEQUENCE(2,1,12,5))),
 _xlpm.valuesG, SUM(INDEX(results!G:G, _xlfn.SEQUENCE(2,1,12,5))),
 _xlpm.valuesF / (_xlpm.valuesF + _xlpm.valuesG)
)</f>
        <v>1</v>
      </c>
      <c r="F64" s="18" cm="1">
        <f t="array" ref="F64">_xlfn.LET(
 _xlpm.valuesF, SUM(INDEX(results!F:F, _xlfn.SEQUENCE(2,1,12,5))),
 _xlpm.valuesH, SUM(INDEX(results!H:H, _xlfn.SEQUENCE(2,1,12,5))),
 _xlpm.valuesF / (_xlpm.valuesF + _xlpm.valuesH)
)</f>
        <v>1</v>
      </c>
      <c r="G64" s="18" cm="1">
        <f t="array" ref="G64">_xlfn.LET(
 _xlpm.valuesI, SUM(INDEX(results!I:I, _xlfn.SEQUENCE(2,1,12,5))),
 _xlpm.valuesG, SUM(INDEX(results!G:G, _xlfn.SEQUENCE(2,1,12,5))),
 _xlpm.valuesI / (_xlpm.valuesI + _xlpm.valuesG)
)</f>
        <v>1</v>
      </c>
      <c r="H64" s="18">
        <f>(2*E64*F64)/(E64+F64)</f>
        <v>1</v>
      </c>
    </row>
    <row r="65" spans="2:8" x14ac:dyDescent="0.35">
      <c r="B65" s="18"/>
      <c r="C65" s="18" t="s">
        <v>19</v>
      </c>
      <c r="D65" s="18" cm="1">
        <f t="array" ref="D65">_xlfn.LET(
  _xlpm.valuesF, SUM(INDEX(results!F:F, _xlfn.SEQUENCE(2,1,32,5))),
  _xlpm.valuesI, SUM(INDEX(results!I:I, _xlfn.SEQUENCE(2,1,32,5))),
  _xlpm.valuesE, SUM(INDEX(results!E:E, _xlfn.SEQUENCE(2,1,32,5))),
  SUM(_xlpm.valuesF + _xlpm.valuesI)/(_xlpm.valuesE)
)</f>
        <v>1</v>
      </c>
      <c r="E65" s="18" cm="1">
        <f t="array" ref="E65">_xlfn.LET(
 _xlpm.valuesF, SUM(INDEX(results!F:F, _xlfn.SEQUENCE(2,1,32,5))),
 _xlpm.valuesG, SUM(INDEX(results!G:G, _xlfn.SEQUENCE(2,1,32,5))),
 _xlpm.valuesF / (_xlpm.valuesF + _xlpm.valuesG)
)</f>
        <v>1</v>
      </c>
      <c r="F65" s="18" cm="1">
        <f t="array" ref="F65">_xlfn.LET(
 _xlpm.valuesF, SUM(INDEX(results!F:F, _xlfn.SEQUENCE(2,1,32,5))),
 _xlpm.valuesH, SUM(INDEX(results!H:H, _xlfn.SEQUENCE(2,1,32,5))),
 _xlpm.valuesF / (_xlpm.valuesF + _xlpm.valuesH)
)</f>
        <v>1</v>
      </c>
      <c r="G65" s="18" cm="1">
        <f t="array" ref="G65">_xlfn.LET(
 _xlpm.valuesI, SUM(INDEX(results!I:I, _xlfn.SEQUENCE(2,1,32,5))),
 _xlpm.valuesG, SUM(INDEX(results!G:G, _xlfn.SEQUENCE(2,1,32,5))),
 _xlpm.valuesI / (_xlpm.valuesI + _xlpm.valuesG)
)</f>
        <v>1</v>
      </c>
      <c r="H65" s="18">
        <f t="shared" ref="H65:H68" si="7">(2*E65*F65)/(E65+F65)</f>
        <v>1</v>
      </c>
    </row>
    <row r="66" spans="2:8" x14ac:dyDescent="0.35">
      <c r="B66" s="18"/>
      <c r="C66" s="18" t="s">
        <v>33</v>
      </c>
      <c r="D66" s="18" cm="1">
        <f t="array" ref="D66">_xlfn.LET(
  _xlpm.valuesF, SUM(INDEX(results!F:F, _xlfn.SEQUENCE(2,1,52,5))),
  _xlpm.valuesI, SUM(INDEX(results!I:I, _xlfn.SEQUENCE(2,1,52,5))),
  _xlpm.valuesE, SUM(INDEX(results!E:E, _xlfn.SEQUENCE(2,1,52,5))),
  SUM(_xlpm.valuesF + _xlpm.valuesI)/(_xlpm.valuesE)
)</f>
        <v>1</v>
      </c>
      <c r="E66" s="18" cm="1">
        <f t="array" ref="E66">_xlfn.LET(
 _xlpm.valuesF, SUM(INDEX(results!F:F, _xlfn.SEQUENCE(2,1,52,5))),
 _xlpm.valuesG, SUM(INDEX(results!G:G, _xlfn.SEQUENCE(2,1,52,5))),
 _xlpm.valuesF / (_xlpm.valuesF + _xlpm.valuesG)
)</f>
        <v>1</v>
      </c>
      <c r="F66" s="18" cm="1">
        <f t="array" ref="F66">_xlfn.LET(
 _xlpm.valuesF, SUM(INDEX(results!F:F, _xlfn.SEQUENCE(2,1,52,5))),
 _xlpm.valuesH, SUM(INDEX(results!H:H, _xlfn.SEQUENCE(2,1,52,5))),
 _xlpm.valuesF / (_xlpm.valuesF + _xlpm.valuesH)
)</f>
        <v>1</v>
      </c>
      <c r="G66" s="18" cm="1">
        <f t="array" ref="G66">_xlfn.LET(
 _xlpm.valuesI, SUM(INDEX(results!I:I, _xlfn.SEQUENCE(2,1,52,5))),
 _xlpm.valuesG, SUM(INDEX(results!G:G, _xlfn.SEQUENCE(2,1,52,5))),
 _xlpm.valuesI / (_xlpm.valuesI + _xlpm.valuesG)
)</f>
        <v>1</v>
      </c>
      <c r="H66" s="18">
        <f t="shared" si="7"/>
        <v>1</v>
      </c>
    </row>
    <row r="67" spans="2:8" x14ac:dyDescent="0.35">
      <c r="B67" s="18"/>
      <c r="C67" s="18" t="s">
        <v>37</v>
      </c>
      <c r="D67" s="18" cm="1">
        <f t="array" ref="D67">_xlfn.LET(
  _xlpm.valuesF, SUM(INDEX(results!F:F, _xlfn.SEQUENCE(2,1,72,5))),
  _xlpm.valuesI, SUM(INDEX(results!I:I, _xlfn.SEQUENCE(2,1,72,5))),
  _xlpm.valuesE, SUM(INDEX(results!E:E, _xlfn.SEQUENCE(2,1,72,5))),
  SUM(_xlpm.valuesF + _xlpm.valuesI)/(_xlpm.valuesE)
)</f>
        <v>1</v>
      </c>
      <c r="E67" s="18" cm="1">
        <f t="array" ref="E67">_xlfn.LET(
 _xlpm.valuesF, SUM(INDEX(results!F:F, _xlfn.SEQUENCE(2,1,72,5))),
 _xlpm.valuesG, SUM(INDEX(results!G:G, _xlfn.SEQUENCE(2,1,72,5))),
 _xlpm.valuesF / (_xlpm.valuesF + _xlpm.valuesG)
)</f>
        <v>1</v>
      </c>
      <c r="F67" s="18" cm="1">
        <f t="array" ref="F67">_xlfn.LET(
 _xlpm.valuesF, SUM(INDEX(results!F:F, _xlfn.SEQUENCE(2,1,72,5))),
 _xlpm.valuesH, SUM(INDEX(results!H:H, _xlfn.SEQUENCE(2,1,72,5))),
 _xlpm.valuesF / (_xlpm.valuesF + _xlpm.valuesH)
)</f>
        <v>1</v>
      </c>
      <c r="G67" s="18" cm="1">
        <f t="array" ref="G67">_xlfn.LET(
 _xlpm.valuesI, SUM(INDEX(results!I:I, _xlfn.SEQUENCE(2,1,72,5))),
 _xlpm.valuesG, SUM(INDEX(results!G:G, _xlfn.SEQUENCE(2,1,72,5))),
 _xlpm.valuesI / (_xlpm.valuesI + _xlpm.valuesG)
)</f>
        <v>1</v>
      </c>
      <c r="H67" s="18">
        <f t="shared" si="7"/>
        <v>1</v>
      </c>
    </row>
    <row r="68" spans="2:8" x14ac:dyDescent="0.35">
      <c r="B68" s="18"/>
      <c r="C68" s="18" t="s">
        <v>41</v>
      </c>
      <c r="D68" s="18" cm="1">
        <f t="array" ref="D68">_xlfn.LET(
  _xlpm.valuesF, SUM(INDEX(results!F:F, _xlfn.SEQUENCE(2,1,92,5))),
  _xlpm.valuesI, SUM(INDEX(results!I:I, _xlfn.SEQUENCE(2,1,92,5))),
  _xlpm.valuesE, SUM(INDEX(results!E:E, _xlfn.SEQUENCE(2,1,92,5))),
  SUM(_xlpm.valuesF + _xlpm.valuesI)/(_xlpm.valuesE)
)</f>
        <v>0.5714285714285714</v>
      </c>
      <c r="E68" s="18" cm="1">
        <f t="array" ref="E68">_xlfn.LET(
 _xlpm.valuesF, SUM(INDEX(results!F:F, _xlfn.SEQUENCE(2,1,92,5))),
 _xlpm.valuesG, SUM(INDEX(results!G:G, _xlfn.SEQUENCE(2,1,92,5))),
 _xlpm.valuesF / (_xlpm.valuesF + _xlpm.valuesG)
)</f>
        <v>1</v>
      </c>
      <c r="F68" s="18" cm="1">
        <f t="array" ref="F68">_xlfn.LET(
 _xlpm.valuesF, SUM(INDEX(results!F:F, _xlfn.SEQUENCE(2,1,92,5))),
 _xlpm.valuesH, SUM(INDEX(results!H:H, _xlfn.SEQUENCE(2,1,92,5))),
 _xlpm.valuesF / (_xlpm.valuesF + _xlpm.valuesH)
)</f>
        <v>0.14285714285714285</v>
      </c>
      <c r="G68" s="18" cm="1">
        <f t="array" ref="G68">_xlfn.LET(
 _xlpm.valuesI, SUM(INDEX(results!I:I, _xlfn.SEQUENCE(2,1,92,5))),
 _xlpm.valuesG, SUM(INDEX(results!G:G, _xlfn.SEQUENCE(2,1,92,5))),
 _xlpm.valuesI / (_xlpm.valuesI + _xlpm.valuesG)
)</f>
        <v>1</v>
      </c>
      <c r="H68" s="18">
        <f t="shared" si="7"/>
        <v>0.25</v>
      </c>
    </row>
    <row r="70" spans="2:8" x14ac:dyDescent="0.35">
      <c r="B70" s="3" t="s">
        <v>133</v>
      </c>
      <c r="C70" s="3" t="s">
        <v>1</v>
      </c>
      <c r="D70" s="3" cm="1">
        <f t="array" ref="D70">_xlfn.LET(
  _xlpm.rows, _xlfn.SEQUENCE(4,1,103,5),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0" s="3" cm="1">
        <f t="array" ref="E70">_xlfn.LET(
  _xlpm.rows, _xlfn.SEQUENCE(4,1,103,5),
  _xlpm.rF, INDEX(results!F:F, _xlpm.rows),
  _xlpm.rG, INDEX(results!G:G, _xlpm.rows),
  _xlpm.num, SUM(_xlpm.rF),
  _xlpm.denom, SUM(_xlpm.rF + _xlpm.rG),
  _xlpm.num/_xlpm.denom
)</f>
        <v>1</v>
      </c>
      <c r="F70" s="3" cm="1">
        <f t="array" ref="F70">_xlfn.LET(
  _xlpm.rows, _xlfn.SEQUENCE(4,1,103,5),
  _xlpm.rF, INDEX(results!F:F, _xlpm.rows),
  _xlpm.rH, INDEX(results!H:H, _xlpm.rows),
  _xlpm.num, SUM(_xlpm.rF),
  _xlpm.denom, SUM(_xlpm.rF + _xlpm.rH),
  _xlpm.num/_xlpm.denom
)</f>
        <v>0.5</v>
      </c>
      <c r="G70" s="3" cm="1">
        <f t="array" ref="G70">_xlfn.LET(
  _xlpm.rows, _xlfn.SEQUENCE(4,1,103,5),
  _xlpm.rI, INDEX(results!I:I, _xlpm.rows),
  _xlpm.rG, INDEX(results!G:G, _xlpm.rows),
  _xlpm.num, SUM(_xlpm.rI),
  _xlpm.denom, SUM(_xlpm.rI + _xlpm.rG),
  _xlpm.num/_xlpm.denom
)</f>
        <v>1</v>
      </c>
      <c r="H70" s="3">
        <f t="shared" si="5"/>
        <v>0.66666666666666663</v>
      </c>
    </row>
    <row r="71" spans="2:8" x14ac:dyDescent="0.35">
      <c r="B71" s="3"/>
      <c r="C71" s="3" t="s">
        <v>19</v>
      </c>
      <c r="D71" s="3" cm="1">
        <f t="array" ref="D71">_xlfn.LET(
  _xlpm.rows, _xlfn.SEQUENCE(4,1,123,5),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1" s="3" cm="1">
        <f t="array" ref="E71">_xlfn.LET(
  _xlpm.rows, _xlfn.SEQUENCE(4,1,123,5),
  _xlpm.rF, INDEX(results!F:F, _xlpm.rows),
  _xlpm.rG, INDEX(results!G:G, _xlpm.rows),
  _xlpm.num, SUM(_xlpm.rF),
  _xlpm.denom, SUM(_xlpm.rF + _xlpm.rG),
  _xlpm.num/_xlpm.denom
)</f>
        <v>1</v>
      </c>
      <c r="F71" s="3" cm="1">
        <f t="array" ref="F71">_xlfn.LET(
  _xlpm.rows, _xlfn.SEQUENCE(4,1,123,5),
  _xlpm.rF, INDEX(results!F:F, _xlpm.rows),
  _xlpm.rH, INDEX(results!H:H, _xlpm.rows),
  _xlpm.num, SUM(_xlpm.rF),
  _xlpm.denom, SUM(_xlpm.rF + _xlpm.rH),
  _xlpm.num/_xlpm.denom
)</f>
        <v>0.5</v>
      </c>
      <c r="G71" s="3" cm="1">
        <f t="array" ref="G71">_xlfn.LET(
  _xlpm.rows, _xlfn.SEQUENCE(4,1,123,5),
  _xlpm.rI, INDEX(results!I:I, _xlpm.rows),
  _xlpm.rG, INDEX(results!G:G, _xlpm.rows),
  _xlpm.num, SUM(_xlpm.rI),
  _xlpm.denom, SUM(_xlpm.rI + _xlpm.rG),
  _xlpm.num/_xlpm.denom
)</f>
        <v>1</v>
      </c>
      <c r="H71" s="3">
        <f t="shared" si="5"/>
        <v>0.66666666666666663</v>
      </c>
    </row>
    <row r="72" spans="2:8" x14ac:dyDescent="0.35">
      <c r="B72" s="3"/>
      <c r="C72" s="3" t="s">
        <v>33</v>
      </c>
      <c r="D72" s="3" cm="1">
        <f t="array" ref="D72">_xlfn.LET(
  _xlpm.rows, _xlfn.SEQUENCE(4,1,143,5),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2" s="3" cm="1">
        <f t="array" ref="E72">_xlfn.LET(
  _xlpm.rows, _xlfn.SEQUENCE(4,1,143,5),
  _xlpm.rF, INDEX(results!F:F, _xlpm.rows),
  _xlpm.rG, INDEX(results!G:G, _xlpm.rows),
  _xlpm.num, SUM(_xlpm.rF),
  _xlpm.denom, SUM(_xlpm.rF + _xlpm.rG),
  _xlpm.num/_xlpm.denom
)</f>
        <v>1</v>
      </c>
      <c r="F72" s="3" cm="1">
        <f t="array" ref="F72">_xlfn.LET(
  _xlpm.rows, _xlfn.SEQUENCE(4,1,143,5),
  _xlpm.rF, INDEX(results!F:F, _xlpm.rows),
  _xlpm.rH, INDEX(results!H:H, _xlpm.rows),
  _xlpm.num, SUM(_xlpm.rF),
  _xlpm.denom, SUM(_xlpm.rF + _xlpm.rH),
  _xlpm.num/_xlpm.denom
)</f>
        <v>0.5</v>
      </c>
      <c r="G72" s="3" cm="1">
        <f t="array" ref="G72">_xlfn.LET(
  _xlpm.rows, _xlfn.SEQUENCE(4,1,143,5),
  _xlpm.rI, INDEX(results!I:I, _xlpm.rows),
  _xlpm.rG, INDEX(results!G:G, _xlpm.rows),
  _xlpm.num, SUM(_xlpm.rI),
  _xlpm.denom, SUM(_xlpm.rI + _xlpm.rG),
  _xlpm.num/_xlpm.denom
)</f>
        <v>1</v>
      </c>
      <c r="H72" s="3">
        <f t="shared" si="5"/>
        <v>0.66666666666666663</v>
      </c>
    </row>
    <row r="73" spans="2:8" x14ac:dyDescent="0.35">
      <c r="B73" s="3"/>
      <c r="C73" s="3" t="s">
        <v>37</v>
      </c>
      <c r="D73" s="3" cm="1">
        <f t="array" ref="D73">_xlfn.LET(
  _xlpm.rows, _xlfn.SEQUENCE(4,1,163,5),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3" s="3" cm="1">
        <f t="array" ref="E73">_xlfn.LET(
  _xlpm.rows, _xlfn.SEQUENCE(4,1,163,5),
  _xlpm.rF, INDEX(results!F:F, _xlpm.rows),
  _xlpm.rG, INDEX(results!G:G, _xlpm.rows),
  _xlpm.num, SUM(_xlpm.rF),
  _xlpm.denom, SUM(_xlpm.rF + _xlpm.rG),
  _xlpm.num/_xlpm.denom
)</f>
        <v>1</v>
      </c>
      <c r="F73" s="3" cm="1">
        <f t="array" ref="F73">_xlfn.LET(
  _xlpm.rows, _xlfn.SEQUENCE(4,1,163,5),
  _xlpm.rF, INDEX(results!F:F, _xlpm.rows),
  _xlpm.rH, INDEX(results!H:H, _xlpm.rows),
  _xlpm.num, SUM(_xlpm.rF),
  _xlpm.denom, SUM(_xlpm.rF + _xlpm.rH),
  _xlpm.num/_xlpm.denom
)</f>
        <v>0.5</v>
      </c>
      <c r="G73" s="3" cm="1">
        <f t="array" ref="G73">_xlfn.LET(
  _xlpm.rows, _xlfn.SEQUENCE(4,1,163,5),
  _xlpm.rI, INDEX(results!I:I, _xlpm.rows),
  _xlpm.rG, INDEX(results!G:G, _xlpm.rows),
  _xlpm.num, SUM(_xlpm.rI),
  _xlpm.denom, SUM(_xlpm.rI + _xlpm.rG),
  _xlpm.num/_xlpm.denom
)</f>
        <v>1</v>
      </c>
      <c r="H73" s="3">
        <f t="shared" si="5"/>
        <v>0.66666666666666663</v>
      </c>
    </row>
    <row r="74" spans="2:8" x14ac:dyDescent="0.35">
      <c r="B74" s="3"/>
      <c r="C74" s="3" t="s">
        <v>41</v>
      </c>
      <c r="D74" s="3" cm="1">
        <f t="array" ref="D74">_xlfn.LET(
  _xlpm.rows, _xlfn.SEQUENCE(4,1,183,5),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4" s="3" cm="1">
        <f t="array" ref="E74">_xlfn.LET(
  _xlpm.rows, _xlfn.SEQUENCE(4,1,183,5),
  _xlpm.rF, INDEX(results!F:F, _xlpm.rows),
  _xlpm.rG, INDEX(results!G:G, _xlpm.rows),
  _xlpm.num, SUM(_xlpm.rF),
  _xlpm.denom, SUM(_xlpm.rF + _xlpm.rG),
  _xlpm.num/_xlpm.denom
)</f>
        <v>1</v>
      </c>
      <c r="F74" s="3" cm="1">
        <f t="array" ref="F74">_xlfn.LET(
  _xlpm.rows, _xlfn.SEQUENCE(4,1,183,5),
  _xlpm.rF, INDEX(results!F:F, _xlpm.rows),
  _xlpm.rH, INDEX(results!H:H, _xlpm.rows),
  _xlpm.num, SUM(_xlpm.rF),
  _xlpm.denom, SUM(_xlpm.rF + _xlpm.rH),
  _xlpm.num/_xlpm.denom
)</f>
        <v>0.5</v>
      </c>
      <c r="G74" s="3" cm="1">
        <f t="array" ref="G74">_xlfn.LET(
  _xlpm.rows, _xlfn.SEQUENCE(4,1,183,5),
  _xlpm.rI, INDEX(results!I:I, _xlpm.rows),
  _xlpm.rG, INDEX(results!G:G, _xlpm.rows),
  _xlpm.num, SUM(_xlpm.rI),
  _xlpm.denom, SUM(_xlpm.rI + _xlpm.rG),
  _xlpm.num/_xlpm.denom
)</f>
        <v>1</v>
      </c>
      <c r="H74" s="3">
        <f t="shared" si="5"/>
        <v>0.66666666666666663</v>
      </c>
    </row>
    <row r="75" spans="2:8" x14ac:dyDescent="0.35">
      <c r="B75" s="10" t="s">
        <v>138</v>
      </c>
      <c r="C75" s="10" t="s">
        <v>1</v>
      </c>
      <c r="D75" s="10" cm="1">
        <f t="array" ref="D75">_xlfn.LET(
  _xlpm.valuesF, SUM(INDEX(results!F:F, _xlfn.SEQUENCE(2,1,103,5))),
  _xlpm.valuesI, SUM(INDEX(results!I:I, _xlfn.SEQUENCE(2,1,103,5))),
  _xlpm.valuesE, SUM(INDEX(results!E:E, _xlfn.SEQUENCE(2,1,103,5))),
  SUM(_xlpm.valuesF + _xlpm.valuesI)/(_xlpm.valuesE)
)</f>
        <v>0.77777777777777779</v>
      </c>
      <c r="E75" s="10" cm="1">
        <f t="array" ref="E75">_xlfn.LET(
 _xlpm.valuesF, SUM(INDEX(results!F:F, _xlfn.SEQUENCE(2,1,103,5))),
 _xlpm.valuesG, SUM(INDEX(results!G:G, _xlfn.SEQUENCE(2,1,103,5))),
 _xlpm.valuesF / (_xlpm.valuesF + _xlpm.valuesG)
)</f>
        <v>1</v>
      </c>
      <c r="F75" s="10" cm="1">
        <f t="array" ref="F75">_xlfn.LET(
 _xlpm.valuesF, SUM(INDEX(results!F:F, _xlfn.SEQUENCE(2,1,103,5))),
 _xlpm.valuesH, SUM(INDEX(results!H:H, _xlfn.SEQUENCE(2,1,103,5))),
 _xlpm.valuesF / (_xlpm.valuesF + _xlpm.valuesH)
)</f>
        <v>0.5</v>
      </c>
      <c r="G75" s="10" cm="1">
        <f t="array" ref="G75">_xlfn.LET(
 _xlpm.valuesI, SUM(INDEX(results!I:I, _xlfn.SEQUENCE(2,1,103,5))),
 _xlpm.valuesG, SUM(INDEX(results!G:G, _xlfn.SEQUENCE(2,1,103,5))),
 _xlpm.valuesI / (_xlpm.valuesI + _xlpm.valuesG)
)</f>
        <v>1</v>
      </c>
      <c r="H75" s="10">
        <f>(2*E75*F75)/(E75+F75)</f>
        <v>0.66666666666666663</v>
      </c>
    </row>
    <row r="76" spans="2:8" x14ac:dyDescent="0.35">
      <c r="B76" s="10"/>
      <c r="C76" s="10" t="s">
        <v>19</v>
      </c>
      <c r="D76" s="10" cm="1">
        <f t="array" ref="D76">_xlfn.LET(
  _xlpm.valuesF, SUM(INDEX(results!F:F, _xlfn.SEQUENCE(2,1,123,5))),
  _xlpm.valuesI, SUM(INDEX(results!I:I, _xlfn.SEQUENCE(2,1,123,5))),
  _xlpm.valuesE, SUM(INDEX(results!E:E, _xlfn.SEQUENCE(2,1,123,5))),
  SUM(_xlpm.valuesF + _xlpm.valuesI)/(_xlpm.valuesE)
)</f>
        <v>0.77777777777777779</v>
      </c>
      <c r="E76" s="10" cm="1">
        <f t="array" ref="E76">_xlfn.LET(
 _xlpm.valuesF, SUM(INDEX(results!F:F, _xlfn.SEQUENCE(2,1,123,5))),
 _xlpm.valuesG, SUM(INDEX(results!G:G, _xlfn.SEQUENCE(2,1,123,5))),
 _xlpm.valuesF / (_xlpm.valuesF + _xlpm.valuesG)
)</f>
        <v>1</v>
      </c>
      <c r="F76" s="10" cm="1">
        <f t="array" ref="F76">_xlfn.LET(
 _xlpm.valuesF, SUM(INDEX(results!F:F, _xlfn.SEQUENCE(2,1,123,5))),
 _xlpm.valuesH, SUM(INDEX(results!H:H, _xlfn.SEQUENCE(2,1,123,5))),
 _xlpm.valuesF / (_xlpm.valuesF + _xlpm.valuesH)
)</f>
        <v>0.5</v>
      </c>
      <c r="G76" s="10" cm="1">
        <f t="array" ref="G76">_xlfn.LET(
 _xlpm.valuesI, SUM(INDEX(results!I:I, _xlfn.SEQUENCE(2,1,123,5))),
 _xlpm.valuesG, SUM(INDEX(results!G:G, _xlfn.SEQUENCE(2,1,123,5))),
 _xlpm.valuesI / (_xlpm.valuesI + _xlpm.valuesG)
)</f>
        <v>1</v>
      </c>
      <c r="H76" s="10">
        <f t="shared" ref="H76:H79" si="8">(2*E76*F76)/(E76+F76)</f>
        <v>0.66666666666666663</v>
      </c>
    </row>
    <row r="77" spans="2:8" x14ac:dyDescent="0.35">
      <c r="B77" s="10"/>
      <c r="C77" s="10" t="s">
        <v>33</v>
      </c>
      <c r="D77" s="10" cm="1">
        <f t="array" ref="D77">_xlfn.LET(
  _xlpm.valuesF, SUM(INDEX(results!F:F, _xlfn.SEQUENCE(2,1,143,5))),
  _xlpm.valuesI, SUM(INDEX(results!I:I, _xlfn.SEQUENCE(2,1,143,5))),
  _xlpm.valuesE, SUM(INDEX(results!E:E, _xlfn.SEQUENCE(2,1,143,5))),
  SUM(_xlpm.valuesF + _xlpm.valuesI)/(_xlpm.valuesE)
)</f>
        <v>0.77777777777777779</v>
      </c>
      <c r="E77" s="10" cm="1">
        <f t="array" ref="E77">_xlfn.LET(
 _xlpm.valuesF, SUM(INDEX(results!F:F, _xlfn.SEQUENCE(2,1,143,5))),
 _xlpm.valuesG, SUM(INDEX(results!G:G, _xlfn.SEQUENCE(2,1,143,5))),
 _xlpm.valuesF / (_xlpm.valuesF + _xlpm.valuesG)
)</f>
        <v>1</v>
      </c>
      <c r="F77" s="10" cm="1">
        <f t="array" ref="F77">_xlfn.LET(
 _xlpm.valuesF, SUM(INDEX(results!F:F, _xlfn.SEQUENCE(2,1,143,5))),
 _xlpm.valuesH, SUM(INDEX(results!H:H, _xlfn.SEQUENCE(2,1,143,5))),
 _xlpm.valuesF / (_xlpm.valuesF + _xlpm.valuesH)
)</f>
        <v>0.5</v>
      </c>
      <c r="G77" s="10" cm="1">
        <f t="array" ref="G77">_xlfn.LET(
 _xlpm.valuesI, SUM(INDEX(results!I:I, _xlfn.SEQUENCE(2,1,143,5))),
 _xlpm.valuesG, SUM(INDEX(results!G:G, _xlfn.SEQUENCE(2,1,143,5))),
 _xlpm.valuesI / (_xlpm.valuesI + _xlpm.valuesG)
)</f>
        <v>1</v>
      </c>
      <c r="H77" s="10">
        <f t="shared" si="8"/>
        <v>0.66666666666666663</v>
      </c>
    </row>
    <row r="78" spans="2:8" x14ac:dyDescent="0.35">
      <c r="B78" s="10"/>
      <c r="C78" s="10" t="s">
        <v>37</v>
      </c>
      <c r="D78" s="10" cm="1">
        <f t="array" ref="D78">_xlfn.LET(
  _xlpm.valuesF, SUM(INDEX(results!F:F, _xlfn.SEQUENCE(2,1,163,5))),
  _xlpm.valuesI, SUM(INDEX(results!I:I, _xlfn.SEQUENCE(2,1,163,5))),
  _xlpm.valuesE, SUM(INDEX(results!E:E, _xlfn.SEQUENCE(2,1,163,5))),
  SUM(_xlpm.valuesF + _xlpm.valuesI)/(_xlpm.valuesE)
)</f>
        <v>0.77777777777777779</v>
      </c>
      <c r="E78" s="10" cm="1">
        <f t="array" ref="E78">_xlfn.LET(
 _xlpm.valuesF, SUM(INDEX(results!F:F, _xlfn.SEQUENCE(2,1,163,5))),
 _xlpm.valuesG, SUM(INDEX(results!G:G, _xlfn.SEQUENCE(2,1,163,5))),
 _xlpm.valuesF / (_xlpm.valuesF + _xlpm.valuesG)
)</f>
        <v>1</v>
      </c>
      <c r="F78" s="10" cm="1">
        <f t="array" ref="F78">_xlfn.LET(
 _xlpm.valuesF, SUM(INDEX(results!F:F, _xlfn.SEQUENCE(2,1,163,5))),
 _xlpm.valuesH, SUM(INDEX(results!H:H, _xlfn.SEQUENCE(2,1,163,5))),
 _xlpm.valuesF / (_xlpm.valuesF + _xlpm.valuesH)
)</f>
        <v>0.5</v>
      </c>
      <c r="G78" s="10" cm="1">
        <f t="array" ref="G78">_xlfn.LET(
 _xlpm.valuesI, SUM(INDEX(results!I:I, _xlfn.SEQUENCE(2,1,163,5))),
 _xlpm.valuesG, SUM(INDEX(results!G:G, _xlfn.SEQUENCE(2,1,163,5))),
 _xlpm.valuesI / (_xlpm.valuesI + _xlpm.valuesG)
)</f>
        <v>1</v>
      </c>
      <c r="H78" s="10">
        <f t="shared" si="8"/>
        <v>0.66666666666666663</v>
      </c>
    </row>
    <row r="79" spans="2:8" x14ac:dyDescent="0.35">
      <c r="B79" s="10"/>
      <c r="C79" s="10" t="s">
        <v>41</v>
      </c>
      <c r="D79" s="10" cm="1">
        <f t="array" ref="D79">_xlfn.LET(
  _xlpm.valuesF, SUM(INDEX(results!F:F, _xlfn.SEQUENCE(2,1,183,5))),
  _xlpm.valuesI, SUM(INDEX(results!I:I, _xlfn.SEQUENCE(2,1,183,5))),
  _xlpm.valuesE, SUM(INDEX(results!E:E, _xlfn.SEQUENCE(2,1,183,5))),
  SUM(_xlpm.valuesF + _xlpm.valuesI)/(_xlpm.valuesE)
)</f>
        <v>0.77777777777777779</v>
      </c>
      <c r="E79" s="10" cm="1">
        <f t="array" ref="E79">_xlfn.LET(
 _xlpm.valuesF, SUM(INDEX(results!F:F, _xlfn.SEQUENCE(2,1,183,5))),
 _xlpm.valuesG, SUM(INDEX(results!G:G, _xlfn.SEQUENCE(2,1,183,5))),
 _xlpm.valuesF / (_xlpm.valuesF + _xlpm.valuesG)
)</f>
        <v>1</v>
      </c>
      <c r="F79" s="10" cm="1">
        <f t="array" ref="F79">_xlfn.LET(
 _xlpm.valuesF, SUM(INDEX(results!F:F, _xlfn.SEQUENCE(2,1,183,5))),
 _xlpm.valuesH, SUM(INDEX(results!H:H, _xlfn.SEQUENCE(2,1,183,5))),
 _xlpm.valuesF / (_xlpm.valuesF + _xlpm.valuesH)
)</f>
        <v>0.5</v>
      </c>
      <c r="G79" s="10" cm="1">
        <f t="array" ref="G79">_xlfn.LET(
 _xlpm.valuesI, SUM(INDEX(results!I:I, _xlfn.SEQUENCE(2,1,183,5))),
 _xlpm.valuesG, SUM(INDEX(results!G:G, _xlfn.SEQUENCE(2,1,183,5))),
 _xlpm.valuesI / (_xlpm.valuesI + _xlpm.valuesG)
)</f>
        <v>1</v>
      </c>
      <c r="H79" s="10">
        <f t="shared" si="8"/>
        <v>0.66666666666666663</v>
      </c>
    </row>
    <row r="80" spans="2:8" x14ac:dyDescent="0.35">
      <c r="B80" s="18" t="s">
        <v>139</v>
      </c>
      <c r="C80" s="18" t="s">
        <v>1</v>
      </c>
      <c r="D80" s="18" cm="1">
        <f t="array" ref="D80">_xlfn.LET(
  _xlpm.valuesF, SUM(INDEX(results!F:F, _xlfn.SEQUENCE(2,1,113,5))),
  _xlpm.valuesI, SUM(INDEX(results!I:I, _xlfn.SEQUENCE(2,1,113,5))),
  _xlpm.valuesE, SUM(INDEX(results!E:E, _xlfn.SEQUENCE(2,1,113,5))),
  SUM(_xlpm.valuesF + _xlpm.valuesI)/(_xlpm.valuesE)
)</f>
        <v>0.75</v>
      </c>
      <c r="E80" s="18" cm="1">
        <f t="array" ref="E80">_xlfn.LET(
 _xlpm.valuesF, SUM(INDEX(results!F:F, _xlfn.SEQUENCE(2,1,113,5))),
 _xlpm.valuesG, SUM(INDEX(results!G:G, _xlfn.SEQUENCE(2,1,113,5))),
 _xlpm.valuesF / (_xlpm.valuesF + _xlpm.valuesG)
)</f>
        <v>1</v>
      </c>
      <c r="F80" s="18" cm="1">
        <f t="array" ref="F80">_xlfn.LET(
 _xlpm.valuesF, SUM(INDEX(results!F:F, _xlfn.SEQUENCE(2,1,113,5))),
 _xlpm.valuesH, SUM(INDEX(results!H:H, _xlfn.SEQUENCE(2,1,113,5))),
 _xlpm.valuesF / (_xlpm.valuesF + _xlpm.valuesH)
)</f>
        <v>0.5</v>
      </c>
      <c r="G80" s="18" cm="1">
        <f t="array" ref="G80">_xlfn.LET(
 _xlpm.valuesI, SUM(INDEX(results!I:I, _xlfn.SEQUENCE(2,1,113,5))),
 _xlpm.valuesG, SUM(INDEX(results!G:G, _xlfn.SEQUENCE(2,1,113,5))),
 _xlpm.valuesI / (_xlpm.valuesI + _xlpm.valuesG)
)</f>
        <v>1</v>
      </c>
      <c r="H80" s="18">
        <f>(2*E80*F80)/(E80+F80)</f>
        <v>0.66666666666666663</v>
      </c>
    </row>
    <row r="81" spans="2:8" x14ac:dyDescent="0.35">
      <c r="B81" s="18"/>
      <c r="C81" s="18" t="s">
        <v>19</v>
      </c>
      <c r="D81" s="18" cm="1">
        <f t="array" ref="D81">_xlfn.LET(
  _xlpm.valuesF, SUM(INDEX(results!F:F, _xlfn.SEQUENCE(2,1,133,5))),
  _xlpm.valuesI, SUM(INDEX(results!I:I, _xlfn.SEQUENCE(2,1,133,5))),
  _xlpm.valuesE, SUM(INDEX(results!E:E, _xlfn.SEQUENCE(2,1,133,5))),
  SUM(_xlpm.valuesF + _xlpm.valuesI)/(_xlpm.valuesE)
)</f>
        <v>0.75</v>
      </c>
      <c r="E81" s="18" cm="1">
        <f t="array" ref="E81">_xlfn.LET(
 _xlpm.valuesF, SUM(INDEX(results!F:F, _xlfn.SEQUENCE(2,1,133,5))),
 _xlpm.valuesG, SUM(INDEX(results!G:G, _xlfn.SEQUENCE(2,1,133,5))),
 _xlpm.valuesF / (_xlpm.valuesF + _xlpm.valuesG)
)</f>
        <v>1</v>
      </c>
      <c r="F81" s="18" cm="1">
        <f t="array" ref="F81">_xlfn.LET(
 _xlpm.valuesF, SUM(INDEX(results!F:F, _xlfn.SEQUENCE(2,1,133,5))),
 _xlpm.valuesH, SUM(INDEX(results!H:H, _xlfn.SEQUENCE(2,1,133,5))),
 _xlpm.valuesF / (_xlpm.valuesF + _xlpm.valuesH)
)</f>
        <v>0.5</v>
      </c>
      <c r="G81" s="18" cm="1">
        <f t="array" ref="G81">_xlfn.LET(
 _xlpm.valuesI, SUM(INDEX(results!I:I, _xlfn.SEQUENCE(2,1,133,5))),
 _xlpm.valuesG, SUM(INDEX(results!G:G, _xlfn.SEQUENCE(2,1,133,5))),
 _xlpm.valuesI / (_xlpm.valuesI + _xlpm.valuesG)
)</f>
        <v>1</v>
      </c>
      <c r="H81" s="18">
        <f t="shared" ref="H81:H84" si="9">(2*E81*F81)/(E81+F81)</f>
        <v>0.66666666666666663</v>
      </c>
    </row>
    <row r="82" spans="2:8" x14ac:dyDescent="0.35">
      <c r="B82" s="18"/>
      <c r="C82" s="18" t="s">
        <v>33</v>
      </c>
      <c r="D82" s="18" cm="1">
        <f t="array" ref="D82">_xlfn.LET(
  _xlpm.valuesF, SUM(INDEX(results!F:F, _xlfn.SEQUENCE(2,1,153,5))),
  _xlpm.valuesI, SUM(INDEX(results!I:I, _xlfn.SEQUENCE(2,1,153,5))),
  _xlpm.valuesE, SUM(INDEX(results!E:E, _xlfn.SEQUENCE(2,1,153,5))),
  SUM(_xlpm.valuesF + _xlpm.valuesI)/(_xlpm.valuesE)
)</f>
        <v>0.75</v>
      </c>
      <c r="E82" s="18" cm="1">
        <f t="array" ref="E82">_xlfn.LET(
 _xlpm.valuesF, SUM(INDEX(results!F:F, _xlfn.SEQUENCE(2,1,153,5))),
 _xlpm.valuesG, SUM(INDEX(results!G:G, _xlfn.SEQUENCE(2,1,153,5))),
 _xlpm.valuesF / (_xlpm.valuesF + _xlpm.valuesG)
)</f>
        <v>1</v>
      </c>
      <c r="F82" s="18" cm="1">
        <f t="array" ref="F82">_xlfn.LET(
 _xlpm.valuesF, SUM(INDEX(results!F:F, _xlfn.SEQUENCE(2,1,153,5))),
 _xlpm.valuesH, SUM(INDEX(results!H:H, _xlfn.SEQUENCE(2,1,153,5))),
 _xlpm.valuesF / (_xlpm.valuesF + _xlpm.valuesH)
)</f>
        <v>0.5</v>
      </c>
      <c r="G82" s="18" cm="1">
        <f t="array" ref="G82">_xlfn.LET(
 _xlpm.valuesI, SUM(INDEX(results!I:I, _xlfn.SEQUENCE(2,1,153,5))),
 _xlpm.valuesG, SUM(INDEX(results!G:G, _xlfn.SEQUENCE(2,1,153,5))),
 _xlpm.valuesI / (_xlpm.valuesI + _xlpm.valuesG)
)</f>
        <v>1</v>
      </c>
      <c r="H82" s="18">
        <f t="shared" si="9"/>
        <v>0.66666666666666663</v>
      </c>
    </row>
    <row r="83" spans="2:8" x14ac:dyDescent="0.35">
      <c r="B83" s="18"/>
      <c r="C83" s="18" t="s">
        <v>37</v>
      </c>
      <c r="D83" s="18" cm="1">
        <f t="array" ref="D83">_xlfn.LET(
  _xlpm.valuesF, SUM(INDEX(results!F:F, _xlfn.SEQUENCE(2,1,173,5))),
  _xlpm.valuesI, SUM(INDEX(results!I:I, _xlfn.SEQUENCE(2,1,173,5))),
  _xlpm.valuesE, SUM(INDEX(results!E:E, _xlfn.SEQUENCE(2,1,173,5))),
  SUM(_xlpm.valuesF + _xlpm.valuesI)/(_xlpm.valuesE)
)</f>
        <v>0.75</v>
      </c>
      <c r="E83" s="18" cm="1">
        <f t="array" ref="E83">_xlfn.LET(
 _xlpm.valuesF, SUM(INDEX(results!F:F, _xlfn.SEQUENCE(2,1,173,5))),
 _xlpm.valuesG, SUM(INDEX(results!G:G, _xlfn.SEQUENCE(2,1,173,5))),
 _xlpm.valuesF / (_xlpm.valuesF + _xlpm.valuesG)
)</f>
        <v>1</v>
      </c>
      <c r="F83" s="18" cm="1">
        <f t="array" ref="F83">_xlfn.LET(
 _xlpm.valuesF, SUM(INDEX(results!F:F, _xlfn.SEQUENCE(2,1,173,5))),
 _xlpm.valuesH, SUM(INDEX(results!H:H, _xlfn.SEQUENCE(2,1,173,5))),
 _xlpm.valuesF / (_xlpm.valuesF + _xlpm.valuesH)
)</f>
        <v>0.5</v>
      </c>
      <c r="G83" s="18" cm="1">
        <f t="array" ref="G83">_xlfn.LET(
 _xlpm.valuesI, SUM(INDEX(results!I:I, _xlfn.SEQUENCE(2,1,173,5))),
 _xlpm.valuesG, SUM(INDEX(results!G:G, _xlfn.SEQUENCE(2,1,173,5))),
 _xlpm.valuesI / (_xlpm.valuesI + _xlpm.valuesG)
)</f>
        <v>1</v>
      </c>
      <c r="H83" s="18">
        <f t="shared" si="9"/>
        <v>0.66666666666666663</v>
      </c>
    </row>
    <row r="84" spans="2:8" x14ac:dyDescent="0.35">
      <c r="B84" s="18"/>
      <c r="C84" s="18" t="s">
        <v>41</v>
      </c>
      <c r="D84" s="18" cm="1">
        <f t="array" ref="D84">_xlfn.LET(
  _xlpm.valuesF, SUM(INDEX(results!F:F, _xlfn.SEQUENCE(2,1,193,5))),
  _xlpm.valuesI, SUM(INDEX(results!I:I, _xlfn.SEQUENCE(2,1,193,5))),
  _xlpm.valuesE, SUM(INDEX(results!E:E, _xlfn.SEQUENCE(2,1,193,5))),
  SUM(_xlpm.valuesF + _xlpm.valuesI)/(_xlpm.valuesE)
)</f>
        <v>0.75</v>
      </c>
      <c r="E84" s="18" cm="1">
        <f t="array" ref="E84">_xlfn.LET(
 _xlpm.valuesF, SUM(INDEX(results!F:F, _xlfn.SEQUENCE(2,1,193,5))),
 _xlpm.valuesG, SUM(INDEX(results!G:G, _xlfn.SEQUENCE(2,1,193,5))),
 _xlpm.valuesF / (_xlpm.valuesF + _xlpm.valuesG)
)</f>
        <v>1</v>
      </c>
      <c r="F84" s="18" cm="1">
        <f t="array" ref="F84">_xlfn.LET(
 _xlpm.valuesF, SUM(INDEX(results!F:F, _xlfn.SEQUENCE(2,1,193,5))),
 _xlpm.valuesH, SUM(INDEX(results!H:H, _xlfn.SEQUENCE(2,1,193,5))),
 _xlpm.valuesF / (_xlpm.valuesF + _xlpm.valuesH)
)</f>
        <v>0.5</v>
      </c>
      <c r="G84" s="18" cm="1">
        <f t="array" ref="G84">_xlfn.LET(
 _xlpm.valuesI, SUM(INDEX(results!I:I, _xlfn.SEQUENCE(2,1,193,5))),
 _xlpm.valuesG, SUM(INDEX(results!G:G, _xlfn.SEQUENCE(2,1,193,5))),
 _xlpm.valuesI / (_xlpm.valuesI + _xlpm.valuesG)
)</f>
        <v>1</v>
      </c>
      <c r="H84" s="18">
        <f t="shared" si="9"/>
        <v>0.66666666666666663</v>
      </c>
    </row>
    <row r="86" spans="2:8" x14ac:dyDescent="0.35">
      <c r="B86" s="3" t="s">
        <v>134</v>
      </c>
      <c r="C86" s="3" t="s">
        <v>1</v>
      </c>
      <c r="D86" s="3" cm="1">
        <f t="array" ref="D86">_xlfn.LET(
  _xlpm.rows, _xlfn.SEQUENCE(4,1,204,5),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6" s="3" cm="1">
        <f t="array" ref="E86">_xlfn.LET(
  _xlpm.rows, _xlfn.SEQUENCE(4,1,204,5),
  _xlpm.rF, INDEX(results!F:F, _xlpm.rows),
  _xlpm.rG, INDEX(results!G:G, _xlpm.rows),
  _xlpm.num, SUM(_xlpm.rF),
  _xlpm.denom, SUM(_xlpm.rF + _xlpm.rG),
  _xlpm.num/_xlpm.denom
)</f>
        <v>0.8</v>
      </c>
      <c r="F86" s="3" cm="1">
        <f t="array" ref="F86">_xlfn.LET(
  _xlpm.rows, _xlfn.SEQUENCE(4,1,204,5),
  _xlpm.rF, INDEX(results!F:F, _xlpm.rows),
  _xlpm.rH, INDEX(results!H:H, _xlpm.rows),
  _xlpm.num, SUM(_xlpm.rF),
  _xlpm.denom, SUM(_xlpm.rF + _xlpm.rH),
  _xlpm.num/_xlpm.denom
)</f>
        <v>0.21428571428571427</v>
      </c>
      <c r="G86" s="3" cm="1">
        <f t="array" ref="G86">_xlfn.LET(
  _xlpm.rows, _xlfn.SEQUENCE(4,1,204,5),
  _xlpm.rI, INDEX(results!I:I, _xlpm.rows),
  _xlpm.rG, INDEX(results!G:G, _xlpm.rows),
  _xlpm.num, SUM(_xlpm.rI),
  _xlpm.denom, SUM(_xlpm.rI + _xlpm.rG),
  _xlpm.num/_xlpm.denom
)</f>
        <v>0.95238095238095233</v>
      </c>
      <c r="H86" s="3">
        <f t="shared" si="5"/>
        <v>0.3380281690140845</v>
      </c>
    </row>
    <row r="87" spans="2:8" x14ac:dyDescent="0.35">
      <c r="B87" s="3"/>
      <c r="C87" s="3" t="s">
        <v>19</v>
      </c>
      <c r="D87" s="3" cm="1">
        <f t="array" ref="D87">_xlfn.LET(
  _xlpm.rows, _xlfn.SEQUENCE(4,1,224,5),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7" s="3" cm="1">
        <f t="array" ref="E87">_xlfn.LET(
  _xlpm.rows, _xlfn.SEQUENCE(4,1,224,5),
  _xlpm.rF, INDEX(results!F:F, _xlpm.rows),
  _xlpm.rG, INDEX(results!G:G, _xlpm.rows),
  _xlpm.num, SUM(_xlpm.rF),
  _xlpm.denom, SUM(_xlpm.rF + _xlpm.rG),
  _xlpm.num/_xlpm.denom
)</f>
        <v>0.8</v>
      </c>
      <c r="F87" s="3" cm="1">
        <f t="array" ref="F87">_xlfn.LET(
  _xlpm.rows, _xlfn.SEQUENCE(4,1,224,5),
  _xlpm.rF, INDEX(results!F:F, _xlpm.rows),
  _xlpm.rH, INDEX(results!H:H, _xlpm.rows),
  _xlpm.num, SUM(_xlpm.rF),
  _xlpm.denom, SUM(_xlpm.rF + _xlpm.rH),
  _xlpm.num/_xlpm.denom
)</f>
        <v>0.21428571428571427</v>
      </c>
      <c r="G87" s="3" cm="1">
        <f t="array" ref="G87">_xlfn.LET(
  _xlpm.rows, _xlfn.SEQUENCE(4,1,224,5),
  _xlpm.rI, INDEX(results!I:I, _xlpm.rows),
  _xlpm.rG, INDEX(results!G:G, _xlpm.rows),
  _xlpm.num, SUM(_xlpm.rI),
  _xlpm.denom, SUM(_xlpm.rI + _xlpm.rG),
  _xlpm.num/_xlpm.denom
)</f>
        <v>0.95238095238095233</v>
      </c>
      <c r="H87" s="3">
        <f t="shared" si="5"/>
        <v>0.3380281690140845</v>
      </c>
    </row>
    <row r="88" spans="2:8" x14ac:dyDescent="0.35">
      <c r="B88" s="3"/>
      <c r="C88" s="3" t="s">
        <v>33</v>
      </c>
      <c r="D88" s="3" cm="1">
        <f t="array" ref="D88">_xlfn.LET(
  _xlpm.rows, _xlfn.SEQUENCE(4,1,244,5),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8" s="3" cm="1">
        <f t="array" ref="E88">_xlfn.LET(
  _xlpm.rows, _xlfn.SEQUENCE(4,1,244,5),
  _xlpm.rF, INDEX(results!F:F, _xlpm.rows),
  _xlpm.rG, INDEX(results!G:G, _xlpm.rows),
  _xlpm.num, SUM(_xlpm.rF),
  _xlpm.denom, SUM(_xlpm.rF + _xlpm.rG),
  _xlpm.num/_xlpm.denom
)</f>
        <v>0.8</v>
      </c>
      <c r="F88" s="3" cm="1">
        <f t="array" ref="F88">_xlfn.LET(
  _xlpm.rows, _xlfn.SEQUENCE(4,1,244,5),
  _xlpm.rF, INDEX(results!F:F, _xlpm.rows),
  _xlpm.rH, INDEX(results!H:H, _xlpm.rows),
  _xlpm.num, SUM(_xlpm.rF),
  _xlpm.denom, SUM(_xlpm.rF + _xlpm.rH),
  _xlpm.num/_xlpm.denom
)</f>
        <v>0.21428571428571427</v>
      </c>
      <c r="G88" s="3" cm="1">
        <f t="array" ref="G88">_xlfn.LET(
  _xlpm.rows, _xlfn.SEQUENCE(4,1,244,5),
  _xlpm.rI, INDEX(results!I:I, _xlpm.rows),
  _xlpm.rG, INDEX(results!G:G, _xlpm.rows),
  _xlpm.num, SUM(_xlpm.rI),
  _xlpm.denom, SUM(_xlpm.rI + _xlpm.rG),
  _xlpm.num/_xlpm.denom
)</f>
        <v>0.95238095238095233</v>
      </c>
      <c r="H88" s="3">
        <f t="shared" si="5"/>
        <v>0.3380281690140845</v>
      </c>
    </row>
    <row r="89" spans="2:8" x14ac:dyDescent="0.35">
      <c r="B89" s="3"/>
      <c r="C89" s="3" t="s">
        <v>37</v>
      </c>
      <c r="D89" s="3" cm="1">
        <f t="array" ref="D89">_xlfn.LET(
  _xlpm.rows, _xlfn.SEQUENCE(4,1,264,5),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9" s="3" cm="1">
        <f t="array" ref="E89">_xlfn.LET(
  _xlpm.rows, _xlfn.SEQUENCE(4,1,264,5),
  _xlpm.rF, INDEX(results!F:F, _xlpm.rows),
  _xlpm.rG, INDEX(results!G:G, _xlpm.rows),
  _xlpm.num, SUM(_xlpm.rF),
  _xlpm.denom, SUM(_xlpm.rF + _xlpm.rG),
  _xlpm.num/_xlpm.denom
)</f>
        <v>0.8</v>
      </c>
      <c r="F89" s="3" cm="1">
        <f t="array" ref="F89">_xlfn.LET(
  _xlpm.rows, _xlfn.SEQUENCE(4,1,264,5),
  _xlpm.rF, INDEX(results!F:F, _xlpm.rows),
  _xlpm.rH, INDEX(results!H:H, _xlpm.rows),
  _xlpm.num, SUM(_xlpm.rF),
  _xlpm.denom, SUM(_xlpm.rF + _xlpm.rH),
  _xlpm.num/_xlpm.denom
)</f>
        <v>0.21428571428571427</v>
      </c>
      <c r="G89" s="3" cm="1">
        <f t="array" ref="G89">_xlfn.LET(
  _xlpm.rows, _xlfn.SEQUENCE(4,1,264,5),
  _xlpm.rI, INDEX(results!I:I, _xlpm.rows),
  _xlpm.rG, INDEX(results!G:G, _xlpm.rows),
  _xlpm.num, SUM(_xlpm.rI),
  _xlpm.denom, SUM(_xlpm.rI + _xlpm.rG),
  _xlpm.num/_xlpm.denom
)</f>
        <v>0.95238095238095233</v>
      </c>
      <c r="H89" s="3">
        <f t="shared" si="5"/>
        <v>0.3380281690140845</v>
      </c>
    </row>
    <row r="90" spans="2:8" x14ac:dyDescent="0.35">
      <c r="B90" s="3"/>
      <c r="C90" s="3" t="s">
        <v>41</v>
      </c>
      <c r="D90" s="3" cm="1">
        <f t="array" ref="D90">_xlfn.LET(
  _xlpm.rows, _xlfn.SEQUENCE(4,1,284,5),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90" s="3" cm="1">
        <f t="array" ref="E90">_xlfn.LET(
  _xlpm.rows, _xlfn.SEQUENCE(4,1,284,5),
  _xlpm.rF, INDEX(results!F:F, _xlpm.rows),
  _xlpm.rG, INDEX(results!G:G, _xlpm.rows),
  _xlpm.num, SUM(_xlpm.rF),
  _xlpm.denom, SUM(_xlpm.rF + _xlpm.rG),
  _xlpm.num/_xlpm.denom
)</f>
        <v>0.8</v>
      </c>
      <c r="F90" s="3" cm="1">
        <f t="array" ref="F90">_xlfn.LET(
  _xlpm.rows, _xlfn.SEQUENCE(4,1,284,5),
  _xlpm.rF, INDEX(results!F:F, _xlpm.rows),
  _xlpm.rH, INDEX(results!H:H, _xlpm.rows),
  _xlpm.num, SUM(_xlpm.rF),
  _xlpm.denom, SUM(_xlpm.rF + _xlpm.rH),
  _xlpm.num/_xlpm.denom
)</f>
        <v>0.21428571428571427</v>
      </c>
      <c r="G90" s="3" cm="1">
        <f t="array" ref="G90">_xlfn.LET(
  _xlpm.rows, _xlfn.SEQUENCE(4,1,284,5),
  _xlpm.rI, INDEX(results!I:I, _xlpm.rows),
  _xlpm.rG, INDEX(results!G:G, _xlpm.rows),
  _xlpm.num, SUM(_xlpm.rI),
  _xlpm.denom, SUM(_xlpm.rI + _xlpm.rG),
  _xlpm.num/_xlpm.denom
)</f>
        <v>0.95238095238095233</v>
      </c>
      <c r="H90" s="3">
        <f t="shared" si="5"/>
        <v>0.3380281690140845</v>
      </c>
    </row>
    <row r="91" spans="2:8" x14ac:dyDescent="0.35">
      <c r="B91" s="10" t="s">
        <v>140</v>
      </c>
      <c r="C91" s="10" t="s">
        <v>1</v>
      </c>
      <c r="D91" s="10" cm="1">
        <f t="array" ref="D91">_xlfn.LET(
  _xlpm.valuesF, SUM(INDEX(results!F:F, _xlfn.SEQUENCE(2,1,204,5))),
  _xlpm.valuesI, SUM(INDEX(results!I:I, _xlfn.SEQUENCE(2,1,204,5))),
  _xlpm.valuesE, SUM(INDEX(results!E:E, _xlfn.SEQUENCE(2,1,204,5))),
  SUM(_xlpm.valuesF + _xlpm.valuesI)/(_xlpm.valuesE)
)</f>
        <v>0.69841269841269837</v>
      </c>
      <c r="E91" s="10" cm="1">
        <f t="array" ref="E91">_xlfn.LET(
 _xlpm.valuesF, SUM(INDEX(results!F:F, _xlfn.SEQUENCE(2,1,204,5))),
 _xlpm.valuesG, SUM(INDEX(results!G:G, _xlfn.SEQUENCE(2,1,204,5))),
 _xlpm.valuesF / (_xlpm.valuesF + _xlpm.valuesG)
)</f>
        <v>0.8</v>
      </c>
      <c r="F91" s="10" cm="1">
        <f t="array" ref="F91">_xlfn.LET(
 _xlpm.valuesF, SUM(INDEX(results!F:F, _xlfn.SEQUENCE(2,1,204,5))),
 _xlpm.valuesH, SUM(INDEX(results!H:H, _xlfn.SEQUENCE(2,1,204,5))),
 _xlpm.valuesF / (_xlpm.valuesF + _xlpm.valuesH)
)</f>
        <v>0.42857142857142855</v>
      </c>
      <c r="G91" s="10" cm="1">
        <f t="array" ref="G91">_xlfn.LET(
 _xlpm.valuesI, SUM(INDEX(results!I:I, _xlfn.SEQUENCE(2,1,204,5))),
 _xlpm.valuesG, SUM(INDEX(results!G:G, _xlfn.SEQUENCE(2,1,204,5))),
 _xlpm.valuesI / (_xlpm.valuesI + _xlpm.valuesG)
)</f>
        <v>0.91428571428571426</v>
      </c>
      <c r="H91" s="10">
        <f>(2*E91*F91)/(E91+F91)</f>
        <v>0.55813953488372092</v>
      </c>
    </row>
    <row r="92" spans="2:8" x14ac:dyDescent="0.35">
      <c r="B92" s="10"/>
      <c r="C92" s="10" t="s">
        <v>19</v>
      </c>
      <c r="D92" s="10" cm="1">
        <f t="array" ref="D92">_xlfn.LET(
  _xlpm.valuesF, SUM(INDEX(results!F:F, _xlfn.SEQUENCE(2,1,224,5))),
  _xlpm.valuesI, SUM(INDEX(results!I:I, _xlfn.SEQUENCE(2,1,224,5))),
  _xlpm.valuesE, SUM(INDEX(results!E:E, _xlfn.SEQUENCE(2,1,224,5))),
  SUM(_xlpm.valuesF + _xlpm.valuesI)/(_xlpm.valuesE)
)</f>
        <v>0.69841269841269837</v>
      </c>
      <c r="E92" s="10" cm="1">
        <f t="array" ref="E92">_xlfn.LET(
 _xlpm.valuesF, SUM(INDEX(results!F:F, _xlfn.SEQUENCE(2,1,224,5))),
 _xlpm.valuesG, SUM(INDEX(results!G:G, _xlfn.SEQUENCE(2,1,224,5))),
 _xlpm.valuesF / (_xlpm.valuesF + _xlpm.valuesG)
)</f>
        <v>0.8</v>
      </c>
      <c r="F92" s="10" cm="1">
        <f t="array" ref="F92">_xlfn.LET(
 _xlpm.valuesF, SUM(INDEX(results!F:F, _xlfn.SEQUENCE(2,1,224,5))),
 _xlpm.valuesH, SUM(INDEX(results!H:H, _xlfn.SEQUENCE(2,1,224,5))),
 _xlpm.valuesF / (_xlpm.valuesF + _xlpm.valuesH)
)</f>
        <v>0.42857142857142855</v>
      </c>
      <c r="G92" s="10" cm="1">
        <f t="array" ref="G92">_xlfn.LET(
 _xlpm.valuesI, SUM(INDEX(results!I:I, _xlfn.SEQUENCE(2,1,224,5))),
 _xlpm.valuesG, SUM(INDEX(results!G:G, _xlfn.SEQUENCE(2,1,224,5))),
 _xlpm.valuesI / (_xlpm.valuesI + _xlpm.valuesG)
)</f>
        <v>0.91428571428571426</v>
      </c>
      <c r="H92" s="10">
        <f t="shared" ref="H92:H95" si="10">(2*E92*F92)/(E92+F92)</f>
        <v>0.55813953488372092</v>
      </c>
    </row>
    <row r="93" spans="2:8" x14ac:dyDescent="0.35">
      <c r="B93" s="10"/>
      <c r="C93" s="10" t="s">
        <v>33</v>
      </c>
      <c r="D93" s="10" cm="1">
        <f t="array" ref="D93">_xlfn.LET(
  _xlpm.valuesF, SUM(INDEX(results!F:F, _xlfn.SEQUENCE(2,1,244,5))),
  _xlpm.valuesI, SUM(INDEX(results!I:I, _xlfn.SEQUENCE(2,1,244,5))),
  _xlpm.valuesE, SUM(INDEX(results!E:E, _xlfn.SEQUENCE(2,1,244,5))),
  SUM(_xlpm.valuesF + _xlpm.valuesI)/(_xlpm.valuesE)
)</f>
        <v>0.69841269841269837</v>
      </c>
      <c r="E93" s="10" cm="1">
        <f t="array" ref="E93">_xlfn.LET(
 _xlpm.valuesF, SUM(INDEX(results!F:F, _xlfn.SEQUENCE(2,1,244,5))),
 _xlpm.valuesG, SUM(INDEX(results!G:G, _xlfn.SEQUENCE(2,1,244,5))),
 _xlpm.valuesF / (_xlpm.valuesF + _xlpm.valuesG)
)</f>
        <v>0.8</v>
      </c>
      <c r="F93" s="10" cm="1">
        <f t="array" ref="F93">_xlfn.LET(
 _xlpm.valuesF, SUM(INDEX(results!F:F, _xlfn.SEQUENCE(2,1,244,5))),
 _xlpm.valuesH, SUM(INDEX(results!H:H, _xlfn.SEQUENCE(2,1,244,5))),
 _xlpm.valuesF / (_xlpm.valuesF + _xlpm.valuesH)
)</f>
        <v>0.42857142857142855</v>
      </c>
      <c r="G93" s="10" cm="1">
        <f t="array" ref="G93">_xlfn.LET(
 _xlpm.valuesI, SUM(INDEX(results!I:I, _xlfn.SEQUENCE(2,1,244,5))),
 _xlpm.valuesG, SUM(INDEX(results!G:G, _xlfn.SEQUENCE(2,1,244,5))),
 _xlpm.valuesI / (_xlpm.valuesI + _xlpm.valuesG)
)</f>
        <v>0.91428571428571426</v>
      </c>
      <c r="H93" s="10">
        <f t="shared" si="10"/>
        <v>0.55813953488372092</v>
      </c>
    </row>
    <row r="94" spans="2:8" x14ac:dyDescent="0.35">
      <c r="B94" s="10"/>
      <c r="C94" s="10" t="s">
        <v>37</v>
      </c>
      <c r="D94" s="10" cm="1">
        <f t="array" ref="D94">_xlfn.LET(
  _xlpm.valuesF, SUM(INDEX(results!F:F, _xlfn.SEQUENCE(2,1,264,5))),
  _xlpm.valuesI, SUM(INDEX(results!I:I, _xlfn.SEQUENCE(2,1,264,5))),
  _xlpm.valuesE, SUM(INDEX(results!E:E, _xlfn.SEQUENCE(2,1,264,5))),
  SUM(_xlpm.valuesF + _xlpm.valuesI)/(_xlpm.valuesE)
)</f>
        <v>0.69841269841269837</v>
      </c>
      <c r="E94" s="10" cm="1">
        <f t="array" ref="E94">_xlfn.LET(
 _xlpm.valuesF, SUM(INDEX(results!F:F, _xlfn.SEQUENCE(2,1,264,5))),
 _xlpm.valuesG, SUM(INDEX(results!G:G, _xlfn.SEQUENCE(2,1,264,5))),
 _xlpm.valuesF / (_xlpm.valuesF + _xlpm.valuesG)
)</f>
        <v>0.8</v>
      </c>
      <c r="F94" s="10" cm="1">
        <f t="array" ref="F94">_xlfn.LET(
 _xlpm.valuesF, SUM(INDEX(results!F:F, _xlfn.SEQUENCE(2,1,264,5))),
 _xlpm.valuesH, SUM(INDEX(results!H:H, _xlfn.SEQUENCE(2,1,264,5))),
 _xlpm.valuesF / (_xlpm.valuesF + _xlpm.valuesH)
)</f>
        <v>0.42857142857142855</v>
      </c>
      <c r="G94" s="10" cm="1">
        <f t="array" ref="G94">_xlfn.LET(
 _xlpm.valuesI, SUM(INDEX(results!I:I, _xlfn.SEQUENCE(2,1,264,5))),
 _xlpm.valuesG, SUM(INDEX(results!G:G, _xlfn.SEQUENCE(2,1,264,5))),
 _xlpm.valuesI / (_xlpm.valuesI + _xlpm.valuesG)
)</f>
        <v>0.91428571428571426</v>
      </c>
      <c r="H94" s="10">
        <f t="shared" si="10"/>
        <v>0.55813953488372092</v>
      </c>
    </row>
    <row r="95" spans="2:8" x14ac:dyDescent="0.35">
      <c r="B95" s="10"/>
      <c r="C95" s="10" t="s">
        <v>41</v>
      </c>
      <c r="D95" s="10" cm="1">
        <f t="array" ref="D95">_xlfn.LET(
  _xlpm.valuesF, SUM(INDEX(results!F:F, _xlfn.SEQUENCE(2,1,284,5))),
  _xlpm.valuesI, SUM(INDEX(results!I:I, _xlfn.SEQUENCE(2,1,284,5))),
  _xlpm.valuesE, SUM(INDEX(results!E:E, _xlfn.SEQUENCE(2,1,284,5))),
  SUM(_xlpm.valuesF + _xlpm.valuesI)/(_xlpm.valuesE)
)</f>
        <v>0.69841269841269837</v>
      </c>
      <c r="E95" s="10" cm="1">
        <f t="array" ref="E95">_xlfn.LET(
 _xlpm.valuesF, SUM(INDEX(results!F:F, _xlfn.SEQUENCE(2,1,284,5))),
 _xlpm.valuesG, SUM(INDEX(results!G:G, _xlfn.SEQUENCE(2,1,284,5))),
 _xlpm.valuesF / (_xlpm.valuesF + _xlpm.valuesG)
)</f>
        <v>0.8</v>
      </c>
      <c r="F95" s="10" cm="1">
        <f t="array" ref="F95">_xlfn.LET(
 _xlpm.valuesF, SUM(INDEX(results!F:F, _xlfn.SEQUENCE(2,1,284,5))),
 _xlpm.valuesH, SUM(INDEX(results!H:H, _xlfn.SEQUENCE(2,1,284,5))),
 _xlpm.valuesF / (_xlpm.valuesF + _xlpm.valuesH)
)</f>
        <v>0.42857142857142855</v>
      </c>
      <c r="G95" s="10" cm="1">
        <f t="array" ref="G95">_xlfn.LET(
 _xlpm.valuesI, SUM(INDEX(results!I:I, _xlfn.SEQUENCE(2,1,284,5))),
 _xlpm.valuesG, SUM(INDEX(results!G:G, _xlfn.SEQUENCE(2,1,284,5))),
 _xlpm.valuesI / (_xlpm.valuesI + _xlpm.valuesG)
)</f>
        <v>0.91428571428571426</v>
      </c>
      <c r="H95" s="10">
        <f t="shared" si="10"/>
        <v>0.55813953488372092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626-F218-4B99-B9CF-F14B8A51FAA4}">
  <dimension ref="A1"/>
  <sheetViews>
    <sheetView zoomScale="58" workbookViewId="0">
      <selection activeCell="Q10" sqref="Q10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results_additional</vt:lpstr>
      <vt:lpstr>metrics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2025-08-15T08:55:02Z</dcterms:modified>
</cp:coreProperties>
</file>