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ng-Model" sheetId="1" r:id="rId4"/>
    <sheet state="visible" name="Simplified-DDM" sheetId="2" r:id="rId5"/>
    <sheet state="visible" name="Public-Comps" sheetId="3" r:id="rId6"/>
    <sheet state="visible" name="MA-Comps" sheetId="4" r:id="rId7"/>
  </sheets>
  <definedNames>
    <definedName name="CIQWBGuid">"fedf60f8-2cd9-49ba-9fee-91fc372c3a0f"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"08/30/2015 13:55:30"</definedName>
    <definedName name="IQ_QTD">750000</definedName>
    <definedName name="IQ_TODAY">0</definedName>
    <definedName name="IQ_YTDMONTH">130000</definedName>
    <definedName name="Stock_Repurchases">'Simplified-DDM'!$F$15</definedName>
    <definedName name="Min_CET_1">'Operating-Model'!$G$11</definedName>
    <definedName name="ROA">'Simplified-DDM'!$F$11</definedName>
    <definedName name="RWA_Total_Assets">'Simplified-DDM'!$F$9</definedName>
    <definedName name="Stock_Issuances">'Simplified-DDM'!$F$14</definedName>
    <definedName name="Tax_Rate">'Operating-Model'!$G$8</definedName>
    <definedName name="Cost_of_Equity">'Simplified-DDM'!$F$12</definedName>
    <definedName name="Asset_Growth">'Simplified-DDM'!$F$8</definedName>
    <definedName name="Qualifying_ALL">'Operating-Model'!$G$9</definedName>
    <definedName name="CET1_Target">'Simplified-DDM'!$F$7</definedName>
    <definedName name="Company_Name">'Operating-Model'!$G$7</definedName>
  </definedNames>
  <calcPr/>
  <extLst>
    <ext uri="GoogleSheetsCustomDataVersion2">
      <go:sheetsCustomData xmlns:go="http://customooxmlschemas.google.com/" r:id="rId8" roundtripDataChecksum="RaGy0q9KucQNdy5tTnkZomX4SjGtcjISiq9raH+Zdu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6">
      <text>
        <t xml:space="preserve">======
ID#AAABoZRm2yw
BIWS    (2025-07-28 16:45:22)
This acts as the "plug" on the initial Balance Sheet in case you change the other items here.</t>
      </text>
    </comment>
  </commentList>
  <extLst>
    <ext uri="GoogleSheetsCustomDataVersion2">
      <go:sheetsCustomData xmlns:go="http://customooxmlschemas.google.com/" r:id="rId1" roundtripDataSignature="AMtx7mjx0BVI9UqHueVKPMIupuYv9nWV3w=="/>
    </ext>
  </extLst>
</comments>
</file>

<file path=xl/sharedStrings.xml><?xml version="1.0" encoding="utf-8"?>
<sst xmlns="http://schemas.openxmlformats.org/spreadsheetml/2006/main" count="371" uniqueCount="295">
  <si>
    <t>J&amp;T Bank</t>
  </si>
  <si>
    <t>($ in Millions)</t>
  </si>
  <si>
    <t>Assumptions &amp; Model Output:</t>
  </si>
  <si>
    <t>Bank Name:</t>
  </si>
  <si>
    <t>Tax Rate:</t>
  </si>
  <si>
    <t>% of Allowance for Loan Losses in Tier 2 Capital:</t>
  </si>
  <si>
    <t>Minimum Common Equity Tier 1 Ratio:</t>
  </si>
  <si>
    <t>Minimum Tier 1 Capital Ratio:</t>
  </si>
  <si>
    <t>Minimum Total Capital Ratio:</t>
  </si>
  <si>
    <t>Minimum Leverage Ratio:</t>
  </si>
  <si>
    <t>Balance Sheet:</t>
  </si>
  <si>
    <t>Historical</t>
  </si>
  <si>
    <t>Projected</t>
  </si>
  <si>
    <t>Year 1</t>
  </si>
  <si>
    <t>Year 2</t>
  </si>
  <si>
    <t>Year 3</t>
  </si>
  <si>
    <t>Year 4</t>
  </si>
  <si>
    <t>Year 5</t>
  </si>
  <si>
    <t>Year 6</t>
  </si>
  <si>
    <t>Assets:</t>
  </si>
  <si>
    <t>Cash and Due from Banks:</t>
  </si>
  <si>
    <t>Funds Sold to Central Bank:</t>
  </si>
  <si>
    <t>Trading Assets:</t>
  </si>
  <si>
    <t>Available for Sale (AFS) Securities:</t>
  </si>
  <si>
    <t>Gross Loans:</t>
  </si>
  <si>
    <t>(-) Allowance for Loan Losses:</t>
  </si>
  <si>
    <t>Net Loans:</t>
  </si>
  <si>
    <t>Goodwill:</t>
  </si>
  <si>
    <t>Other Intangible Assets:</t>
  </si>
  <si>
    <t>Premises &amp; Equipment:</t>
  </si>
  <si>
    <t>Other Assets:</t>
  </si>
  <si>
    <t>Total Assets:</t>
  </si>
  <si>
    <t>Liabilities:</t>
  </si>
  <si>
    <t>Deposits:</t>
  </si>
  <si>
    <t>Funds Purchased from Central Bank:</t>
  </si>
  <si>
    <t>Trading Liabilities:</t>
  </si>
  <si>
    <t>Senior Debt:</t>
  </si>
  <si>
    <t>Subordinated Notes:</t>
  </si>
  <si>
    <t>Convertible Bonds:</t>
  </si>
  <si>
    <t>Borrowings &amp; LT Debt:</t>
  </si>
  <si>
    <t>Total Liabilities:</t>
  </si>
  <si>
    <t>Equity:</t>
  </si>
  <si>
    <t>Common Shareholders' Equity:</t>
  </si>
  <si>
    <t>Preferred Stock:</t>
  </si>
  <si>
    <t>Total Equity:</t>
  </si>
  <si>
    <t>Total Liabilities &amp; Equity:</t>
  </si>
  <si>
    <t>Balance Check:</t>
  </si>
  <si>
    <t>Balance Sheet Drivers:</t>
  </si>
  <si>
    <t>Gross Loan Growth:</t>
  </si>
  <si>
    <t>Gross Loans Prior to Charge-Offs:</t>
  </si>
  <si>
    <t>Gross Loans Net of Charge-Offs:</t>
  </si>
  <si>
    <t>Beginning Allowance for Loan Losses:</t>
  </si>
  <si>
    <t>(+) Provision for Credit Losses:</t>
  </si>
  <si>
    <t>(-) Charge-Offs:</t>
  </si>
  <si>
    <t>(+) Recoveries:</t>
  </si>
  <si>
    <t>Ending Allowance for Loan Losses:</t>
  </si>
  <si>
    <t>Provision for CLs % Gross Loans:</t>
  </si>
  <si>
    <t>Charge-Offs % Gross Loans:</t>
  </si>
  <si>
    <t>Recoveries % Gross Loans:</t>
  </si>
  <si>
    <t>Cash % Deposits:</t>
  </si>
  <si>
    <t>Trading Assets % Growth:</t>
  </si>
  <si>
    <t>AFS Securities % Growth:</t>
  </si>
  <si>
    <t>Other Assets % Growth:</t>
  </si>
  <si>
    <t>Loans % Deposits:</t>
  </si>
  <si>
    <t>Trading Liabilities % Trading Assets:</t>
  </si>
  <si>
    <t>Senior Debt % Loans:</t>
  </si>
  <si>
    <t>Subordinated Notes % Loans:</t>
  </si>
  <si>
    <t>Convertible Bonds % Loans:</t>
  </si>
  <si>
    <t>Borrowings &amp; LT Debt % Loans:</t>
  </si>
  <si>
    <t>Central Bank Funds Calculation:</t>
  </si>
  <si>
    <t>Total Assets + Prior Year Central Bank Funds Sold:</t>
  </si>
  <si>
    <t>Total L&amp;E + Prior Year Central Bank Funds Purchased:</t>
  </si>
  <si>
    <t>Increase in Central Bank Funds Sold:</t>
  </si>
  <si>
    <t>Increase in Central Bank Funds Purchased:</t>
  </si>
  <si>
    <t>IEA and IBL:</t>
  </si>
  <si>
    <t>Interest-Earning Assets:</t>
  </si>
  <si>
    <t>Trading Assets - Fixed Income:</t>
  </si>
  <si>
    <t>AFS Securities:</t>
  </si>
  <si>
    <t>Total Interest-Earning Assets:</t>
  </si>
  <si>
    <t>Interest-Bearing Liabilities:</t>
  </si>
  <si>
    <t>Interest-Bearing Deposits:</t>
  </si>
  <si>
    <t>Total Interest-Bearing Liabilities:</t>
  </si>
  <si>
    <t>Fixed Income % Trading Assets:</t>
  </si>
  <si>
    <t>IB Deposits % Deposits:</t>
  </si>
  <si>
    <t>Average Interest on IEA:</t>
  </si>
  <si>
    <t>Average Interest on IBL:</t>
  </si>
  <si>
    <t>Interest Rate Spread:</t>
  </si>
  <si>
    <t>Net Interest Income Calculation:</t>
  </si>
  <si>
    <t>Interest Income:</t>
  </si>
  <si>
    <t>Interest Expense:</t>
  </si>
  <si>
    <t>Net Interest Income:</t>
  </si>
  <si>
    <t>Income Statement:</t>
  </si>
  <si>
    <t>(+) Interest Income:</t>
  </si>
  <si>
    <t>(-) Interest Expense:</t>
  </si>
  <si>
    <t>Total Net Interest Income:</t>
  </si>
  <si>
    <t>Non-Interest Revenue:</t>
  </si>
  <si>
    <t>(+) Investment Banking Fees:</t>
  </si>
  <si>
    <t>(+/-) Principal Transactions:</t>
  </si>
  <si>
    <t>(+) Lending and Deposit Fees:</t>
  </si>
  <si>
    <t>(+) Asset Management &amp; Other Fees:</t>
  </si>
  <si>
    <t>Total Non-Interest Revenue:</t>
  </si>
  <si>
    <t>Total Net Revenue:</t>
  </si>
  <si>
    <t>(-) Provision for Credit Losses:</t>
  </si>
  <si>
    <t>Non-Interest Expenses:</t>
  </si>
  <si>
    <t>(-) Compensation Expense:</t>
  </si>
  <si>
    <t>(-) Depreciation:</t>
  </si>
  <si>
    <t>(-) Occupancy Expense:</t>
  </si>
  <si>
    <t>(-) Technology &amp; Equipment:</t>
  </si>
  <si>
    <t>(-) Professional Services &amp; Other:</t>
  </si>
  <si>
    <t>(-) Amortization of Intangibles:</t>
  </si>
  <si>
    <t>(-) Goodwill Impairment:</t>
  </si>
  <si>
    <t>Total Non-Interest Expenses:</t>
  </si>
  <si>
    <t>Pre-Tax Income:</t>
  </si>
  <si>
    <t>(-) Income Tax Provision:</t>
  </si>
  <si>
    <t>Net Income:</t>
  </si>
  <si>
    <t>(-) Preferred Stock Dividend:</t>
  </si>
  <si>
    <t>Net Income to Common:</t>
  </si>
  <si>
    <t>IS and CFS Drivers:</t>
  </si>
  <si>
    <t>Investment Banking % Growth:</t>
  </si>
  <si>
    <t>Principal Trans. % Trading Assets:</t>
  </si>
  <si>
    <t>Fees % of Loans &amp; Deposits:</t>
  </si>
  <si>
    <t>Asset Management Fee % Growth:</t>
  </si>
  <si>
    <t>Non-Interest Expenses % of Net Revenue:</t>
  </si>
  <si>
    <t>Compensation Expense:</t>
  </si>
  <si>
    <t>Depreciation:</t>
  </si>
  <si>
    <t>Occupancy Expense:</t>
  </si>
  <si>
    <t>Technology &amp; Equipment:</t>
  </si>
  <si>
    <t>Professional Services &amp; Other:</t>
  </si>
  <si>
    <t>Other Expenses and Cash Flow Statement Line Items:</t>
  </si>
  <si>
    <t>Amortization of Intangibles:</t>
  </si>
  <si>
    <t>Goodwill Impairment:</t>
  </si>
  <si>
    <t>CapEx % Revenue:</t>
  </si>
  <si>
    <t>Preferred Stock Issuances:</t>
  </si>
  <si>
    <t>Preferred Stock Coupon:</t>
  </si>
  <si>
    <t>Stock Issuances:</t>
  </si>
  <si>
    <t>Stock Repurchases:</t>
  </si>
  <si>
    <t>Cash Flow Statement:</t>
  </si>
  <si>
    <t>Operating Activities:</t>
  </si>
  <si>
    <t>Adjustments for Non-Cash Charges:</t>
  </si>
  <si>
    <t>(+) Depreciation:</t>
  </si>
  <si>
    <t>(+) Amortization of Intangibles:</t>
  </si>
  <si>
    <t>(+) Goodwill Impairment:</t>
  </si>
  <si>
    <t>Changes in Operating Assets &amp; Liabilities:</t>
  </si>
  <si>
    <t>Net Cash Flow from Operations:</t>
  </si>
  <si>
    <t>Investing Activities:</t>
  </si>
  <si>
    <t>(-) Capital Expenditures (CapEx):</t>
  </si>
  <si>
    <t>Changes in AFS Securities:</t>
  </si>
  <si>
    <t>Net Cash Flow from Investing:</t>
  </si>
  <si>
    <t>Financing Activities:</t>
  </si>
  <si>
    <t>(-) Common Stock Dividends:</t>
  </si>
  <si>
    <t>(+) Stock Issuances:</t>
  </si>
  <si>
    <t>(-) Stock Repurchases:</t>
  </si>
  <si>
    <t>Net Cash Flow from Financing:</t>
  </si>
  <si>
    <t>Net Increase / (Decrease) in Cash:</t>
  </si>
  <si>
    <t>Ending Cash on Balance Sheet:</t>
  </si>
  <si>
    <t>Beginning Cash Balance:</t>
  </si>
  <si>
    <t>Ending Cash Balance:</t>
  </si>
  <si>
    <t>CASH CHECK:</t>
  </si>
  <si>
    <t>Regulatory Capital:</t>
  </si>
  <si>
    <t>Tangible Common Equity:</t>
  </si>
  <si>
    <t>Common Equity Tier 1 (CET 1):</t>
  </si>
  <si>
    <t>(+) Preferred Stock:</t>
  </si>
  <si>
    <t>Tier 1 Capital:</t>
  </si>
  <si>
    <t>Tier 2 Capital:</t>
  </si>
  <si>
    <t>(+) Convertible Bonds:</t>
  </si>
  <si>
    <t>(+) Subordinated Notes:</t>
  </si>
  <si>
    <t>(+) Qualifying Allowance for LLs:</t>
  </si>
  <si>
    <t>Total Tier 2 Capital:</t>
  </si>
  <si>
    <t>Total Capital:</t>
  </si>
  <si>
    <t>Risk-Weighted Assets:</t>
  </si>
  <si>
    <t>RWA % Interest-Earning Assets:</t>
  </si>
  <si>
    <t>Tangible Assets:</t>
  </si>
  <si>
    <t>Tangible Common Equity Ratio:</t>
  </si>
  <si>
    <t>Common Equity Tier 1 Ratio:</t>
  </si>
  <si>
    <t>Tier 1 Capital Ratio:</t>
  </si>
  <si>
    <t>Total Capital Ratio:</t>
  </si>
  <si>
    <t>Leverage Ratio:</t>
  </si>
  <si>
    <t>Minimum CET 1 Required:</t>
  </si>
  <si>
    <t>Targeted Dividend Payout Ratio:</t>
  </si>
  <si>
    <t>Targeted Dividends:</t>
  </si>
  <si>
    <t>Allowed Dividends:</t>
  </si>
  <si>
    <t>Issued Dividends:</t>
  </si>
  <si>
    <t>Operating Metrics and Ratios:</t>
  </si>
  <si>
    <t>Net Loans / Total Assets:</t>
  </si>
  <si>
    <t>Deposits / Total Liabilities &amp; Equity:</t>
  </si>
  <si>
    <t>Net Loans / Deposits:</t>
  </si>
  <si>
    <t>Net Charge-Off Ratio:</t>
  </si>
  <si>
    <t>Net Charge-Offs / Reserves:</t>
  </si>
  <si>
    <t>Reserve Ratio:</t>
  </si>
  <si>
    <t>Return on Common Equity:</t>
  </si>
  <si>
    <t>Return on Tangible Common Equity:</t>
  </si>
  <si>
    <t>Return on Equity:</t>
  </si>
  <si>
    <t>Return on Assets:</t>
  </si>
  <si>
    <t>Return on Tangible Assets:</t>
  </si>
  <si>
    <t>Net Interest Margin:</t>
  </si>
  <si>
    <t>Average Interest Rate on IEA:</t>
  </si>
  <si>
    <t>Spread:</t>
  </si>
  <si>
    <t>Net Interest Income / Revenue:</t>
  </si>
  <si>
    <t>Overhead Ratio:</t>
  </si>
  <si>
    <t>Dividend Payout Ratio:</t>
  </si>
  <si>
    <t>(USD $ in Millions Except Per Share and Per Unit Data)</t>
  </si>
  <si>
    <t>DDM Assumptions:</t>
  </si>
  <si>
    <t>Targeted CET 1 Ratio:</t>
  </si>
  <si>
    <t>Terminal Value Calculation:</t>
  </si>
  <si>
    <t>Values</t>
  </si>
  <si>
    <t>Total Asset Growth:</t>
  </si>
  <si>
    <t>Baseline Terminal P / TBV Multiple:</t>
  </si>
  <si>
    <t>RWA % Total Assets:</t>
  </si>
  <si>
    <t>Baseline Terminal Value:</t>
  </si>
  <si>
    <t>Return on Assets (NI to Common):</t>
  </si>
  <si>
    <t>(+) PV of Terminal Value:</t>
  </si>
  <si>
    <t>Cost of Equity:</t>
  </si>
  <si>
    <t>(+) PV of Dividends:</t>
  </si>
  <si>
    <t>Implied Equity Value:</t>
  </si>
  <si>
    <t>Bank's Current Equity Value:</t>
  </si>
  <si>
    <t>Answer</t>
  </si>
  <si>
    <t>Premium / (Discount) to Implied Value:</t>
  </si>
  <si>
    <t>Dividend Projections:</t>
  </si>
  <si>
    <t>Year 7</t>
  </si>
  <si>
    <t>Year 8</t>
  </si>
  <si>
    <t>Year 9</t>
  </si>
  <si>
    <t>Year 10</t>
  </si>
  <si>
    <t>% Growth:</t>
  </si>
  <si>
    <t>Dividends:</t>
  </si>
  <si>
    <t>Payout Ratio:</t>
  </si>
  <si>
    <t>Beginning Common Shareholders' Equity:</t>
  </si>
  <si>
    <t>N/A</t>
  </si>
  <si>
    <t>(+) Net Income to Common:</t>
  </si>
  <si>
    <t>Ending Common Shareholders' Equity:</t>
  </si>
  <si>
    <t>(-) Goodwill:</t>
  </si>
  <si>
    <t>(-) Other Intangible Assets:</t>
  </si>
  <si>
    <t>Growth Rate:</t>
  </si>
  <si>
    <t>CET 1 Ratio:</t>
  </si>
  <si>
    <t>Discount Period:</t>
  </si>
  <si>
    <t>PV of Dividends:</t>
  </si>
  <si>
    <t>Sensitivity Analyses:</t>
  </si>
  <si>
    <t>Discount Rate (Cost of Equity):</t>
  </si>
  <si>
    <t>Terminal       P / TBV Multiple:</t>
  </si>
  <si>
    <t>Based on all information available, if you had to make a decision, do you think the company is overvalued or undervalued?</t>
  </si>
  <si>
    <t>Comparable Companies - U.S.-Based Regional Banks with Between $1 Billion and $10 Billion in Total Assets</t>
  </si>
  <si>
    <t>Operating Statistics:</t>
  </si>
  <si>
    <t>Capitalization &amp; Assets</t>
  </si>
  <si>
    <t>Equity</t>
  </si>
  <si>
    <t>Tangible</t>
  </si>
  <si>
    <t>Total</t>
  </si>
  <si>
    <t>Net Income to Common</t>
  </si>
  <si>
    <t>Return on Tangible Common Equity</t>
  </si>
  <si>
    <t>Net Income</t>
  </si>
  <si>
    <t>Company Name</t>
  </si>
  <si>
    <t>Value</t>
  </si>
  <si>
    <t>Book Value</t>
  </si>
  <si>
    <t>Assets</t>
  </si>
  <si>
    <t>LTM</t>
  </si>
  <si>
    <t>Growth:</t>
  </si>
  <si>
    <t>North Star Bank</t>
  </si>
  <si>
    <t>TFQ Bank</t>
  </si>
  <si>
    <t>Webster National Bank</t>
  </si>
  <si>
    <t>Peak Capital Partners</t>
  </si>
  <si>
    <t>Silver Sterling Capital</t>
  </si>
  <si>
    <t>Maximum:</t>
  </si>
  <si>
    <t>75th Percentile:</t>
  </si>
  <si>
    <t>Median:</t>
  </si>
  <si>
    <t>25th Percentile:</t>
  </si>
  <si>
    <t>Minimum:</t>
  </si>
  <si>
    <t>Valuation Statistics:</t>
  </si>
  <si>
    <t>P / E Multiple</t>
  </si>
  <si>
    <t>P / TBV Multiple</t>
  </si>
  <si>
    <t>Maximum</t>
  </si>
  <si>
    <t>75th Percentile</t>
  </si>
  <si>
    <t>Median</t>
  </si>
  <si>
    <t>25th Percentile</t>
  </si>
  <si>
    <t>Minimum</t>
  </si>
  <si>
    <t>Acquisitions of U.S.-Based Regional Banks with Between $1 and $10 Billion in Total Assets Since January 1, 20XX</t>
  </si>
  <si>
    <t>Purchase</t>
  </si>
  <si>
    <t>Operating Metrics</t>
  </si>
  <si>
    <t>Valuation Multiples</t>
  </si>
  <si>
    <t>Announcement</t>
  </si>
  <si>
    <t>Trailing Net</t>
  </si>
  <si>
    <t>Trailing</t>
  </si>
  <si>
    <t>Acquirer Name</t>
  </si>
  <si>
    <t>Target Name</t>
  </si>
  <si>
    <t>Date</t>
  </si>
  <si>
    <t>Income</t>
  </si>
  <si>
    <t>P / TBV</t>
  </si>
  <si>
    <t>P / E</t>
  </si>
  <si>
    <t>Sasfin Limited</t>
  </si>
  <si>
    <t>20XX-06-14</t>
  </si>
  <si>
    <t>Hudson Valley Partners</t>
  </si>
  <si>
    <t>20XX-01-15</t>
  </si>
  <si>
    <t>Imperial Bank</t>
  </si>
  <si>
    <t>20XX-12-02</t>
  </si>
  <si>
    <t>A&amp;D Family Bank</t>
  </si>
  <si>
    <t>20XX-09-28</t>
  </si>
  <si>
    <t>TVX Bank</t>
  </si>
  <si>
    <t>20XX-07-11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</si>
</sst>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%"/>
    <numFmt numFmtId="165" formatCode="_(&quot;$&quot;* #,##0_);_(&quot;$&quot;* \(#,##0\);_(&quot;$&quot;* &quot;-&quot;_);_(@_)"/>
    <numFmt numFmtId="166" formatCode="_(* #,##0.00_);_(* \(#,##0.00\);_(* &quot;-&quot;??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&quot;$&quot;#,##0_);\(&quot;$&quot;#,##0\);&quot;OK!&quot;;&quot;ERROR&quot;"/>
    <numFmt numFmtId="170" formatCode="0.0%;\(0.0%\)"/>
    <numFmt numFmtId="171" formatCode="0.00%;\(0.00%\)"/>
    <numFmt numFmtId="172" formatCode="0.00\ \x;\(0.00\ \x\)"/>
    <numFmt numFmtId="173" formatCode="_(* #,##0.0_);_(* \(#,##0.0\);_(* &quot;-&quot;?_);_(@_)"/>
    <numFmt numFmtId="174" formatCode="_(&quot;$&quot;* #,##0.00_);_(&quot;$&quot;* \(#,##0.00\);_(&quot;$&quot;* &quot;-&quot;_);_(@_)"/>
    <numFmt numFmtId="175" formatCode="0.0"/>
    <numFmt numFmtId="176" formatCode="#,##0.0%_);\(#,##0.0%\);\-_);@_)"/>
    <numFmt numFmtId="177" formatCode="0.0\ \x_);\(0.0\ \x\);\-_);@_)"/>
    <numFmt numFmtId="178" formatCode="#,##0_);\(#,##0\);\-_);@_)"/>
  </numFmts>
  <fonts count="2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sz val="11.0"/>
      <color rgb="FFFFFFFF"/>
      <name val="Calibri"/>
    </font>
    <font>
      <b/>
      <u/>
      <sz val="10.0"/>
      <color rgb="FFFFFFFF"/>
      <name val="Arial"/>
    </font>
    <font>
      <u/>
      <sz val="10.0"/>
      <color rgb="FFFFFFFF"/>
      <name val="Arial"/>
    </font>
    <font>
      <sz val="11.0"/>
      <color rgb="FF0000FF"/>
      <name val="Calibri"/>
    </font>
    <font>
      <sz val="11.0"/>
      <color theme="1"/>
      <name val="Calibri"/>
    </font>
    <font>
      <sz val="11.0"/>
      <color rgb="FF00B050"/>
      <name val="Calibri"/>
    </font>
    <font/>
    <font>
      <sz val="11.0"/>
      <color theme="4"/>
      <name val="Calibri"/>
    </font>
    <font>
      <b/>
      <sz val="11.0"/>
      <color theme="4"/>
      <name val="Calibri"/>
    </font>
    <font>
      <b/>
      <color theme="1"/>
      <name val="Calibri"/>
    </font>
    <font>
      <b/>
      <sz val="11.0"/>
      <color theme="0"/>
      <name val="Calibri"/>
    </font>
    <font>
      <b/>
      <sz val="11.0"/>
      <color rgb="FF00B050"/>
      <name val="Calibri"/>
    </font>
    <font>
      <i/>
      <sz val="11.0"/>
      <color theme="1"/>
      <name val="Calibri"/>
    </font>
    <font>
      <sz val="11.0"/>
      <color theme="0"/>
      <name val="Calibri"/>
    </font>
    <font>
      <b/>
      <sz val="11.0"/>
      <color rgb="FF0000FF"/>
      <name val="Calibri"/>
    </font>
    <font>
      <sz val="11.0"/>
      <color rgb="FFD8D8D8"/>
      <name val="Calibri"/>
    </font>
    <font>
      <b/>
      <u/>
      <sz val="11.0"/>
      <color theme="0"/>
      <name val="Calibri"/>
    </font>
    <font>
      <b/>
      <u/>
      <sz val="11.0"/>
      <color theme="0"/>
      <name val="Calibri"/>
    </font>
    <font>
      <b/>
      <u/>
      <sz val="11.0"/>
      <color theme="0"/>
      <name val="Calibri"/>
    </font>
    <font>
      <b/>
      <u/>
      <sz val="11.0"/>
      <color theme="0"/>
      <name val="Calibri"/>
    </font>
    <font>
      <b/>
      <u/>
      <sz val="11.0"/>
      <color theme="0"/>
      <name val="Calibri"/>
    </font>
    <font>
      <sz val="11.0"/>
      <color rgb="FF000000"/>
      <name val="Calibri"/>
    </font>
    <font>
      <b/>
      <u/>
      <sz val="11.0"/>
      <color theme="0"/>
      <name val="Calibri"/>
    </font>
    <font>
      <b/>
      <u/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</fills>
  <borders count="40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rgb="FF000000"/>
      </bottom>
    </border>
    <border>
      <left/>
      <right/>
      <top style="thin">
        <color theme="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/>
    </xf>
    <xf borderId="1" fillId="2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2" fillId="3" fontId="6" numFmtId="0" xfId="0" applyAlignment="1" applyBorder="1" applyFill="1" applyFont="1">
      <alignment horizontal="center"/>
    </xf>
    <xf borderId="0" fillId="0" fontId="7" numFmtId="0" xfId="0" applyAlignment="1" applyFont="1">
      <alignment horizontal="left"/>
    </xf>
    <xf borderId="0" fillId="0" fontId="8" numFmtId="9" xfId="0" applyFont="1" applyNumberFormat="1"/>
    <xf borderId="2" fillId="3" fontId="6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left"/>
    </xf>
    <xf borderId="4" fillId="2" fontId="3" numFmtId="0" xfId="0" applyAlignment="1" applyBorder="1" applyFont="1">
      <alignment horizontal="center"/>
    </xf>
    <xf borderId="5" fillId="0" fontId="9" numFmtId="0" xfId="0" applyBorder="1" applyFont="1"/>
    <xf borderId="6" fillId="0" fontId="9" numFmtId="0" xfId="0" applyBorder="1" applyFont="1"/>
    <xf borderId="1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0" fillId="0" fontId="6" numFmtId="165" xfId="0" applyFont="1" applyNumberFormat="1"/>
    <xf borderId="0" fillId="0" fontId="7" numFmtId="165" xfId="0" applyFont="1" applyNumberFormat="1"/>
    <xf borderId="0" fillId="0" fontId="7" numFmtId="166" xfId="0" applyFont="1" applyNumberFormat="1"/>
    <xf borderId="0" fillId="0" fontId="6" numFmtId="167" xfId="0" applyFont="1" applyNumberFormat="1"/>
    <xf borderId="0" fillId="0" fontId="7" numFmtId="167" xfId="0" applyFont="1" applyNumberFormat="1"/>
    <xf borderId="0" fillId="0" fontId="1" numFmtId="0" xfId="0" applyAlignment="1" applyFont="1">
      <alignment horizontal="left"/>
    </xf>
    <xf borderId="0" fillId="0" fontId="1" numFmtId="167" xfId="0" applyFont="1" applyNumberFormat="1"/>
    <xf borderId="9" fillId="0" fontId="1" numFmtId="0" xfId="0" applyBorder="1" applyFont="1"/>
    <xf borderId="9" fillId="0" fontId="7" numFmtId="0" xfId="0" applyBorder="1" applyFont="1"/>
    <xf borderId="9" fillId="0" fontId="1" numFmtId="167" xfId="0" applyBorder="1" applyFont="1" applyNumberFormat="1"/>
    <xf borderId="0" fillId="0" fontId="10" numFmtId="167" xfId="0" applyFont="1" applyNumberFormat="1"/>
    <xf borderId="0" fillId="0" fontId="1" numFmtId="165" xfId="0" applyFont="1" applyNumberFormat="1"/>
    <xf borderId="0" fillId="0" fontId="7" numFmtId="168" xfId="0" applyFont="1" applyNumberFormat="1"/>
    <xf borderId="9" fillId="0" fontId="7" numFmtId="0" xfId="0" applyAlignment="1" applyBorder="1" applyFont="1">
      <alignment horizontal="left"/>
    </xf>
    <xf borderId="0" fillId="0" fontId="7" numFmtId="169" xfId="0" applyFont="1" applyNumberFormat="1"/>
    <xf borderId="0" fillId="0" fontId="7" numFmtId="1" xfId="0" applyAlignment="1" applyFont="1" applyNumberFormat="1">
      <alignment horizontal="center"/>
    </xf>
    <xf borderId="0" fillId="0" fontId="6" numFmtId="170" xfId="0" applyFont="1" applyNumberFormat="1"/>
    <xf borderId="0" fillId="0" fontId="7" numFmtId="170" xfId="0" applyFont="1" applyNumberFormat="1"/>
    <xf borderId="2" fillId="3" fontId="6" numFmtId="170" xfId="0" applyAlignment="1" applyBorder="1" applyFont="1" applyNumberFormat="1">
      <alignment horizontal="center"/>
    </xf>
    <xf borderId="0" fillId="0" fontId="10" numFmtId="171" xfId="0" applyFont="1" applyNumberFormat="1"/>
    <xf borderId="0" fillId="0" fontId="7" numFmtId="171" xfId="0" applyFont="1" applyNumberFormat="1"/>
    <xf borderId="9" fillId="0" fontId="1" numFmtId="0" xfId="0" applyAlignment="1" applyBorder="1" applyFont="1">
      <alignment horizontal="left"/>
    </xf>
    <xf borderId="0" fillId="0" fontId="1" numFmtId="165" xfId="0" applyAlignment="1" applyFont="1" applyNumberFormat="1">
      <alignment horizontal="center"/>
    </xf>
    <xf borderId="0" fillId="0" fontId="6" numFmtId="171" xfId="0" applyFont="1" applyNumberFormat="1"/>
    <xf borderId="2" fillId="3" fontId="6" numFmtId="10" xfId="0" applyAlignment="1" applyBorder="1" applyFont="1" applyNumberFormat="1">
      <alignment horizontal="center"/>
    </xf>
    <xf borderId="2" fillId="3" fontId="7" numFmtId="170" xfId="0" applyAlignment="1" applyBorder="1" applyFont="1" applyNumberFormat="1">
      <alignment horizontal="center"/>
    </xf>
    <xf borderId="0" fillId="0" fontId="7" numFmtId="10" xfId="0" applyFont="1" applyNumberFormat="1"/>
    <xf borderId="9" fillId="0" fontId="1" numFmtId="165" xfId="0" applyBorder="1" applyFont="1" applyNumberFormat="1"/>
    <xf borderId="0" fillId="0" fontId="1" numFmtId="1" xfId="0" applyAlignment="1" applyFont="1" applyNumberFormat="1">
      <alignment horizontal="center"/>
    </xf>
    <xf borderId="10" fillId="0" fontId="7" numFmtId="0" xfId="0" applyAlignment="1" applyBorder="1" applyFont="1">
      <alignment horizontal="left"/>
    </xf>
    <xf borderId="10" fillId="0" fontId="7" numFmtId="0" xfId="0" applyBorder="1" applyFont="1"/>
    <xf borderId="10" fillId="0" fontId="7" numFmtId="167" xfId="0" applyBorder="1" applyFont="1" applyNumberFormat="1"/>
    <xf borderId="0" fillId="0" fontId="7" numFmtId="9" xfId="0" applyFont="1" applyNumberFormat="1"/>
    <xf borderId="10" fillId="0" fontId="6" numFmtId="167" xfId="0" applyBorder="1" applyFont="1" applyNumberFormat="1"/>
    <xf borderId="2" fillId="3" fontId="7" numFmtId="171" xfId="0" applyAlignment="1" applyBorder="1" applyFont="1" applyNumberFormat="1">
      <alignment horizontal="center"/>
    </xf>
    <xf borderId="0" fillId="0" fontId="1" numFmtId="171" xfId="0" applyFont="1" applyNumberFormat="1"/>
    <xf borderId="0" fillId="0" fontId="2" numFmtId="167" xfId="0" applyFont="1" applyNumberFormat="1"/>
    <xf borderId="2" fillId="3" fontId="6" numFmtId="167" xfId="0" applyAlignment="1" applyBorder="1" applyFont="1" applyNumberFormat="1">
      <alignment horizontal="center"/>
    </xf>
    <xf borderId="0" fillId="0" fontId="11" numFmtId="167" xfId="0" applyFont="1" applyNumberFormat="1"/>
    <xf borderId="0" fillId="0" fontId="1" numFmtId="170" xfId="0" applyFont="1" applyNumberFormat="1"/>
    <xf borderId="1" fillId="2" fontId="3" numFmtId="0" xfId="0" applyAlignment="1" applyBorder="1" applyFont="1">
      <alignment horizontal="left" readingOrder="0"/>
    </xf>
    <xf borderId="1" fillId="2" fontId="3" numFmtId="0" xfId="0" applyBorder="1" applyFont="1"/>
    <xf borderId="1" fillId="4" fontId="1" numFmtId="0" xfId="0" applyBorder="1" applyFill="1" applyFont="1"/>
    <xf borderId="1" fillId="4" fontId="7" numFmtId="0" xfId="0" applyBorder="1" applyFont="1"/>
    <xf borderId="0" fillId="0" fontId="7" numFmtId="172" xfId="0" applyFont="1" applyNumberFormat="1"/>
    <xf borderId="0" fillId="0" fontId="7" numFmtId="173" xfId="0" applyFont="1" applyNumberFormat="1"/>
    <xf borderId="2" fillId="3" fontId="6" numFmtId="167" xfId="0" applyBorder="1" applyFont="1" applyNumberFormat="1"/>
    <xf borderId="0" fillId="0" fontId="8" numFmtId="165" xfId="0" applyFont="1" applyNumberFormat="1"/>
    <xf borderId="0" fillId="0" fontId="12" numFmtId="0" xfId="0" applyFont="1"/>
    <xf borderId="11" fillId="5" fontId="1" numFmtId="0" xfId="0" applyBorder="1" applyFill="1" applyFont="1"/>
    <xf borderId="12" fillId="5" fontId="7" numFmtId="0" xfId="0" applyBorder="1" applyFont="1"/>
    <xf borderId="13" fillId="5" fontId="1" numFmtId="10" xfId="0" applyAlignment="1" applyBorder="1" applyFont="1" applyNumberFormat="1">
      <alignment horizontal="right"/>
    </xf>
    <xf borderId="0" fillId="0" fontId="13" numFmtId="165" xfId="0" applyFont="1" applyNumberFormat="1"/>
    <xf borderId="0" fillId="0" fontId="14" numFmtId="174" xfId="0" applyFont="1" applyNumberFormat="1"/>
    <xf borderId="0" fillId="0" fontId="1" numFmtId="174" xfId="0" applyFont="1" applyNumberFormat="1"/>
    <xf borderId="0" fillId="0" fontId="15" numFmtId="0" xfId="0" applyAlignment="1" applyFont="1">
      <alignment horizontal="left"/>
    </xf>
    <xf borderId="0" fillId="0" fontId="1" numFmtId="10" xfId="0" applyFont="1" applyNumberFormat="1"/>
    <xf borderId="0" fillId="0" fontId="15" numFmtId="10" xfId="0" applyFont="1" applyNumberFormat="1"/>
    <xf borderId="0" fillId="0" fontId="16" numFmtId="166" xfId="0" applyFont="1" applyNumberFormat="1"/>
    <xf borderId="0" fillId="0" fontId="7" numFmtId="174" xfId="0" applyFont="1" applyNumberFormat="1"/>
    <xf borderId="0" fillId="0" fontId="1" numFmtId="10" xfId="0" applyAlignment="1" applyFont="1" applyNumberFormat="1">
      <alignment horizontal="right"/>
    </xf>
    <xf borderId="0" fillId="0" fontId="6" numFmtId="174" xfId="0" applyAlignment="1" applyFont="1" applyNumberFormat="1">
      <alignment horizontal="right"/>
    </xf>
    <xf borderId="0" fillId="0" fontId="8" numFmtId="174" xfId="0" applyFont="1" applyNumberFormat="1"/>
    <xf borderId="10" fillId="0" fontId="8" numFmtId="174" xfId="0" applyBorder="1" applyFont="1" applyNumberFormat="1"/>
    <xf borderId="10" fillId="0" fontId="7" numFmtId="166" xfId="0" applyBorder="1" applyFont="1" applyNumberFormat="1"/>
    <xf borderId="0" fillId="0" fontId="17" numFmtId="174" xfId="0" applyFont="1" applyNumberFormat="1"/>
    <xf borderId="10" fillId="0" fontId="7" numFmtId="174" xfId="0" applyBorder="1" applyFont="1" applyNumberFormat="1"/>
    <xf borderId="0" fillId="0" fontId="6" numFmtId="10" xfId="0" applyFont="1" applyNumberFormat="1"/>
    <xf borderId="0" fillId="0" fontId="6" numFmtId="175" xfId="0" applyFont="1" applyNumberFormat="1"/>
    <xf borderId="0" fillId="0" fontId="7" numFmtId="175" xfId="0" applyFont="1" applyNumberFormat="1"/>
    <xf borderId="14" fillId="2" fontId="7" numFmtId="0" xfId="0" applyBorder="1" applyFont="1"/>
    <xf borderId="12" fillId="2" fontId="7" numFmtId="0" xfId="0" applyBorder="1" applyFont="1"/>
    <xf borderId="15" fillId="2" fontId="13" numFmtId="0" xfId="0" applyAlignment="1" applyBorder="1" applyFont="1">
      <alignment horizontal="center"/>
    </xf>
    <xf borderId="16" fillId="0" fontId="9" numFmtId="0" xfId="0" applyBorder="1" applyFont="1"/>
    <xf borderId="17" fillId="0" fontId="9" numFmtId="0" xfId="0" applyBorder="1" applyFont="1"/>
    <xf borderId="18" fillId="2" fontId="7" numFmtId="0" xfId="0" applyBorder="1" applyFont="1"/>
    <xf borderId="3" fillId="4" fontId="18" numFmtId="168" xfId="0" applyBorder="1" applyFont="1" applyNumberFormat="1"/>
    <xf borderId="1" fillId="4" fontId="7" numFmtId="164" xfId="0" applyAlignment="1" applyBorder="1" applyFont="1" applyNumberFormat="1">
      <alignment horizontal="center"/>
    </xf>
    <xf borderId="1" fillId="4" fontId="1" numFmtId="164" xfId="0" applyAlignment="1" applyBorder="1" applyFont="1" applyNumberFormat="1">
      <alignment horizontal="center"/>
    </xf>
    <xf borderId="13" fillId="4" fontId="7" numFmtId="164" xfId="0" applyAlignment="1" applyBorder="1" applyFont="1" applyNumberFormat="1">
      <alignment horizontal="center"/>
    </xf>
    <xf borderId="19" fillId="2" fontId="13" numFmtId="0" xfId="0" applyAlignment="1" applyBorder="1" applyFont="1">
      <alignment horizontal="center" shrinkToFit="0" vertical="center" wrapText="1"/>
    </xf>
    <xf borderId="20" fillId="4" fontId="6" numFmtId="172" xfId="0" applyAlignment="1" applyBorder="1" applyFont="1" applyNumberFormat="1">
      <alignment horizontal="center"/>
    </xf>
    <xf borderId="21" fillId="0" fontId="7" numFmtId="168" xfId="0" applyBorder="1" applyFont="1" applyNumberFormat="1"/>
    <xf borderId="9" fillId="0" fontId="7" numFmtId="168" xfId="0" applyBorder="1" applyFont="1" applyNumberFormat="1"/>
    <xf borderId="9" fillId="0" fontId="1" numFmtId="168" xfId="0" applyBorder="1" applyFont="1" applyNumberFormat="1"/>
    <xf borderId="22" fillId="0" fontId="9" numFmtId="0" xfId="0" applyBorder="1" applyFont="1"/>
    <xf borderId="20" fillId="4" fontId="7" numFmtId="172" xfId="0" applyAlignment="1" applyBorder="1" applyFont="1" applyNumberFormat="1">
      <alignment horizontal="center"/>
    </xf>
    <xf borderId="23" fillId="0" fontId="7" numFmtId="166" xfId="0" applyBorder="1" applyFont="1" applyNumberFormat="1"/>
    <xf borderId="0" fillId="0" fontId="1" numFmtId="166" xfId="0" applyFont="1" applyNumberFormat="1"/>
    <xf borderId="20" fillId="4" fontId="1" numFmtId="172" xfId="0" applyAlignment="1" applyBorder="1" applyFont="1" applyNumberFormat="1">
      <alignment horizontal="center"/>
    </xf>
    <xf borderId="23" fillId="0" fontId="1" numFmtId="166" xfId="0" applyBorder="1" applyFont="1" applyNumberFormat="1"/>
    <xf borderId="24" fillId="0" fontId="9" numFmtId="0" xfId="0" applyBorder="1" applyFont="1"/>
    <xf borderId="25" fillId="4" fontId="7" numFmtId="172" xfId="0" applyAlignment="1" applyBorder="1" applyFont="1" applyNumberFormat="1">
      <alignment horizontal="center"/>
    </xf>
    <xf borderId="1" fillId="4" fontId="7" numFmtId="10" xfId="0" applyAlignment="1" applyBorder="1" applyFont="1" applyNumberFormat="1">
      <alignment horizontal="center"/>
    </xf>
    <xf borderId="1" fillId="4" fontId="1" numFmtId="10" xfId="0" applyAlignment="1" applyBorder="1" applyFont="1" applyNumberFormat="1">
      <alignment horizontal="center"/>
    </xf>
    <xf borderId="25" fillId="4" fontId="7" numFmtId="10" xfId="0" applyAlignment="1" applyBorder="1" applyFont="1" applyNumberFormat="1">
      <alignment horizontal="center"/>
    </xf>
    <xf borderId="26" fillId="0" fontId="7" numFmtId="0" xfId="0" applyBorder="1" applyFont="1"/>
    <xf borderId="14" fillId="2" fontId="13" numFmtId="0" xfId="0" applyBorder="1" applyFont="1"/>
    <xf borderId="27" fillId="2" fontId="19" numFmtId="0" xfId="0" applyAlignment="1" applyBorder="1" applyFont="1">
      <alignment horizontal="center"/>
    </xf>
    <xf borderId="28" fillId="0" fontId="9" numFmtId="0" xfId="0" applyBorder="1" applyFont="1"/>
    <xf borderId="29" fillId="2" fontId="20" numFmtId="0" xfId="0" applyBorder="1" applyFont="1"/>
    <xf borderId="29" fillId="2" fontId="13" numFmtId="0" xfId="0" applyBorder="1" applyFont="1"/>
    <xf borderId="29" fillId="2" fontId="21" numFmtId="0" xfId="0" applyAlignment="1" applyBorder="1" applyFont="1">
      <alignment horizontal="center" shrinkToFit="0" wrapText="1"/>
    </xf>
    <xf borderId="29" fillId="2" fontId="13" numFmtId="0" xfId="0" applyAlignment="1" applyBorder="1" applyFont="1">
      <alignment horizontal="center"/>
    </xf>
    <xf borderId="30" fillId="2" fontId="13" numFmtId="0" xfId="0" applyBorder="1" applyFont="1"/>
    <xf borderId="31" fillId="2" fontId="13" numFmtId="0" xfId="0" applyBorder="1" applyFont="1"/>
    <xf borderId="3" fillId="2" fontId="13" numFmtId="0" xfId="0" applyAlignment="1" applyBorder="1" applyFont="1">
      <alignment horizontal="center"/>
    </xf>
    <xf borderId="32" fillId="2" fontId="22" numFmtId="0" xfId="0" applyAlignment="1" applyBorder="1" applyFont="1">
      <alignment horizontal="center"/>
    </xf>
    <xf borderId="33" fillId="0" fontId="9" numFmtId="0" xfId="0" applyBorder="1" applyFont="1"/>
    <xf borderId="32" fillId="2" fontId="23" numFmtId="0" xfId="0" applyAlignment="1" applyBorder="1" applyFont="1">
      <alignment horizontal="center" shrinkToFit="0" wrapText="1"/>
    </xf>
    <xf borderId="20" fillId="2" fontId="13" numFmtId="0" xfId="0" applyAlignment="1" applyBorder="1" applyFont="1">
      <alignment horizontal="center"/>
    </xf>
    <xf borderId="34" fillId="2" fontId="13" numFmtId="0" xfId="0" applyBorder="1" applyFont="1"/>
    <xf borderId="1" fillId="2" fontId="13" numFmtId="0" xfId="0" applyAlignment="1" applyBorder="1" applyFont="1">
      <alignment horizontal="center"/>
    </xf>
    <xf borderId="1" fillId="2" fontId="13" numFmtId="0" xfId="0" applyAlignment="1" applyBorder="1" applyFont="1">
      <alignment horizontal="center" shrinkToFit="0" wrapText="1"/>
    </xf>
    <xf borderId="25" fillId="2" fontId="13" numFmtId="0" xfId="0" applyAlignment="1" applyBorder="1" applyFont="1">
      <alignment horizontal="center"/>
    </xf>
    <xf borderId="0" fillId="0" fontId="24" numFmtId="165" xfId="0" applyFont="1" applyNumberFormat="1"/>
    <xf borderId="0" fillId="0" fontId="24" numFmtId="176" xfId="0" applyFont="1" applyNumberFormat="1"/>
    <xf borderId="0" fillId="0" fontId="24" numFmtId="167" xfId="0" applyFont="1" applyNumberFormat="1"/>
    <xf borderId="21" fillId="0" fontId="7" numFmtId="0" xfId="0" applyBorder="1" applyFont="1"/>
    <xf borderId="9" fillId="0" fontId="7" numFmtId="167" xfId="0" applyBorder="1" applyFont="1" applyNumberFormat="1"/>
    <xf borderId="9" fillId="0" fontId="7" numFmtId="176" xfId="0" applyBorder="1" applyFont="1" applyNumberFormat="1"/>
    <xf borderId="35" fillId="0" fontId="7" numFmtId="176" xfId="0" applyBorder="1" applyFont="1" applyNumberFormat="1"/>
    <xf borderId="23" fillId="0" fontId="7" numFmtId="0" xfId="0" applyBorder="1" applyFont="1"/>
    <xf borderId="0" fillId="0" fontId="7" numFmtId="176" xfId="0" applyFont="1" applyNumberFormat="1"/>
    <xf borderId="36" fillId="0" fontId="7" numFmtId="176" xfId="0" applyBorder="1" applyFont="1" applyNumberFormat="1"/>
    <xf borderId="12" fillId="5" fontId="1" numFmtId="165" xfId="0" applyBorder="1" applyFont="1" applyNumberFormat="1"/>
    <xf borderId="12" fillId="5" fontId="1" numFmtId="176" xfId="0" applyBorder="1" applyFont="1" applyNumberFormat="1"/>
    <xf borderId="13" fillId="5" fontId="1" numFmtId="176" xfId="0" applyBorder="1" applyFont="1" applyNumberFormat="1"/>
    <xf borderId="37" fillId="0" fontId="7" numFmtId="0" xfId="0" applyBorder="1" applyFont="1"/>
    <xf borderId="10" fillId="0" fontId="7" numFmtId="176" xfId="0" applyBorder="1" applyFont="1" applyNumberFormat="1"/>
    <xf borderId="38" fillId="0" fontId="7" numFmtId="176" xfId="0" applyBorder="1" applyFont="1" applyNumberFormat="1"/>
    <xf borderId="11" fillId="6" fontId="1" numFmtId="0" xfId="0" applyBorder="1" applyFill="1" applyFont="1"/>
    <xf borderId="12" fillId="6" fontId="1" numFmtId="165" xfId="0" applyBorder="1" applyFont="1" applyNumberFormat="1"/>
    <xf borderId="12" fillId="6" fontId="1" numFmtId="176" xfId="0" applyBorder="1" applyFont="1" applyNumberFormat="1"/>
    <xf borderId="13" fillId="6" fontId="1" numFmtId="176" xfId="0" applyBorder="1" applyFont="1" applyNumberFormat="1"/>
    <xf borderId="29" fillId="2" fontId="25" numFmtId="0" xfId="0" applyAlignment="1" applyBorder="1" applyFont="1">
      <alignment shrinkToFit="0" wrapText="1"/>
    </xf>
    <xf borderId="30" fillId="2" fontId="26" numFmtId="0" xfId="0" applyBorder="1" applyFont="1"/>
    <xf borderId="39" fillId="0" fontId="9" numFmtId="0" xfId="0" applyBorder="1" applyFont="1"/>
    <xf borderId="0" fillId="0" fontId="7" numFmtId="177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9" fillId="0" fontId="7" numFmtId="177" xfId="0" applyAlignment="1" applyBorder="1" applyFont="1" applyNumberFormat="1">
      <alignment horizontal="right"/>
    </xf>
    <xf borderId="35" fillId="0" fontId="7" numFmtId="177" xfId="0" applyAlignment="1" applyBorder="1" applyFont="1" applyNumberFormat="1">
      <alignment horizontal="right"/>
    </xf>
    <xf borderId="36" fillId="0" fontId="7" numFmtId="177" xfId="0" applyAlignment="1" applyBorder="1" applyFont="1" applyNumberFormat="1">
      <alignment horizontal="right"/>
    </xf>
    <xf borderId="12" fillId="5" fontId="1" numFmtId="177" xfId="0" applyAlignment="1" applyBorder="1" applyFont="1" applyNumberFormat="1">
      <alignment horizontal="right"/>
    </xf>
    <xf borderId="13" fillId="5" fontId="1" numFmtId="177" xfId="0" applyAlignment="1" applyBorder="1" applyFont="1" applyNumberFormat="1">
      <alignment horizontal="right"/>
    </xf>
    <xf borderId="10" fillId="0" fontId="7" numFmtId="177" xfId="0" applyAlignment="1" applyBorder="1" applyFont="1" applyNumberFormat="1">
      <alignment horizontal="right"/>
    </xf>
    <xf borderId="38" fillId="0" fontId="7" numFmtId="177" xfId="0" applyAlignment="1" applyBorder="1" applyFont="1" applyNumberFormat="1">
      <alignment horizontal="right"/>
    </xf>
    <xf borderId="12" fillId="6" fontId="1" numFmtId="177" xfId="0" applyAlignment="1" applyBorder="1" applyFont="1" applyNumberFormat="1">
      <alignment horizontal="right"/>
    </xf>
    <xf borderId="13" fillId="6" fontId="1" numFmtId="177" xfId="0" applyAlignment="1" applyBorder="1" applyFont="1" applyNumberFormat="1">
      <alignment horizontal="right"/>
    </xf>
    <xf borderId="3" fillId="2" fontId="13" numFmtId="0" xfId="0" applyBorder="1" applyFont="1"/>
    <xf borderId="3" fillId="2" fontId="13" numFmtId="0" xfId="0" applyAlignment="1" applyBorder="1" applyFont="1">
      <alignment horizontal="right"/>
    </xf>
    <xf borderId="34" fillId="2" fontId="13" numFmtId="0" xfId="0" applyAlignment="1" applyBorder="1" applyFont="1">
      <alignment horizontal="center"/>
    </xf>
    <xf borderId="0" fillId="0" fontId="7" numFmtId="0" xfId="0" applyFont="1"/>
    <xf borderId="0" fillId="0" fontId="7" numFmtId="14" xfId="0" applyFont="1" applyNumberFormat="1"/>
    <xf borderId="0" fillId="0" fontId="7" numFmtId="165" xfId="0" applyAlignment="1" applyFont="1" applyNumberFormat="1">
      <alignment horizontal="right"/>
    </xf>
    <xf borderId="0" fillId="0" fontId="7" numFmtId="178" xfId="0" applyFont="1" applyNumberFormat="1"/>
    <xf borderId="12" fillId="5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99594"/>
          <bgColor rgb="FFD99594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.71"/>
    <col customWidth="1" min="3" max="5" width="10.71"/>
    <col customWidth="1" min="6" max="11" width="11.43"/>
    <col customWidth="1" min="12" max="12" width="2.71"/>
    <col customWidth="1" min="13" max="26" width="8.86"/>
  </cols>
  <sheetData>
    <row r="2">
      <c r="B2" s="1" t="s">
        <v>0</v>
      </c>
    </row>
    <row r="3">
      <c r="B3" s="2" t="s">
        <v>1</v>
      </c>
    </row>
    <row r="5">
      <c r="B5" s="3" t="s">
        <v>2</v>
      </c>
      <c r="C5" s="4"/>
      <c r="D5" s="4"/>
      <c r="E5" s="5"/>
      <c r="F5" s="5"/>
      <c r="G5" s="5"/>
      <c r="H5" s="5"/>
      <c r="I5" s="5"/>
      <c r="J5" s="5"/>
      <c r="K5" s="5"/>
    </row>
    <row r="7">
      <c r="C7" s="2" t="s">
        <v>3</v>
      </c>
      <c r="G7" s="6" t="s">
        <v>0</v>
      </c>
    </row>
    <row r="8">
      <c r="C8" s="7" t="s">
        <v>4</v>
      </c>
      <c r="E8" s="8"/>
      <c r="G8" s="9">
        <v>0.4</v>
      </c>
    </row>
    <row r="9">
      <c r="C9" s="2" t="s">
        <v>5</v>
      </c>
      <c r="G9" s="9">
        <v>0.5</v>
      </c>
    </row>
    <row r="11">
      <c r="C11" s="2" t="s">
        <v>6</v>
      </c>
      <c r="G11" s="9">
        <v>0.07</v>
      </c>
    </row>
    <row r="12">
      <c r="C12" s="2" t="s">
        <v>7</v>
      </c>
      <c r="G12" s="9">
        <v>0.085</v>
      </c>
    </row>
    <row r="13">
      <c r="C13" s="2" t="s">
        <v>8</v>
      </c>
      <c r="G13" s="9">
        <v>0.105</v>
      </c>
    </row>
    <row r="14">
      <c r="C14" s="2" t="s">
        <v>9</v>
      </c>
      <c r="G14" s="9">
        <v>0.03</v>
      </c>
    </row>
    <row r="16">
      <c r="B16" s="10" t="s">
        <v>10</v>
      </c>
      <c r="C16" s="10"/>
      <c r="D16" s="10"/>
      <c r="E16" s="10"/>
      <c r="F16" s="11" t="s">
        <v>11</v>
      </c>
      <c r="G16" s="12"/>
      <c r="H16" s="13"/>
      <c r="I16" s="11" t="s">
        <v>12</v>
      </c>
      <c r="J16" s="12"/>
      <c r="K16" s="12"/>
    </row>
    <row r="17">
      <c r="B17" s="3"/>
      <c r="C17" s="3"/>
      <c r="D17" s="3"/>
      <c r="E17" s="3"/>
      <c r="F17" s="14" t="s">
        <v>13</v>
      </c>
      <c r="G17" s="14" t="s">
        <v>14</v>
      </c>
      <c r="H17" s="15" t="s">
        <v>15</v>
      </c>
      <c r="I17" s="16" t="s">
        <v>16</v>
      </c>
      <c r="J17" s="16" t="s">
        <v>17</v>
      </c>
      <c r="K17" s="16" t="s">
        <v>18</v>
      </c>
    </row>
    <row r="18">
      <c r="B18" s="1" t="s">
        <v>19</v>
      </c>
    </row>
    <row r="19">
      <c r="C19" s="7" t="s">
        <v>20</v>
      </c>
      <c r="F19" s="17">
        <v>100.0</v>
      </c>
      <c r="G19" s="17">
        <v>107.04395604395606</v>
      </c>
      <c r="H19" s="17">
        <v>109.26930386740331</v>
      </c>
      <c r="I19" s="18">
        <f t="shared" ref="I19:K19" si="1">+I72*I36</f>
        <v>116.1380547</v>
      </c>
      <c r="J19" s="18">
        <f t="shared" si="1"/>
        <v>121.7315748</v>
      </c>
      <c r="K19" s="18">
        <f t="shared" si="1"/>
        <v>127.0073052</v>
      </c>
      <c r="N19" s="19"/>
    </row>
    <row r="20">
      <c r="C20" s="7" t="s">
        <v>21</v>
      </c>
      <c r="F20" s="20">
        <v>100.0</v>
      </c>
      <c r="G20" s="21">
        <f t="shared" ref="G20:K20" si="2">+F20+G88</f>
        <v>123.0539033</v>
      </c>
      <c r="H20" s="21">
        <f t="shared" si="2"/>
        <v>134.7624148</v>
      </c>
      <c r="I20" s="21">
        <f t="shared" si="2"/>
        <v>154.210264</v>
      </c>
      <c r="J20" s="21">
        <f t="shared" si="2"/>
        <v>174.4833704</v>
      </c>
      <c r="K20" s="21">
        <f t="shared" si="2"/>
        <v>196.4977865</v>
      </c>
      <c r="N20" s="19"/>
    </row>
    <row r="21" ht="15.75" customHeight="1">
      <c r="C21" s="7" t="s">
        <v>22</v>
      </c>
      <c r="F21" s="20">
        <v>150.0</v>
      </c>
      <c r="G21" s="20">
        <v>157.5</v>
      </c>
      <c r="H21" s="20">
        <v>164.58749999999998</v>
      </c>
      <c r="I21" s="21">
        <f t="shared" ref="I21:K21" si="3">+H21*(1+I73)</f>
        <v>171.9939375</v>
      </c>
      <c r="J21" s="21">
        <f t="shared" si="3"/>
        <v>178.873695</v>
      </c>
      <c r="K21" s="21">
        <f t="shared" si="3"/>
        <v>185.1342743</v>
      </c>
      <c r="N21" s="19"/>
    </row>
    <row r="22" ht="15.75" customHeight="1">
      <c r="C22" s="7" t="s">
        <v>23</v>
      </c>
      <c r="F22" s="20">
        <v>150.0</v>
      </c>
      <c r="G22" s="20">
        <v>156.0</v>
      </c>
      <c r="H22" s="20">
        <v>161.85000000000002</v>
      </c>
      <c r="I22" s="21">
        <f t="shared" ref="I22:K22" si="4">+H22*(1+I74)</f>
        <v>167.919375</v>
      </c>
      <c r="J22" s="21">
        <f t="shared" si="4"/>
        <v>173.7965531</v>
      </c>
      <c r="K22" s="21">
        <f t="shared" si="4"/>
        <v>179.8794325</v>
      </c>
      <c r="N22" s="19"/>
    </row>
    <row r="23" ht="15.75" customHeight="1">
      <c r="C23" s="7"/>
      <c r="G23" s="21"/>
    </row>
    <row r="24" ht="15.75" customHeight="1">
      <c r="C24" s="22" t="s">
        <v>24</v>
      </c>
      <c r="F24" s="23">
        <f t="shared" ref="F24:K24" si="5">+F59</f>
        <v>1090</v>
      </c>
      <c r="G24" s="23">
        <f t="shared" si="5"/>
        <v>1146</v>
      </c>
      <c r="H24" s="23">
        <f t="shared" si="5"/>
        <v>1205.96</v>
      </c>
      <c r="I24" s="23">
        <f t="shared" si="5"/>
        <v>1263.445948</v>
      </c>
      <c r="J24" s="23">
        <f t="shared" si="5"/>
        <v>1324.296892</v>
      </c>
      <c r="K24" s="23">
        <f t="shared" si="5"/>
        <v>1381.690658</v>
      </c>
      <c r="N24" s="19"/>
    </row>
    <row r="25" ht="15.75" customHeight="1">
      <c r="C25" s="7" t="s">
        <v>25</v>
      </c>
      <c r="E25" s="18"/>
      <c r="F25" s="21">
        <f t="shared" ref="F25:K25" si="6">-F65</f>
        <v>-45</v>
      </c>
      <c r="G25" s="21">
        <f t="shared" si="6"/>
        <v>-56</v>
      </c>
      <c r="H25" s="21">
        <f t="shared" si="6"/>
        <v>-69</v>
      </c>
      <c r="I25" s="21">
        <f t="shared" si="6"/>
        <v>-83.230328</v>
      </c>
      <c r="J25" s="21">
        <f t="shared" si="6"/>
        <v>-98.89705776</v>
      </c>
      <c r="K25" s="21">
        <f t="shared" si="6"/>
        <v>-115.9804877</v>
      </c>
      <c r="N25" s="19"/>
    </row>
    <row r="26" ht="15.75" customHeight="1">
      <c r="C26" s="24" t="s">
        <v>26</v>
      </c>
      <c r="D26" s="25"/>
      <c r="E26" s="24"/>
      <c r="F26" s="26">
        <f t="shared" ref="F26:K26" si="7">SUM(F24:F25)</f>
        <v>1045</v>
      </c>
      <c r="G26" s="26">
        <f t="shared" si="7"/>
        <v>1090</v>
      </c>
      <c r="H26" s="26">
        <f t="shared" si="7"/>
        <v>1136.96</v>
      </c>
      <c r="I26" s="26">
        <f t="shared" si="7"/>
        <v>1180.21562</v>
      </c>
      <c r="J26" s="26">
        <f t="shared" si="7"/>
        <v>1225.399834</v>
      </c>
      <c r="K26" s="26">
        <f t="shared" si="7"/>
        <v>1265.71017</v>
      </c>
      <c r="N26" s="19"/>
    </row>
    <row r="27" ht="15.75" customHeight="1">
      <c r="C27" s="1"/>
      <c r="E27" s="1"/>
      <c r="F27" s="23"/>
      <c r="G27" s="23"/>
      <c r="H27" s="23"/>
      <c r="I27" s="23"/>
      <c r="J27" s="23"/>
      <c r="K27" s="23"/>
      <c r="N27" s="19"/>
    </row>
    <row r="28" ht="15.75" customHeight="1">
      <c r="C28" s="7" t="s">
        <v>27</v>
      </c>
      <c r="F28" s="20">
        <v>50.0</v>
      </c>
      <c r="G28" s="21">
        <f t="shared" ref="G28:K28" si="8">+F28-G190</f>
        <v>49</v>
      </c>
      <c r="H28" s="21">
        <f t="shared" si="8"/>
        <v>48</v>
      </c>
      <c r="I28" s="21">
        <f t="shared" si="8"/>
        <v>48</v>
      </c>
      <c r="J28" s="21">
        <f t="shared" si="8"/>
        <v>48</v>
      </c>
      <c r="K28" s="21">
        <f t="shared" si="8"/>
        <v>48</v>
      </c>
      <c r="N28" s="19"/>
    </row>
    <row r="29" ht="15.75" customHeight="1">
      <c r="C29" s="7" t="s">
        <v>28</v>
      </c>
      <c r="F29" s="20">
        <v>20.0</v>
      </c>
      <c r="G29" s="21">
        <f t="shared" ref="G29:K29" si="9">+F29-G189</f>
        <v>19</v>
      </c>
      <c r="H29" s="21">
        <f t="shared" si="9"/>
        <v>18</v>
      </c>
      <c r="I29" s="21">
        <f t="shared" si="9"/>
        <v>17</v>
      </c>
      <c r="J29" s="21">
        <f t="shared" si="9"/>
        <v>16</v>
      </c>
      <c r="K29" s="21">
        <f t="shared" si="9"/>
        <v>15</v>
      </c>
      <c r="N29" s="19"/>
    </row>
    <row r="30" ht="15.75" customHeight="1">
      <c r="C30" s="7" t="s">
        <v>29</v>
      </c>
      <c r="F30" s="20">
        <v>50.0</v>
      </c>
      <c r="G30" s="21">
        <f t="shared" ref="G30:K30" si="10">+F30-G188-G202</f>
        <v>50.9</v>
      </c>
      <c r="H30" s="21">
        <f t="shared" si="10"/>
        <v>52.2</v>
      </c>
      <c r="I30" s="21">
        <f t="shared" si="10"/>
        <v>53.87360751</v>
      </c>
      <c r="J30" s="21">
        <f t="shared" si="10"/>
        <v>55.85807818</v>
      </c>
      <c r="K30" s="21">
        <f t="shared" si="10"/>
        <v>58.19559831</v>
      </c>
      <c r="N30" s="19"/>
    </row>
    <row r="31" ht="15.75" customHeight="1">
      <c r="C31" s="7" t="s">
        <v>30</v>
      </c>
      <c r="F31" s="20">
        <v>20.0</v>
      </c>
      <c r="G31" s="20">
        <v>22.0</v>
      </c>
      <c r="H31" s="20">
        <v>24.09</v>
      </c>
      <c r="I31" s="21">
        <f t="shared" ref="I31:K31" si="11">+H31*(1+I75)</f>
        <v>26.37855</v>
      </c>
      <c r="J31" s="21">
        <f t="shared" si="11"/>
        <v>28.7526195</v>
      </c>
      <c r="K31" s="21">
        <f t="shared" si="11"/>
        <v>31.34035526</v>
      </c>
      <c r="N31" s="19"/>
    </row>
    <row r="32" ht="15.75" customHeight="1">
      <c r="C32" s="7"/>
      <c r="F32" s="27"/>
      <c r="G32" s="27"/>
      <c r="H32" s="27"/>
      <c r="I32" s="21"/>
      <c r="J32" s="21"/>
      <c r="K32" s="21"/>
      <c r="N32" s="19"/>
    </row>
    <row r="33" ht="15.75" customHeight="1">
      <c r="B33" s="1" t="s">
        <v>31</v>
      </c>
      <c r="F33" s="28">
        <f t="shared" ref="F33:K33" si="12">SUM(F19:F22)+F26+SUM(F28:F31)</f>
        <v>1685</v>
      </c>
      <c r="G33" s="28">
        <f t="shared" si="12"/>
        <v>1774.497859</v>
      </c>
      <c r="H33" s="28">
        <f t="shared" si="12"/>
        <v>1849.719219</v>
      </c>
      <c r="I33" s="28">
        <f t="shared" si="12"/>
        <v>1935.729409</v>
      </c>
      <c r="J33" s="28">
        <f t="shared" si="12"/>
        <v>2022.895725</v>
      </c>
      <c r="K33" s="28">
        <f t="shared" si="12"/>
        <v>2106.764922</v>
      </c>
    </row>
    <row r="34" ht="15.75" customHeight="1">
      <c r="C34" s="1"/>
      <c r="F34" s="29"/>
    </row>
    <row r="35" ht="15.75" customHeight="1">
      <c r="B35" s="1" t="s">
        <v>32</v>
      </c>
    </row>
    <row r="36" ht="15.75" customHeight="1">
      <c r="C36" s="7" t="s">
        <v>33</v>
      </c>
      <c r="F36" s="17">
        <v>1200.0</v>
      </c>
      <c r="G36" s="17">
        <v>1259.3406593406594</v>
      </c>
      <c r="H36" s="17">
        <v>1332.5524861878453</v>
      </c>
      <c r="I36" s="18">
        <f t="shared" ref="I36:K36" si="13">+I24/I78</f>
        <v>1391.800922</v>
      </c>
      <c r="J36" s="18">
        <f t="shared" si="13"/>
        <v>1458.833785</v>
      </c>
      <c r="K36" s="18">
        <f t="shared" si="13"/>
        <v>1522.058252</v>
      </c>
      <c r="N36" s="19"/>
    </row>
    <row r="37" ht="15.75" customHeight="1">
      <c r="C37" s="7" t="s">
        <v>34</v>
      </c>
      <c r="F37" s="20">
        <v>100.0</v>
      </c>
      <c r="G37" s="21">
        <f t="shared" ref="G37:K37" si="14">+F37+G89</f>
        <v>100</v>
      </c>
      <c r="H37" s="21">
        <f t="shared" si="14"/>
        <v>100</v>
      </c>
      <c r="I37" s="21">
        <f t="shared" si="14"/>
        <v>100</v>
      </c>
      <c r="J37" s="21">
        <f t="shared" si="14"/>
        <v>100</v>
      </c>
      <c r="K37" s="21">
        <f t="shared" si="14"/>
        <v>100</v>
      </c>
      <c r="N37" s="19"/>
    </row>
    <row r="38" ht="15.75" customHeight="1">
      <c r="C38" s="7" t="s">
        <v>35</v>
      </c>
      <c r="F38" s="20">
        <v>50.0</v>
      </c>
      <c r="G38" s="20">
        <v>55.125</v>
      </c>
      <c r="H38" s="20">
        <v>52.66799999999999</v>
      </c>
      <c r="I38" s="21">
        <f t="shared" ref="I38:K38" si="15">+I79*I21</f>
        <v>57.52241688</v>
      </c>
      <c r="J38" s="21">
        <f t="shared" si="15"/>
        <v>59.82331355</v>
      </c>
      <c r="K38" s="21">
        <f t="shared" si="15"/>
        <v>61.91712952</v>
      </c>
      <c r="N38" s="19"/>
    </row>
    <row r="39" ht="15.75" customHeight="1">
      <c r="C39" s="7" t="s">
        <v>36</v>
      </c>
      <c r="F39" s="20">
        <v>50.0</v>
      </c>
      <c r="G39" s="20">
        <v>57.300000000000004</v>
      </c>
      <c r="H39" s="20">
        <v>57.283100000000005</v>
      </c>
      <c r="I39" s="21">
        <f t="shared" ref="I39:K39" si="16">+I80*I$24</f>
        <v>60.38073869</v>
      </c>
      <c r="J39" s="21">
        <f t="shared" si="16"/>
        <v>63.28883693</v>
      </c>
      <c r="K39" s="21">
        <f t="shared" si="16"/>
        <v>66.03171483</v>
      </c>
      <c r="N39" s="19"/>
    </row>
    <row r="40" ht="15.75" customHeight="1">
      <c r="C40" s="7" t="s">
        <v>37</v>
      </c>
      <c r="F40" s="20">
        <v>25.0</v>
      </c>
      <c r="G40" s="20">
        <v>28.650000000000002</v>
      </c>
      <c r="H40" s="20">
        <v>26.531119999999998</v>
      </c>
      <c r="I40" s="21">
        <f t="shared" ref="I40:K40" si="17">+I81*I$24</f>
        <v>29.45335921</v>
      </c>
      <c r="J40" s="21">
        <f t="shared" si="17"/>
        <v>30.87191195</v>
      </c>
      <c r="K40" s="21">
        <f t="shared" si="17"/>
        <v>32.2098712</v>
      </c>
      <c r="N40" s="19"/>
    </row>
    <row r="41" ht="15.75" customHeight="1">
      <c r="C41" s="7" t="s">
        <v>38</v>
      </c>
      <c r="F41" s="20">
        <v>25.0</v>
      </c>
      <c r="G41" s="20">
        <v>26.931</v>
      </c>
      <c r="H41" s="20">
        <v>25.92814</v>
      </c>
      <c r="I41" s="21">
        <f t="shared" ref="I41:K41" si="18">+I82*I$24</f>
        <v>28.61106191</v>
      </c>
      <c r="J41" s="21">
        <f t="shared" si="18"/>
        <v>29.98904735</v>
      </c>
      <c r="K41" s="21">
        <f t="shared" si="18"/>
        <v>31.28874409</v>
      </c>
      <c r="N41" s="19"/>
    </row>
    <row r="42" ht="15.75" customHeight="1">
      <c r="C42" s="7" t="s">
        <v>39</v>
      </c>
      <c r="F42" s="20">
        <v>25.0</v>
      </c>
      <c r="G42" s="20">
        <v>28.3062</v>
      </c>
      <c r="H42" s="20">
        <v>26.892908000000002</v>
      </c>
      <c r="I42" s="21">
        <f t="shared" ref="I42:K42" si="19">+I83*I$24</f>
        <v>29.45335921</v>
      </c>
      <c r="J42" s="21">
        <f t="shared" si="19"/>
        <v>30.87191195</v>
      </c>
      <c r="K42" s="21">
        <f t="shared" si="19"/>
        <v>32.2098712</v>
      </c>
      <c r="N42" s="19"/>
    </row>
    <row r="43" ht="15.75" customHeight="1">
      <c r="B43" s="24" t="s">
        <v>40</v>
      </c>
      <c r="C43" s="25"/>
      <c r="D43" s="25"/>
      <c r="E43" s="25"/>
      <c r="F43" s="26">
        <f t="shared" ref="F43:K43" si="20">SUM(F36:F42)</f>
        <v>1475</v>
      </c>
      <c r="G43" s="26">
        <f t="shared" si="20"/>
        <v>1555.652859</v>
      </c>
      <c r="H43" s="26">
        <f t="shared" si="20"/>
        <v>1621.855754</v>
      </c>
      <c r="I43" s="26">
        <f t="shared" si="20"/>
        <v>1697.221858</v>
      </c>
      <c r="J43" s="26">
        <f t="shared" si="20"/>
        <v>1773.678807</v>
      </c>
      <c r="K43" s="26">
        <f t="shared" si="20"/>
        <v>1845.715583</v>
      </c>
    </row>
    <row r="44" ht="15.75" customHeight="1">
      <c r="C44" s="7"/>
    </row>
    <row r="45" ht="15.75" customHeight="1">
      <c r="B45" s="1" t="s">
        <v>41</v>
      </c>
      <c r="C45" s="7"/>
    </row>
    <row r="46" ht="15.75" customHeight="1">
      <c r="C46" s="22" t="s">
        <v>42</v>
      </c>
      <c r="F46" s="23">
        <f>+F33-F43-F47</f>
        <v>160</v>
      </c>
      <c r="G46" s="23">
        <f t="shared" ref="G46:K46" si="21">+F46+G185+G212+G213+G214</f>
        <v>165.845</v>
      </c>
      <c r="H46" s="23">
        <f t="shared" si="21"/>
        <v>170.8634644</v>
      </c>
      <c r="I46" s="23">
        <f t="shared" si="21"/>
        <v>177.5075509</v>
      </c>
      <c r="J46" s="23">
        <f t="shared" si="21"/>
        <v>184.2169179</v>
      </c>
      <c r="K46" s="23">
        <f t="shared" si="21"/>
        <v>191.0493393</v>
      </c>
      <c r="N46" s="19"/>
    </row>
    <row r="47" ht="15.75" customHeight="1">
      <c r="C47" s="7" t="s">
        <v>43</v>
      </c>
      <c r="F47" s="20">
        <v>50.0</v>
      </c>
      <c r="G47" s="21">
        <f t="shared" ref="G47:K47" si="22">+F47+G211</f>
        <v>53</v>
      </c>
      <c r="H47" s="21">
        <f t="shared" si="22"/>
        <v>57</v>
      </c>
      <c r="I47" s="21">
        <f t="shared" si="22"/>
        <v>61</v>
      </c>
      <c r="J47" s="21">
        <f t="shared" si="22"/>
        <v>65</v>
      </c>
      <c r="K47" s="21">
        <f t="shared" si="22"/>
        <v>70</v>
      </c>
    </row>
    <row r="48" ht="15.75" customHeight="1">
      <c r="B48" s="24" t="s">
        <v>44</v>
      </c>
      <c r="C48" s="30"/>
      <c r="D48" s="25"/>
      <c r="E48" s="25"/>
      <c r="F48" s="26">
        <f t="shared" ref="F48:K48" si="23">SUM(F46:F47)</f>
        <v>210</v>
      </c>
      <c r="G48" s="26">
        <f t="shared" si="23"/>
        <v>218.845</v>
      </c>
      <c r="H48" s="26">
        <f t="shared" si="23"/>
        <v>227.8634644</v>
      </c>
      <c r="I48" s="26">
        <f t="shared" si="23"/>
        <v>238.5075509</v>
      </c>
      <c r="J48" s="26">
        <f t="shared" si="23"/>
        <v>249.2169179</v>
      </c>
      <c r="K48" s="26">
        <f t="shared" si="23"/>
        <v>261.0493393</v>
      </c>
    </row>
    <row r="49" ht="15.75" customHeight="1">
      <c r="C49" s="7"/>
      <c r="G49" s="18"/>
    </row>
    <row r="50" ht="15.75" customHeight="1">
      <c r="B50" s="1" t="s">
        <v>45</v>
      </c>
      <c r="C50" s="1"/>
      <c r="F50" s="28">
        <f t="shared" ref="F50:K50" si="24">+F43+F48</f>
        <v>1685</v>
      </c>
      <c r="G50" s="28">
        <f t="shared" si="24"/>
        <v>1774.497859</v>
      </c>
      <c r="H50" s="28">
        <f t="shared" si="24"/>
        <v>1849.719219</v>
      </c>
      <c r="I50" s="28">
        <f t="shared" si="24"/>
        <v>1935.729409</v>
      </c>
      <c r="J50" s="28">
        <f t="shared" si="24"/>
        <v>2022.895725</v>
      </c>
      <c r="K50" s="28">
        <f t="shared" si="24"/>
        <v>2106.764922</v>
      </c>
      <c r="N50" s="19"/>
    </row>
    <row r="51" ht="15.75" customHeight="1">
      <c r="C51" s="7"/>
    </row>
    <row r="52" ht="15.75" customHeight="1">
      <c r="B52" s="2" t="s">
        <v>46</v>
      </c>
      <c r="F52" s="31">
        <f t="shared" ref="F52:K52" si="25">F33-F50</f>
        <v>0</v>
      </c>
      <c r="G52" s="31">
        <f t="shared" si="25"/>
        <v>0</v>
      </c>
      <c r="H52" s="31">
        <f t="shared" si="25"/>
        <v>0</v>
      </c>
      <c r="I52" s="31">
        <f t="shared" si="25"/>
        <v>0</v>
      </c>
      <c r="J52" s="31">
        <f t="shared" si="25"/>
        <v>0</v>
      </c>
      <c r="K52" s="31">
        <f t="shared" si="25"/>
        <v>0</v>
      </c>
    </row>
    <row r="53" ht="15.75" customHeight="1"/>
    <row r="54" ht="15.75" customHeight="1">
      <c r="B54" s="10" t="s">
        <v>47</v>
      </c>
      <c r="C54" s="10"/>
      <c r="D54" s="10"/>
      <c r="E54" s="10"/>
      <c r="F54" s="11" t="str">
        <f>$F$16</f>
        <v>Historical</v>
      </c>
      <c r="G54" s="12"/>
      <c r="H54" s="13"/>
      <c r="I54" s="11" t="str">
        <f>$I$16</f>
        <v>Projected</v>
      </c>
      <c r="J54" s="12"/>
      <c r="K54" s="12"/>
    </row>
    <row r="55" ht="15.75" customHeight="1">
      <c r="B55" s="3"/>
      <c r="C55" s="3"/>
      <c r="D55" s="3"/>
      <c r="E55" s="3"/>
      <c r="F55" s="14" t="str">
        <f>$F$17</f>
        <v>Year 1</v>
      </c>
      <c r="G55" s="14" t="str">
        <f>$G$17</f>
        <v>Year 2</v>
      </c>
      <c r="H55" s="15" t="str">
        <f>$H$17</f>
        <v>Year 3</v>
      </c>
      <c r="I55" s="16" t="str">
        <f>$I$17</f>
        <v>Year 4</v>
      </c>
      <c r="J55" s="16" t="str">
        <f>$J$17</f>
        <v>Year 5</v>
      </c>
      <c r="K55" s="16" t="str">
        <f>$K$17</f>
        <v>Year 6</v>
      </c>
    </row>
    <row r="56" ht="15.75" customHeight="1">
      <c r="C56" s="7"/>
      <c r="F56" s="32"/>
      <c r="G56" s="32"/>
      <c r="H56" s="32"/>
      <c r="I56" s="32"/>
      <c r="J56" s="32"/>
      <c r="K56" s="32"/>
    </row>
    <row r="57" ht="15.75" customHeight="1">
      <c r="C57" s="7" t="s">
        <v>48</v>
      </c>
      <c r="F57" s="33">
        <v>0.065</v>
      </c>
      <c r="G57" s="34">
        <f t="shared" ref="G57:H57" si="26">+G58/F58-1</f>
        <v>0.06</v>
      </c>
      <c r="H57" s="34">
        <f t="shared" si="26"/>
        <v>0.06</v>
      </c>
      <c r="I57" s="35">
        <v>0.055</v>
      </c>
      <c r="J57" s="35">
        <v>0.055</v>
      </c>
      <c r="K57" s="35">
        <v>0.05</v>
      </c>
    </row>
    <row r="58" ht="15.75" customHeight="1">
      <c r="C58" s="7" t="s">
        <v>49</v>
      </c>
      <c r="F58" s="20">
        <v>1100.0</v>
      </c>
      <c r="G58" s="20">
        <v>1166.0</v>
      </c>
      <c r="H58" s="20">
        <v>1235.96</v>
      </c>
      <c r="I58" s="21">
        <f t="shared" ref="I58:K58" si="27">+H58*(1+I57)</f>
        <v>1303.9378</v>
      </c>
      <c r="J58" s="21">
        <f t="shared" si="27"/>
        <v>1375.654379</v>
      </c>
      <c r="K58" s="21">
        <f t="shared" si="27"/>
        <v>1444.437098</v>
      </c>
    </row>
    <row r="59" ht="15.75" customHeight="1">
      <c r="C59" s="7" t="s">
        <v>50</v>
      </c>
      <c r="F59" s="21">
        <f t="shared" ref="F59:K59" si="28">F58+SUM($F63:F64)</f>
        <v>1090</v>
      </c>
      <c r="G59" s="21">
        <f t="shared" si="28"/>
        <v>1146</v>
      </c>
      <c r="H59" s="21">
        <f t="shared" si="28"/>
        <v>1205.96</v>
      </c>
      <c r="I59" s="21">
        <f t="shared" si="28"/>
        <v>1263.445948</v>
      </c>
      <c r="J59" s="21">
        <f t="shared" si="28"/>
        <v>1324.296892</v>
      </c>
      <c r="K59" s="21">
        <f t="shared" si="28"/>
        <v>1381.690658</v>
      </c>
    </row>
    <row r="60" ht="15.75" customHeight="1">
      <c r="C60" s="7"/>
      <c r="F60" s="36"/>
      <c r="G60" s="37"/>
      <c r="H60" s="37"/>
      <c r="I60" s="36"/>
      <c r="J60" s="36"/>
      <c r="K60" s="36"/>
    </row>
    <row r="61" ht="15.75" customHeight="1">
      <c r="C61" s="7" t="s">
        <v>51</v>
      </c>
      <c r="F61" s="20">
        <v>35.0</v>
      </c>
      <c r="G61" s="21">
        <f t="shared" ref="G61:K61" si="29">+F65</f>
        <v>45</v>
      </c>
      <c r="H61" s="21">
        <f t="shared" si="29"/>
        <v>56</v>
      </c>
      <c r="I61" s="21">
        <f t="shared" si="29"/>
        <v>69</v>
      </c>
      <c r="J61" s="21">
        <f t="shared" si="29"/>
        <v>83.230328</v>
      </c>
      <c r="K61" s="21">
        <f t="shared" si="29"/>
        <v>98.89705776</v>
      </c>
    </row>
    <row r="62" ht="15.75" customHeight="1">
      <c r="C62" s="7" t="s">
        <v>52</v>
      </c>
      <c r="F62" s="20">
        <v>20.0</v>
      </c>
      <c r="G62" s="20">
        <v>21.0</v>
      </c>
      <c r="H62" s="20">
        <v>23.0</v>
      </c>
      <c r="I62" s="21">
        <f t="shared" ref="I62:K62" si="30">+I67*H$24</f>
        <v>24.72218</v>
      </c>
      <c r="J62" s="21">
        <f t="shared" si="30"/>
        <v>26.53236491</v>
      </c>
      <c r="K62" s="21">
        <f t="shared" si="30"/>
        <v>28.47238317</v>
      </c>
    </row>
    <row r="63" ht="15.75" customHeight="1">
      <c r="C63" s="7" t="s">
        <v>53</v>
      </c>
      <c r="F63" s="20">
        <v>-14.0</v>
      </c>
      <c r="G63" s="20">
        <v>-15.0</v>
      </c>
      <c r="H63" s="20">
        <v>-16.0</v>
      </c>
      <c r="I63" s="21">
        <f t="shared" ref="I63:K63" si="31">-I68*H$24</f>
        <v>-17.124632</v>
      </c>
      <c r="J63" s="21">
        <f t="shared" si="31"/>
        <v>-18.19362165</v>
      </c>
      <c r="K63" s="21">
        <f t="shared" si="31"/>
        <v>-19.33473462</v>
      </c>
    </row>
    <row r="64" ht="15.75" customHeight="1">
      <c r="C64" s="7" t="s">
        <v>54</v>
      </c>
      <c r="F64" s="20">
        <v>4.0</v>
      </c>
      <c r="G64" s="20">
        <v>5.0</v>
      </c>
      <c r="H64" s="20">
        <v>6.0</v>
      </c>
      <c r="I64" s="21">
        <f t="shared" ref="I64:K64" si="32">+I69*H$24</f>
        <v>6.63278</v>
      </c>
      <c r="J64" s="21">
        <f t="shared" si="32"/>
        <v>7.327986498</v>
      </c>
      <c r="K64" s="21">
        <f t="shared" si="32"/>
        <v>7.945781351</v>
      </c>
    </row>
    <row r="65" ht="15.75" customHeight="1">
      <c r="C65" s="38" t="s">
        <v>55</v>
      </c>
      <c r="D65" s="25"/>
      <c r="E65" s="25"/>
      <c r="F65" s="26">
        <f t="shared" ref="F65:K65" si="33">SUM(F61:F64)</f>
        <v>45</v>
      </c>
      <c r="G65" s="26">
        <f t="shared" si="33"/>
        <v>56</v>
      </c>
      <c r="H65" s="26">
        <f t="shared" si="33"/>
        <v>69</v>
      </c>
      <c r="I65" s="26">
        <f t="shared" si="33"/>
        <v>83.230328</v>
      </c>
      <c r="J65" s="26">
        <f t="shared" si="33"/>
        <v>98.89705776</v>
      </c>
      <c r="K65" s="26">
        <f t="shared" si="33"/>
        <v>115.9804877</v>
      </c>
    </row>
    <row r="66" ht="15.75" customHeight="1">
      <c r="C66" s="22"/>
      <c r="F66" s="37"/>
      <c r="G66" s="28"/>
      <c r="H66" s="28"/>
      <c r="I66" s="39"/>
      <c r="J66" s="39"/>
      <c r="K66" s="39"/>
    </row>
    <row r="67" ht="15.75" customHeight="1">
      <c r="C67" s="7" t="s">
        <v>56</v>
      </c>
      <c r="F67" s="40">
        <v>0.0187</v>
      </c>
      <c r="G67" s="37">
        <f t="shared" ref="G67:H67" si="34">+G62/F$24</f>
        <v>0.01926605505</v>
      </c>
      <c r="H67" s="37">
        <f t="shared" si="34"/>
        <v>0.02006980803</v>
      </c>
      <c r="I67" s="41">
        <v>0.0205</v>
      </c>
      <c r="J67" s="41">
        <v>0.021</v>
      </c>
      <c r="K67" s="41">
        <v>0.0215</v>
      </c>
    </row>
    <row r="68" ht="15.75" customHeight="1">
      <c r="C68" s="7" t="s">
        <v>57</v>
      </c>
      <c r="F68" s="40">
        <v>0.0135</v>
      </c>
      <c r="G68" s="37">
        <f t="shared" ref="G68:H68" si="35">-G63/F$24</f>
        <v>0.01376146789</v>
      </c>
      <c r="H68" s="37">
        <f t="shared" si="35"/>
        <v>0.01396160558</v>
      </c>
      <c r="I68" s="41">
        <v>0.0142</v>
      </c>
      <c r="J68" s="41">
        <v>0.0144</v>
      </c>
      <c r="K68" s="41">
        <v>0.0146</v>
      </c>
    </row>
    <row r="69" ht="15.75" customHeight="1">
      <c r="C69" s="7" t="s">
        <v>58</v>
      </c>
      <c r="F69" s="40">
        <v>0.0044</v>
      </c>
      <c r="G69" s="37">
        <f t="shared" ref="G69:H69" si="36">+G64/F$24</f>
        <v>0.004587155963</v>
      </c>
      <c r="H69" s="37">
        <f t="shared" si="36"/>
        <v>0.005235602094</v>
      </c>
      <c r="I69" s="41">
        <v>0.0055</v>
      </c>
      <c r="J69" s="41">
        <v>0.0058</v>
      </c>
      <c r="K69" s="41">
        <v>0.006</v>
      </c>
    </row>
    <row r="70" ht="15.75" customHeight="1">
      <c r="C70" s="22"/>
      <c r="F70" s="37"/>
      <c r="G70" s="28"/>
      <c r="H70" s="28"/>
      <c r="I70" s="39"/>
      <c r="J70" s="39"/>
      <c r="K70" s="39"/>
    </row>
    <row r="71" ht="15.75" customHeight="1">
      <c r="C71" s="1" t="s">
        <v>19</v>
      </c>
      <c r="F71" s="32"/>
      <c r="G71" s="32"/>
      <c r="H71" s="32"/>
      <c r="I71" s="32"/>
      <c r="J71" s="32"/>
      <c r="K71" s="32"/>
    </row>
    <row r="72" ht="15.75" customHeight="1">
      <c r="C72" s="7" t="s">
        <v>59</v>
      </c>
      <c r="F72" s="34">
        <f t="shared" ref="F72:H72" si="37">+F19/F36</f>
        <v>0.08333333333</v>
      </c>
      <c r="G72" s="34">
        <f t="shared" si="37"/>
        <v>0.085</v>
      </c>
      <c r="H72" s="34">
        <f t="shared" si="37"/>
        <v>0.082</v>
      </c>
      <c r="I72" s="42">
        <f>AVERAGE(F72:H72)</f>
        <v>0.08344444444</v>
      </c>
      <c r="J72" s="42">
        <f t="shared" ref="J72:K72" si="38">+I72</f>
        <v>0.08344444444</v>
      </c>
      <c r="K72" s="42">
        <f t="shared" si="38"/>
        <v>0.08344444444</v>
      </c>
    </row>
    <row r="73" ht="15.75" customHeight="1">
      <c r="C73" s="7" t="s">
        <v>60</v>
      </c>
      <c r="F73" s="33">
        <v>0.05</v>
      </c>
      <c r="G73" s="34">
        <f t="shared" ref="G73:H73" si="39">+G21/F21-1</f>
        <v>0.05</v>
      </c>
      <c r="H73" s="34">
        <f t="shared" si="39"/>
        <v>0.045</v>
      </c>
      <c r="I73" s="35">
        <v>0.045</v>
      </c>
      <c r="J73" s="35">
        <v>0.04</v>
      </c>
      <c r="K73" s="35">
        <v>0.035</v>
      </c>
    </row>
    <row r="74" ht="15.75" customHeight="1">
      <c r="C74" s="7" t="s">
        <v>61</v>
      </c>
      <c r="F74" s="33">
        <v>0.04</v>
      </c>
      <c r="G74" s="34">
        <f t="shared" ref="G74:H74" si="40">+G22/F22-1</f>
        <v>0.04</v>
      </c>
      <c r="H74" s="34">
        <f t="shared" si="40"/>
        <v>0.0375</v>
      </c>
      <c r="I74" s="35">
        <v>0.0375</v>
      </c>
      <c r="J74" s="35">
        <v>0.035</v>
      </c>
      <c r="K74" s="35">
        <v>0.035</v>
      </c>
    </row>
    <row r="75" ht="15.75" customHeight="1">
      <c r="C75" s="7" t="s">
        <v>62</v>
      </c>
      <c r="F75" s="33">
        <v>0.1</v>
      </c>
      <c r="G75" s="34">
        <f t="shared" ref="G75:H75" si="41">+G31/F31-1</f>
        <v>0.1</v>
      </c>
      <c r="H75" s="34">
        <f t="shared" si="41"/>
        <v>0.095</v>
      </c>
      <c r="I75" s="35">
        <v>0.095</v>
      </c>
      <c r="J75" s="35">
        <v>0.09</v>
      </c>
      <c r="K75" s="35">
        <v>0.09</v>
      </c>
    </row>
    <row r="76" ht="15.75" customHeight="1">
      <c r="F76" s="32"/>
      <c r="G76" s="32"/>
      <c r="H76" s="32"/>
      <c r="I76" s="32"/>
      <c r="J76" s="32"/>
      <c r="K76" s="32"/>
    </row>
    <row r="77" ht="15.75" customHeight="1">
      <c r="C77" s="1" t="s">
        <v>32</v>
      </c>
      <c r="F77" s="32"/>
      <c r="G77" s="32"/>
      <c r="H77" s="32"/>
      <c r="I77" s="32"/>
      <c r="J77" s="32"/>
      <c r="K77" s="32"/>
    </row>
    <row r="78" ht="15.75" customHeight="1">
      <c r="C78" s="7" t="s">
        <v>63</v>
      </c>
      <c r="F78" s="34">
        <f t="shared" ref="F78:H78" si="42">+F24/F36</f>
        <v>0.9083333333</v>
      </c>
      <c r="G78" s="34">
        <f t="shared" si="42"/>
        <v>0.91</v>
      </c>
      <c r="H78" s="34">
        <f t="shared" si="42"/>
        <v>0.905</v>
      </c>
      <c r="I78" s="42">
        <f t="shared" ref="I78:I83" si="45">AVERAGE(F78:H78)</f>
        <v>0.9077777778</v>
      </c>
      <c r="J78" s="42">
        <f t="shared" ref="J78:K78" si="43">+I78</f>
        <v>0.9077777778</v>
      </c>
      <c r="K78" s="42">
        <f t="shared" si="43"/>
        <v>0.9077777778</v>
      </c>
    </row>
    <row r="79" ht="15.75" customHeight="1">
      <c r="C79" s="7" t="s">
        <v>64</v>
      </c>
      <c r="F79" s="34">
        <f t="shared" ref="F79:H79" si="44">+F38/F21</f>
        <v>0.3333333333</v>
      </c>
      <c r="G79" s="34">
        <f t="shared" si="44"/>
        <v>0.35</v>
      </c>
      <c r="H79" s="34">
        <f t="shared" si="44"/>
        <v>0.32</v>
      </c>
      <c r="I79" s="42">
        <f t="shared" si="45"/>
        <v>0.3344444444</v>
      </c>
      <c r="J79" s="42">
        <f t="shared" ref="J79:K79" si="46">+I79</f>
        <v>0.3344444444</v>
      </c>
      <c r="K79" s="42">
        <f t="shared" si="46"/>
        <v>0.3344444444</v>
      </c>
    </row>
    <row r="80" ht="15.75" customHeight="1">
      <c r="C80" s="7" t="s">
        <v>65</v>
      </c>
      <c r="F80" s="34">
        <f t="shared" ref="F80:H80" si="47">+F39/F$24</f>
        <v>0.04587155963</v>
      </c>
      <c r="G80" s="34">
        <f t="shared" si="47"/>
        <v>0.05</v>
      </c>
      <c r="H80" s="34">
        <f t="shared" si="47"/>
        <v>0.0475</v>
      </c>
      <c r="I80" s="42">
        <f t="shared" si="45"/>
        <v>0.04779051988</v>
      </c>
      <c r="J80" s="42">
        <f t="shared" ref="J80:K80" si="48">+I80</f>
        <v>0.04779051988</v>
      </c>
      <c r="K80" s="42">
        <f t="shared" si="48"/>
        <v>0.04779051988</v>
      </c>
    </row>
    <row r="81" ht="15.75" customHeight="1">
      <c r="C81" s="7" t="s">
        <v>66</v>
      </c>
      <c r="F81" s="34">
        <f t="shared" ref="F81:H81" si="49">+F40/F$24</f>
        <v>0.02293577982</v>
      </c>
      <c r="G81" s="34">
        <f t="shared" si="49"/>
        <v>0.025</v>
      </c>
      <c r="H81" s="34">
        <f t="shared" si="49"/>
        <v>0.022</v>
      </c>
      <c r="I81" s="42">
        <f t="shared" si="45"/>
        <v>0.02331192661</v>
      </c>
      <c r="J81" s="42">
        <f t="shared" ref="J81:K81" si="50">+I81</f>
        <v>0.02331192661</v>
      </c>
      <c r="K81" s="42">
        <f t="shared" si="50"/>
        <v>0.02331192661</v>
      </c>
    </row>
    <row r="82" ht="15.75" customHeight="1">
      <c r="C82" s="7" t="s">
        <v>67</v>
      </c>
      <c r="F82" s="34">
        <f t="shared" ref="F82:H82" si="51">+F41/F$24</f>
        <v>0.02293577982</v>
      </c>
      <c r="G82" s="34">
        <f t="shared" si="51"/>
        <v>0.0235</v>
      </c>
      <c r="H82" s="34">
        <f t="shared" si="51"/>
        <v>0.0215</v>
      </c>
      <c r="I82" s="42">
        <f t="shared" si="45"/>
        <v>0.02264525994</v>
      </c>
      <c r="J82" s="42">
        <f t="shared" ref="J82:K82" si="52">+I82</f>
        <v>0.02264525994</v>
      </c>
      <c r="K82" s="42">
        <f t="shared" si="52"/>
        <v>0.02264525994</v>
      </c>
    </row>
    <row r="83" ht="15.75" customHeight="1">
      <c r="C83" s="7" t="s">
        <v>68</v>
      </c>
      <c r="F83" s="34">
        <f t="shared" ref="F83:H83" si="53">+F42/F$24</f>
        <v>0.02293577982</v>
      </c>
      <c r="G83" s="34">
        <f t="shared" si="53"/>
        <v>0.0247</v>
      </c>
      <c r="H83" s="34">
        <f t="shared" si="53"/>
        <v>0.0223</v>
      </c>
      <c r="I83" s="42">
        <f t="shared" si="45"/>
        <v>0.02331192661</v>
      </c>
      <c r="J83" s="42">
        <f t="shared" ref="J83:K83" si="54">+I83</f>
        <v>0.02331192661</v>
      </c>
      <c r="K83" s="42">
        <f t="shared" si="54"/>
        <v>0.02331192661</v>
      </c>
    </row>
    <row r="84" ht="15.75" customHeight="1">
      <c r="C84" s="7"/>
      <c r="F84" s="32"/>
      <c r="G84" s="32"/>
      <c r="H84" s="32"/>
      <c r="I84" s="32"/>
      <c r="J84" s="32"/>
      <c r="K84" s="32"/>
    </row>
    <row r="85" ht="15.75" customHeight="1">
      <c r="C85" s="22" t="s">
        <v>69</v>
      </c>
    </row>
    <row r="86" ht="15.75" customHeight="1">
      <c r="C86" s="7" t="s">
        <v>70</v>
      </c>
      <c r="G86" s="21">
        <f t="shared" ref="G86:K86" si="55">G19+F20+G21+G22+SUM(G26:G31)</f>
        <v>1751.443956</v>
      </c>
      <c r="H86" s="21">
        <f t="shared" si="55"/>
        <v>1838.010707</v>
      </c>
      <c r="I86" s="21">
        <f t="shared" si="55"/>
        <v>1916.281559</v>
      </c>
      <c r="J86" s="21">
        <f t="shared" si="55"/>
        <v>2002.622619</v>
      </c>
      <c r="K86" s="21">
        <f t="shared" si="55"/>
        <v>2084.750506</v>
      </c>
    </row>
    <row r="87" ht="15.75" customHeight="1">
      <c r="C87" s="7" t="s">
        <v>71</v>
      </c>
      <c r="G87" s="21">
        <f t="shared" ref="G87:K87" si="56">G36+F37+G38+G39+G40+G41+G42+G48</f>
        <v>1774.497859</v>
      </c>
      <c r="H87" s="21">
        <f t="shared" si="56"/>
        <v>1849.719219</v>
      </c>
      <c r="I87" s="21">
        <f t="shared" si="56"/>
        <v>1935.729409</v>
      </c>
      <c r="J87" s="21">
        <f t="shared" si="56"/>
        <v>2022.895725</v>
      </c>
      <c r="K87" s="21">
        <f t="shared" si="56"/>
        <v>2106.764922</v>
      </c>
    </row>
    <row r="88" ht="15.75" customHeight="1">
      <c r="C88" s="7" t="s">
        <v>72</v>
      </c>
      <c r="G88" s="21">
        <f t="shared" ref="G88:K88" si="57">MAX(G87-G86,0)</f>
        <v>23.0539033</v>
      </c>
      <c r="H88" s="21">
        <f t="shared" si="57"/>
        <v>11.70851147</v>
      </c>
      <c r="I88" s="21">
        <f t="shared" si="57"/>
        <v>19.44784927</v>
      </c>
      <c r="J88" s="21">
        <f t="shared" si="57"/>
        <v>20.27310637</v>
      </c>
      <c r="K88" s="21">
        <f t="shared" si="57"/>
        <v>22.01441613</v>
      </c>
    </row>
    <row r="89" ht="15.75" customHeight="1">
      <c r="C89" s="7" t="s">
        <v>73</v>
      </c>
      <c r="G89" s="21">
        <f t="shared" ref="G89:K89" si="58">MAX(G86-G87,0)</f>
        <v>0</v>
      </c>
      <c r="H89" s="21">
        <f t="shared" si="58"/>
        <v>0</v>
      </c>
      <c r="I89" s="21">
        <f t="shared" si="58"/>
        <v>0</v>
      </c>
      <c r="J89" s="21">
        <f t="shared" si="58"/>
        <v>0</v>
      </c>
      <c r="K89" s="21">
        <f t="shared" si="58"/>
        <v>0</v>
      </c>
    </row>
    <row r="90" ht="15.75" customHeight="1">
      <c r="C90" s="7"/>
      <c r="G90" s="21"/>
      <c r="H90" s="21"/>
      <c r="I90" s="21"/>
      <c r="J90" s="21"/>
      <c r="K90" s="21"/>
    </row>
    <row r="91" ht="15.75" customHeight="1">
      <c r="B91" s="10" t="s">
        <v>74</v>
      </c>
      <c r="C91" s="10"/>
      <c r="D91" s="10"/>
      <c r="E91" s="10"/>
      <c r="F91" s="11" t="str">
        <f>$F$16</f>
        <v>Historical</v>
      </c>
      <c r="G91" s="12"/>
      <c r="H91" s="13"/>
      <c r="I91" s="11" t="str">
        <f>$I$16</f>
        <v>Projected</v>
      </c>
      <c r="J91" s="12"/>
      <c r="K91" s="12"/>
    </row>
    <row r="92" ht="15.75" customHeight="1">
      <c r="B92" s="3"/>
      <c r="C92" s="3"/>
      <c r="D92" s="3"/>
      <c r="E92" s="3"/>
      <c r="F92" s="14" t="str">
        <f>$F$17</f>
        <v>Year 1</v>
      </c>
      <c r="G92" s="14" t="str">
        <f>$G$17</f>
        <v>Year 2</v>
      </c>
      <c r="H92" s="15" t="str">
        <f>$H$17</f>
        <v>Year 3</v>
      </c>
      <c r="I92" s="16" t="str">
        <f>$I$17</f>
        <v>Year 4</v>
      </c>
      <c r="J92" s="16" t="str">
        <f>$J$17</f>
        <v>Year 5</v>
      </c>
      <c r="K92" s="16" t="str">
        <f>$K$17</f>
        <v>Year 6</v>
      </c>
    </row>
    <row r="93" ht="15.75" customHeight="1">
      <c r="C93" s="1" t="s">
        <v>75</v>
      </c>
    </row>
    <row r="94" ht="15.75" customHeight="1">
      <c r="C94" s="7" t="s">
        <v>21</v>
      </c>
      <c r="F94" s="18">
        <f t="shared" ref="F94:K94" si="59">+F20</f>
        <v>100</v>
      </c>
      <c r="G94" s="18">
        <f t="shared" si="59"/>
        <v>123.0539033</v>
      </c>
      <c r="H94" s="18">
        <f t="shared" si="59"/>
        <v>134.7624148</v>
      </c>
      <c r="I94" s="18">
        <f t="shared" si="59"/>
        <v>154.210264</v>
      </c>
      <c r="J94" s="18">
        <f t="shared" si="59"/>
        <v>174.4833704</v>
      </c>
      <c r="K94" s="18">
        <f t="shared" si="59"/>
        <v>196.4977865</v>
      </c>
    </row>
    <row r="95" ht="15.75" customHeight="1">
      <c r="C95" s="7" t="s">
        <v>76</v>
      </c>
      <c r="F95" s="20">
        <v>50.0</v>
      </c>
      <c r="G95" s="20">
        <v>47.25</v>
      </c>
      <c r="H95" s="20">
        <v>59.25149999999999</v>
      </c>
      <c r="I95" s="21">
        <f t="shared" ref="I95:K95" si="60">+I110*I21</f>
        <v>56.94910375</v>
      </c>
      <c r="J95" s="21">
        <f t="shared" si="60"/>
        <v>59.2270679</v>
      </c>
      <c r="K95" s="21">
        <f t="shared" si="60"/>
        <v>61.30001528</v>
      </c>
    </row>
    <row r="96" ht="15.75" customHeight="1">
      <c r="C96" s="7" t="s">
        <v>77</v>
      </c>
      <c r="F96" s="21">
        <f t="shared" ref="F96:K96" si="61">+F22</f>
        <v>150</v>
      </c>
      <c r="G96" s="21">
        <f t="shared" si="61"/>
        <v>156</v>
      </c>
      <c r="H96" s="21">
        <f t="shared" si="61"/>
        <v>161.85</v>
      </c>
      <c r="I96" s="21">
        <f t="shared" si="61"/>
        <v>167.919375</v>
      </c>
      <c r="J96" s="21">
        <f t="shared" si="61"/>
        <v>173.7965531</v>
      </c>
      <c r="K96" s="21">
        <f t="shared" si="61"/>
        <v>179.8794325</v>
      </c>
    </row>
    <row r="97" ht="15.75" customHeight="1">
      <c r="C97" s="7" t="s">
        <v>24</v>
      </c>
      <c r="F97" s="21">
        <f t="shared" ref="F97:K97" si="62">+F24</f>
        <v>1090</v>
      </c>
      <c r="G97" s="21">
        <f t="shared" si="62"/>
        <v>1146</v>
      </c>
      <c r="H97" s="21">
        <f t="shared" si="62"/>
        <v>1205.96</v>
      </c>
      <c r="I97" s="21">
        <f t="shared" si="62"/>
        <v>1263.445948</v>
      </c>
      <c r="J97" s="21">
        <f t="shared" si="62"/>
        <v>1324.296892</v>
      </c>
      <c r="K97" s="21">
        <f t="shared" si="62"/>
        <v>1381.690658</v>
      </c>
    </row>
    <row r="98" ht="15.75" customHeight="1">
      <c r="C98" s="24" t="s">
        <v>78</v>
      </c>
      <c r="D98" s="25"/>
      <c r="E98" s="25"/>
      <c r="F98" s="26">
        <f t="shared" ref="F98:K98" si="63">SUM(F94:F97)</f>
        <v>1390</v>
      </c>
      <c r="G98" s="26">
        <f t="shared" si="63"/>
        <v>1472.303903</v>
      </c>
      <c r="H98" s="26">
        <f t="shared" si="63"/>
        <v>1561.823915</v>
      </c>
      <c r="I98" s="26">
        <f t="shared" si="63"/>
        <v>1642.524691</v>
      </c>
      <c r="J98" s="26">
        <f t="shared" si="63"/>
        <v>1731.803883</v>
      </c>
      <c r="K98" s="26">
        <f t="shared" si="63"/>
        <v>1819.367892</v>
      </c>
    </row>
    <row r="99" ht="15.75" customHeight="1"/>
    <row r="100" ht="15.75" customHeight="1">
      <c r="C100" s="1" t="s">
        <v>79</v>
      </c>
    </row>
    <row r="101" ht="15.75" customHeight="1">
      <c r="C101" s="7" t="s">
        <v>80</v>
      </c>
      <c r="F101" s="20">
        <v>900.0</v>
      </c>
      <c r="G101" s="20">
        <v>940.7274725274725</v>
      </c>
      <c r="H101" s="20">
        <v>1015.4049944751381</v>
      </c>
      <c r="I101" s="21">
        <f t="shared" ref="I101:K101" si="64">+I111*I36</f>
        <v>1048.026094</v>
      </c>
      <c r="J101" s="21">
        <f t="shared" si="64"/>
        <v>1098.50184</v>
      </c>
      <c r="K101" s="21">
        <f t="shared" si="64"/>
        <v>1146.109864</v>
      </c>
    </row>
    <row r="102" ht="15.75" customHeight="1">
      <c r="C102" s="7" t="s">
        <v>34</v>
      </c>
      <c r="F102" s="21">
        <f t="shared" ref="F102:K102" si="65">+F37</f>
        <v>100</v>
      </c>
      <c r="G102" s="21">
        <f t="shared" si="65"/>
        <v>100</v>
      </c>
      <c r="H102" s="21">
        <f t="shared" si="65"/>
        <v>100</v>
      </c>
      <c r="I102" s="21">
        <f t="shared" si="65"/>
        <v>100</v>
      </c>
      <c r="J102" s="21">
        <f t="shared" si="65"/>
        <v>100</v>
      </c>
      <c r="K102" s="21">
        <f t="shared" si="65"/>
        <v>100</v>
      </c>
    </row>
    <row r="103" ht="15.75" customHeight="1">
      <c r="C103" s="7" t="s">
        <v>35</v>
      </c>
      <c r="F103" s="21">
        <f t="shared" ref="F103:K103" si="66">+F38</f>
        <v>50</v>
      </c>
      <c r="G103" s="21">
        <f t="shared" si="66"/>
        <v>55.125</v>
      </c>
      <c r="H103" s="21">
        <f t="shared" si="66"/>
        <v>52.668</v>
      </c>
      <c r="I103" s="21">
        <f t="shared" si="66"/>
        <v>57.52241688</v>
      </c>
      <c r="J103" s="21">
        <f t="shared" si="66"/>
        <v>59.82331355</v>
      </c>
      <c r="K103" s="21">
        <f t="shared" si="66"/>
        <v>61.91712952</v>
      </c>
    </row>
    <row r="104" ht="15.75" customHeight="1">
      <c r="C104" s="7" t="s">
        <v>36</v>
      </c>
      <c r="F104" s="21">
        <f t="shared" ref="F104:K104" si="67">+F39</f>
        <v>50</v>
      </c>
      <c r="G104" s="21">
        <f t="shared" si="67"/>
        <v>57.3</v>
      </c>
      <c r="H104" s="21">
        <f t="shared" si="67"/>
        <v>57.2831</v>
      </c>
      <c r="I104" s="21">
        <f t="shared" si="67"/>
        <v>60.38073869</v>
      </c>
      <c r="J104" s="21">
        <f t="shared" si="67"/>
        <v>63.28883693</v>
      </c>
      <c r="K104" s="21">
        <f t="shared" si="67"/>
        <v>66.03171483</v>
      </c>
    </row>
    <row r="105" ht="15.75" customHeight="1">
      <c r="C105" s="7" t="s">
        <v>37</v>
      </c>
      <c r="F105" s="21">
        <f t="shared" ref="F105:K105" si="68">+F40</f>
        <v>25</v>
      </c>
      <c r="G105" s="21">
        <f t="shared" si="68"/>
        <v>28.65</v>
      </c>
      <c r="H105" s="21">
        <f t="shared" si="68"/>
        <v>26.53112</v>
      </c>
      <c r="I105" s="21">
        <f t="shared" si="68"/>
        <v>29.45335921</v>
      </c>
      <c r="J105" s="21">
        <f t="shared" si="68"/>
        <v>30.87191195</v>
      </c>
      <c r="K105" s="21">
        <f t="shared" si="68"/>
        <v>32.2098712</v>
      </c>
    </row>
    <row r="106" ht="15.75" customHeight="1">
      <c r="C106" s="7" t="s">
        <v>38</v>
      </c>
      <c r="F106" s="21">
        <f t="shared" ref="F106:K106" si="69">+F41</f>
        <v>25</v>
      </c>
      <c r="G106" s="21">
        <f t="shared" si="69"/>
        <v>26.931</v>
      </c>
      <c r="H106" s="21">
        <f t="shared" si="69"/>
        <v>25.92814</v>
      </c>
      <c r="I106" s="21">
        <f t="shared" si="69"/>
        <v>28.61106191</v>
      </c>
      <c r="J106" s="21">
        <f t="shared" si="69"/>
        <v>29.98904735</v>
      </c>
      <c r="K106" s="21">
        <f t="shared" si="69"/>
        <v>31.28874409</v>
      </c>
    </row>
    <row r="107" ht="15.75" customHeight="1">
      <c r="C107" s="7" t="s">
        <v>39</v>
      </c>
      <c r="F107" s="21">
        <f t="shared" ref="F107:K107" si="70">+F42</f>
        <v>25</v>
      </c>
      <c r="G107" s="21">
        <f t="shared" si="70"/>
        <v>28.3062</v>
      </c>
      <c r="H107" s="21">
        <f t="shared" si="70"/>
        <v>26.892908</v>
      </c>
      <c r="I107" s="21">
        <f t="shared" si="70"/>
        <v>29.45335921</v>
      </c>
      <c r="J107" s="21">
        <f t="shared" si="70"/>
        <v>30.87191195</v>
      </c>
      <c r="K107" s="21">
        <f t="shared" si="70"/>
        <v>32.2098712</v>
      </c>
    </row>
    <row r="108" ht="15.75" customHeight="1">
      <c r="C108" s="24" t="s">
        <v>81</v>
      </c>
      <c r="D108" s="25"/>
      <c r="E108" s="25"/>
      <c r="F108" s="26">
        <f t="shared" ref="F108:K108" si="71">SUM(F101:F107)</f>
        <v>1175</v>
      </c>
      <c r="G108" s="26">
        <f t="shared" si="71"/>
        <v>1237.039673</v>
      </c>
      <c r="H108" s="26">
        <f t="shared" si="71"/>
        <v>1304.708262</v>
      </c>
      <c r="I108" s="26">
        <f t="shared" si="71"/>
        <v>1353.44703</v>
      </c>
      <c r="J108" s="26">
        <f t="shared" si="71"/>
        <v>1413.346862</v>
      </c>
      <c r="K108" s="26">
        <f t="shared" si="71"/>
        <v>1469.767195</v>
      </c>
    </row>
    <row r="109" ht="15.75" customHeight="1"/>
    <row r="110" ht="15.75" customHeight="1">
      <c r="C110" s="2" t="s">
        <v>82</v>
      </c>
      <c r="F110" s="34">
        <f t="shared" ref="F110:H110" si="72">+F95/F21</f>
        <v>0.3333333333</v>
      </c>
      <c r="G110" s="34">
        <f t="shared" si="72"/>
        <v>0.3</v>
      </c>
      <c r="H110" s="34">
        <f t="shared" si="72"/>
        <v>0.36</v>
      </c>
      <c r="I110" s="42">
        <f t="shared" ref="I110:I111" si="75">AVERAGE(F110:H110)</f>
        <v>0.3311111111</v>
      </c>
      <c r="J110" s="42">
        <f t="shared" ref="J110:K110" si="73">+I110</f>
        <v>0.3311111111</v>
      </c>
      <c r="K110" s="42">
        <f t="shared" si="73"/>
        <v>0.3311111111</v>
      </c>
    </row>
    <row r="111" ht="15.75" customHeight="1">
      <c r="C111" s="2" t="s">
        <v>83</v>
      </c>
      <c r="F111" s="34">
        <f t="shared" ref="F111:H111" si="74">+F101/F36</f>
        <v>0.75</v>
      </c>
      <c r="G111" s="34">
        <f t="shared" si="74"/>
        <v>0.747</v>
      </c>
      <c r="H111" s="34">
        <f t="shared" si="74"/>
        <v>0.762</v>
      </c>
      <c r="I111" s="42">
        <f t="shared" si="75"/>
        <v>0.753</v>
      </c>
      <c r="J111" s="42">
        <f t="shared" ref="J111:K111" si="76">+I111</f>
        <v>0.753</v>
      </c>
      <c r="K111" s="42">
        <f t="shared" si="76"/>
        <v>0.753</v>
      </c>
    </row>
    <row r="112" ht="15.75" customHeight="1"/>
    <row r="113" ht="15.75" customHeight="1">
      <c r="C113" s="2" t="s">
        <v>84</v>
      </c>
      <c r="F113" s="40">
        <v>0.07</v>
      </c>
      <c r="G113" s="40">
        <v>0.065</v>
      </c>
      <c r="H113" s="40">
        <v>0.06</v>
      </c>
      <c r="I113" s="41">
        <v>0.0625</v>
      </c>
      <c r="J113" s="41">
        <v>0.0625</v>
      </c>
      <c r="K113" s="41">
        <v>0.065</v>
      </c>
    </row>
    <row r="114" ht="15.75" customHeight="1">
      <c r="C114" s="2" t="s">
        <v>85</v>
      </c>
      <c r="F114" s="40">
        <v>0.03</v>
      </c>
      <c r="G114" s="40">
        <v>0.025</v>
      </c>
      <c r="H114" s="40">
        <v>0.02</v>
      </c>
      <c r="I114" s="41">
        <v>0.0225</v>
      </c>
      <c r="J114" s="41">
        <v>0.0225</v>
      </c>
      <c r="K114" s="41">
        <v>0.025</v>
      </c>
    </row>
    <row r="115" ht="15.75" customHeight="1">
      <c r="C115" s="2" t="s">
        <v>86</v>
      </c>
      <c r="F115" s="37">
        <f t="shared" ref="F115:K115" si="77">+F113-F114</f>
        <v>0.04</v>
      </c>
      <c r="G115" s="37">
        <f t="shared" si="77"/>
        <v>0.04</v>
      </c>
      <c r="H115" s="37">
        <f t="shared" si="77"/>
        <v>0.04</v>
      </c>
      <c r="I115" s="37">
        <f t="shared" si="77"/>
        <v>0.04</v>
      </c>
      <c r="J115" s="37">
        <f t="shared" si="77"/>
        <v>0.04</v>
      </c>
      <c r="K115" s="37">
        <f t="shared" si="77"/>
        <v>0.04</v>
      </c>
    </row>
    <row r="116" ht="15.75" customHeight="1"/>
    <row r="117" ht="15.75" customHeight="1">
      <c r="C117" s="1" t="s">
        <v>87</v>
      </c>
      <c r="K117" s="43"/>
    </row>
    <row r="118" ht="15.75" customHeight="1">
      <c r="C118" s="7" t="s">
        <v>88</v>
      </c>
      <c r="F118" s="20">
        <v>97.30000000000001</v>
      </c>
      <c r="G118" s="21">
        <f t="shared" ref="G118:H118" si="78">+F98*G113</f>
        <v>90.35</v>
      </c>
      <c r="H118" s="21">
        <f t="shared" si="78"/>
        <v>88.3382342</v>
      </c>
      <c r="I118" s="21">
        <f t="shared" ref="I118:K118" si="79">+I113*H98</f>
        <v>97.61399467</v>
      </c>
      <c r="J118" s="21">
        <f t="shared" si="79"/>
        <v>102.6577932</v>
      </c>
      <c r="K118" s="21">
        <f t="shared" si="79"/>
        <v>112.5672524</v>
      </c>
    </row>
    <row r="119" ht="15.75" customHeight="1">
      <c r="C119" s="7" t="s">
        <v>89</v>
      </c>
      <c r="F119" s="20">
        <v>-35.25</v>
      </c>
      <c r="G119" s="21">
        <f t="shared" ref="G119:H119" si="80">-F108*G114</f>
        <v>-29.375</v>
      </c>
      <c r="H119" s="21">
        <f t="shared" si="80"/>
        <v>-24.74079345</v>
      </c>
      <c r="I119" s="21">
        <f t="shared" ref="I119:K119" si="81">-I114*H108</f>
        <v>-29.35593591</v>
      </c>
      <c r="J119" s="21">
        <f t="shared" si="81"/>
        <v>-30.45255818</v>
      </c>
      <c r="K119" s="21">
        <f t="shared" si="81"/>
        <v>-35.33367155</v>
      </c>
    </row>
    <row r="120" ht="15.75" customHeight="1">
      <c r="C120" s="24" t="s">
        <v>90</v>
      </c>
      <c r="D120" s="25"/>
      <c r="E120" s="25"/>
      <c r="F120" s="44">
        <f t="shared" ref="F120:K120" si="82">SUM(F118:F119)</f>
        <v>62.05</v>
      </c>
      <c r="G120" s="44">
        <f t="shared" si="82"/>
        <v>60.975</v>
      </c>
      <c r="H120" s="44">
        <f t="shared" si="82"/>
        <v>63.59744075</v>
      </c>
      <c r="I120" s="44">
        <f t="shared" si="82"/>
        <v>68.25805877</v>
      </c>
      <c r="J120" s="44">
        <f t="shared" si="82"/>
        <v>72.205235</v>
      </c>
      <c r="K120" s="44">
        <f t="shared" si="82"/>
        <v>77.23358086</v>
      </c>
    </row>
    <row r="121" ht="15.75" customHeight="1">
      <c r="C121" s="7"/>
      <c r="G121" s="21"/>
      <c r="H121" s="21"/>
      <c r="I121" s="21"/>
      <c r="J121" s="21"/>
      <c r="K121" s="21"/>
    </row>
    <row r="122" ht="15.75" customHeight="1">
      <c r="B122" s="10" t="s">
        <v>91</v>
      </c>
      <c r="C122" s="10"/>
      <c r="D122" s="10"/>
      <c r="E122" s="10"/>
      <c r="F122" s="11" t="str">
        <f>$F$16</f>
        <v>Historical</v>
      </c>
      <c r="G122" s="12"/>
      <c r="H122" s="13"/>
      <c r="I122" s="11" t="str">
        <f>$I$16</f>
        <v>Projected</v>
      </c>
      <c r="J122" s="12"/>
      <c r="K122" s="12"/>
    </row>
    <row r="123" ht="15.75" customHeight="1">
      <c r="B123" s="3"/>
      <c r="C123" s="3"/>
      <c r="D123" s="3"/>
      <c r="E123" s="3"/>
      <c r="F123" s="14" t="str">
        <f>$F$17</f>
        <v>Year 1</v>
      </c>
      <c r="G123" s="14" t="str">
        <f>$G$17</f>
        <v>Year 2</v>
      </c>
      <c r="H123" s="15" t="str">
        <f>$H$17</f>
        <v>Year 3</v>
      </c>
      <c r="I123" s="16" t="str">
        <f>$I$17</f>
        <v>Year 4</v>
      </c>
      <c r="J123" s="16" t="str">
        <f>$J$17</f>
        <v>Year 5</v>
      </c>
      <c r="K123" s="16" t="str">
        <f>$K$17</f>
        <v>Year 6</v>
      </c>
    </row>
    <row r="124" ht="15.75" customHeight="1">
      <c r="C124" s="1" t="s">
        <v>90</v>
      </c>
      <c r="F124" s="45"/>
      <c r="G124" s="45"/>
      <c r="H124" s="45"/>
      <c r="I124" s="45"/>
      <c r="J124" s="45"/>
      <c r="K124" s="45"/>
    </row>
    <row r="125" ht="15.75" customHeight="1">
      <c r="C125" s="7" t="s">
        <v>92</v>
      </c>
      <c r="F125" s="18">
        <f t="shared" ref="F125:K125" si="83">+F118</f>
        <v>97.3</v>
      </c>
      <c r="G125" s="18">
        <f t="shared" si="83"/>
        <v>90.35</v>
      </c>
      <c r="H125" s="18">
        <f t="shared" si="83"/>
        <v>88.3382342</v>
      </c>
      <c r="I125" s="18">
        <f t="shared" si="83"/>
        <v>97.61399467</v>
      </c>
      <c r="J125" s="18">
        <f t="shared" si="83"/>
        <v>102.6577932</v>
      </c>
      <c r="K125" s="18">
        <f t="shared" si="83"/>
        <v>112.5672524</v>
      </c>
    </row>
    <row r="126" ht="15.75" customHeight="1">
      <c r="C126" s="46" t="s">
        <v>93</v>
      </c>
      <c r="D126" s="47"/>
      <c r="E126" s="47"/>
      <c r="F126" s="48">
        <f t="shared" ref="F126:K126" si="84">+F119</f>
        <v>-35.25</v>
      </c>
      <c r="G126" s="48">
        <f t="shared" si="84"/>
        <v>-29.375</v>
      </c>
      <c r="H126" s="48">
        <f t="shared" si="84"/>
        <v>-24.74079345</v>
      </c>
      <c r="I126" s="48">
        <f t="shared" si="84"/>
        <v>-29.35593591</v>
      </c>
      <c r="J126" s="48">
        <f t="shared" si="84"/>
        <v>-30.45255818</v>
      </c>
      <c r="K126" s="48">
        <f t="shared" si="84"/>
        <v>-35.33367155</v>
      </c>
    </row>
    <row r="127" ht="15.75" customHeight="1">
      <c r="C127" s="22" t="s">
        <v>94</v>
      </c>
      <c r="F127" s="23">
        <f t="shared" ref="F127:K127" si="85">SUM(F125:F126)</f>
        <v>62.05</v>
      </c>
      <c r="G127" s="23">
        <f t="shared" si="85"/>
        <v>60.975</v>
      </c>
      <c r="H127" s="23">
        <f t="shared" si="85"/>
        <v>63.59744075</v>
      </c>
      <c r="I127" s="23">
        <f t="shared" si="85"/>
        <v>68.25805877</v>
      </c>
      <c r="J127" s="23">
        <f t="shared" si="85"/>
        <v>72.205235</v>
      </c>
      <c r="K127" s="23">
        <f t="shared" si="85"/>
        <v>77.23358086</v>
      </c>
    </row>
    <row r="128" ht="15.75" customHeight="1">
      <c r="F128" s="45"/>
      <c r="G128" s="45"/>
      <c r="H128" s="45"/>
      <c r="I128" s="45"/>
      <c r="J128" s="45"/>
      <c r="K128" s="45"/>
    </row>
    <row r="129" ht="15.75" customHeight="1">
      <c r="C129" s="1" t="s">
        <v>95</v>
      </c>
      <c r="G129" s="21"/>
      <c r="H129" s="21"/>
      <c r="I129" s="21"/>
      <c r="J129" s="21"/>
      <c r="K129" s="21"/>
    </row>
    <row r="130" ht="15.75" customHeight="1">
      <c r="C130" s="7" t="s">
        <v>96</v>
      </c>
      <c r="F130" s="20">
        <v>4.0</v>
      </c>
      <c r="G130" s="20">
        <v>5.5</v>
      </c>
      <c r="H130" s="20">
        <v>6.5</v>
      </c>
      <c r="I130" s="21">
        <f t="shared" ref="I130:K130" si="86">+H130*(1+I159)</f>
        <v>7.475</v>
      </c>
      <c r="J130" s="21">
        <f t="shared" si="86"/>
        <v>8.409375</v>
      </c>
      <c r="K130" s="21">
        <f t="shared" si="86"/>
        <v>9.2503125</v>
      </c>
    </row>
    <row r="131" ht="15.75" customHeight="1">
      <c r="C131" s="7" t="s">
        <v>97</v>
      </c>
      <c r="F131" s="20">
        <v>4.5</v>
      </c>
      <c r="G131" s="20">
        <v>5.0</v>
      </c>
      <c r="H131" s="20">
        <v>5.1</v>
      </c>
      <c r="I131" s="21">
        <f t="shared" ref="I131:K131" si="87">+I160*I21</f>
        <v>5.316481042</v>
      </c>
      <c r="J131" s="21">
        <f t="shared" si="87"/>
        <v>5.529140283</v>
      </c>
      <c r="K131" s="21">
        <f t="shared" si="87"/>
        <v>5.722660193</v>
      </c>
    </row>
    <row r="132" ht="15.75" customHeight="1">
      <c r="C132" s="7" t="s">
        <v>98</v>
      </c>
      <c r="F132" s="20">
        <v>8.0</v>
      </c>
      <c r="G132" s="20">
        <v>8.0</v>
      </c>
      <c r="H132" s="20">
        <v>9.0</v>
      </c>
      <c r="I132" s="21">
        <f t="shared" ref="I132:K132" si="88">+I161*(I24+I36)</f>
        <v>9.173670287</v>
      </c>
      <c r="J132" s="21">
        <f t="shared" si="88"/>
        <v>9.61549884</v>
      </c>
      <c r="K132" s="21">
        <f t="shared" si="88"/>
        <v>10.0322254</v>
      </c>
    </row>
    <row r="133" ht="15.75" customHeight="1">
      <c r="C133" s="7" t="s">
        <v>99</v>
      </c>
      <c r="F133" s="20">
        <v>5.0</v>
      </c>
      <c r="G133" s="20">
        <v>5.5</v>
      </c>
      <c r="H133" s="20">
        <v>6.1</v>
      </c>
      <c r="I133" s="21">
        <f t="shared" ref="I133:K133" si="89">+H133*(1+I162)</f>
        <v>6.71</v>
      </c>
      <c r="J133" s="21">
        <f t="shared" si="89"/>
        <v>7.2468</v>
      </c>
      <c r="K133" s="21">
        <f t="shared" si="89"/>
        <v>7.681608</v>
      </c>
    </row>
    <row r="134" ht="15.75" customHeight="1">
      <c r="C134" s="38" t="s">
        <v>100</v>
      </c>
      <c r="D134" s="25"/>
      <c r="E134" s="25"/>
      <c r="F134" s="26">
        <f t="shared" ref="F134:K134" si="90">SUM(F130:F133)</f>
        <v>21.5</v>
      </c>
      <c r="G134" s="26">
        <f t="shared" si="90"/>
        <v>24</v>
      </c>
      <c r="H134" s="26">
        <f t="shared" si="90"/>
        <v>26.7</v>
      </c>
      <c r="I134" s="26">
        <f t="shared" si="90"/>
        <v>28.67515133</v>
      </c>
      <c r="J134" s="26">
        <f t="shared" si="90"/>
        <v>30.80081412</v>
      </c>
      <c r="K134" s="26">
        <f t="shared" si="90"/>
        <v>32.68680609</v>
      </c>
    </row>
    <row r="135" ht="15.75" customHeight="1">
      <c r="H135" s="18"/>
      <c r="I135" s="21"/>
      <c r="J135" s="21"/>
      <c r="K135" s="21"/>
    </row>
    <row r="136" ht="15.75" customHeight="1">
      <c r="C136" s="1" t="s">
        <v>101</v>
      </c>
      <c r="F136" s="23">
        <f t="shared" ref="F136:K136" si="91">+F127+F134</f>
        <v>83.55</v>
      </c>
      <c r="G136" s="23">
        <f t="shared" si="91"/>
        <v>84.975</v>
      </c>
      <c r="H136" s="23">
        <f t="shared" si="91"/>
        <v>90.29744075</v>
      </c>
      <c r="I136" s="23">
        <f t="shared" si="91"/>
        <v>96.9332101</v>
      </c>
      <c r="J136" s="23">
        <f t="shared" si="91"/>
        <v>103.0060491</v>
      </c>
      <c r="K136" s="23">
        <f t="shared" si="91"/>
        <v>109.920387</v>
      </c>
    </row>
    <row r="137" ht="15.75" customHeight="1">
      <c r="C137" s="1"/>
      <c r="I137" s="21"/>
      <c r="J137" s="21"/>
      <c r="K137" s="21"/>
    </row>
    <row r="138" ht="15.75" customHeight="1">
      <c r="C138" s="1" t="s">
        <v>102</v>
      </c>
      <c r="F138" s="23">
        <f t="shared" ref="F138:K138" si="92">-F62</f>
        <v>-20</v>
      </c>
      <c r="G138" s="23">
        <f t="shared" si="92"/>
        <v>-21</v>
      </c>
      <c r="H138" s="23">
        <f t="shared" si="92"/>
        <v>-23</v>
      </c>
      <c r="I138" s="23">
        <f t="shared" si="92"/>
        <v>-24.72218</v>
      </c>
      <c r="J138" s="23">
        <f t="shared" si="92"/>
        <v>-26.53236491</v>
      </c>
      <c r="K138" s="23">
        <f t="shared" si="92"/>
        <v>-28.47238317</v>
      </c>
    </row>
    <row r="139" ht="15.75" customHeight="1">
      <c r="G139" s="21"/>
      <c r="H139" s="21"/>
      <c r="I139" s="21"/>
      <c r="J139" s="21"/>
      <c r="K139" s="21"/>
    </row>
    <row r="140" ht="15.75" customHeight="1">
      <c r="C140" s="1" t="s">
        <v>103</v>
      </c>
      <c r="G140" s="21"/>
      <c r="H140" s="21"/>
      <c r="I140" s="21"/>
      <c r="J140" s="21"/>
      <c r="K140" s="21"/>
    </row>
    <row r="141" ht="15.75" customHeight="1">
      <c r="C141" s="7" t="s">
        <v>104</v>
      </c>
      <c r="F141" s="20">
        <v>-24.0</v>
      </c>
      <c r="G141" s="20">
        <v>-25.0</v>
      </c>
      <c r="H141" s="20">
        <v>-27.0</v>
      </c>
      <c r="I141" s="21">
        <f t="shared" ref="I141:K141" si="93">-I165*I$136</f>
        <v>-28.44889928</v>
      </c>
      <c r="J141" s="21">
        <f t="shared" si="93"/>
        <v>-30.23121501</v>
      </c>
      <c r="K141" s="21">
        <f t="shared" si="93"/>
        <v>-32.26050199</v>
      </c>
    </row>
    <row r="142" ht="15.75" customHeight="1">
      <c r="C142" s="7" t="s">
        <v>105</v>
      </c>
      <c r="F142" s="20">
        <v>-1.0</v>
      </c>
      <c r="G142" s="20">
        <v>-1.1</v>
      </c>
      <c r="H142" s="20">
        <v>-1.2</v>
      </c>
      <c r="I142" s="21">
        <f t="shared" ref="I142:K142" si="94">-I166*I$136</f>
        <v>-1.234388788</v>
      </c>
      <c r="J142" s="21">
        <f t="shared" si="94"/>
        <v>-1.311722907</v>
      </c>
      <c r="K142" s="21">
        <f t="shared" si="94"/>
        <v>-1.399773031</v>
      </c>
    </row>
    <row r="143" ht="15.75" customHeight="1">
      <c r="C143" s="7" t="s">
        <v>106</v>
      </c>
      <c r="F143" s="20">
        <v>-4.0</v>
      </c>
      <c r="G143" s="20">
        <v>-3.5</v>
      </c>
      <c r="H143" s="20">
        <v>-4.2</v>
      </c>
      <c r="I143" s="21">
        <f t="shared" ref="I143:K143" si="95">-I167*I$136</f>
        <v>-4.380639708</v>
      </c>
      <c r="J143" s="21">
        <f t="shared" si="95"/>
        <v>-4.655085585</v>
      </c>
      <c r="K143" s="21">
        <f t="shared" si="95"/>
        <v>-4.967560771</v>
      </c>
    </row>
    <row r="144" ht="15.75" customHeight="1">
      <c r="C144" s="7" t="s">
        <v>107</v>
      </c>
      <c r="F144" s="20">
        <v>-5.0</v>
      </c>
      <c r="G144" s="20">
        <v>-4.5</v>
      </c>
      <c r="H144" s="20">
        <v>-5.2</v>
      </c>
      <c r="I144" s="21">
        <f t="shared" ref="I144:K144" si="96">-I168*I$136</f>
        <v>-5.505438429</v>
      </c>
      <c r="J144" s="21">
        <f t="shared" si="96"/>
        <v>-5.850352637</v>
      </c>
      <c r="K144" s="21">
        <f t="shared" si="96"/>
        <v>-6.243060783</v>
      </c>
    </row>
    <row r="145" ht="15.75" customHeight="1">
      <c r="C145" s="7" t="s">
        <v>108</v>
      </c>
      <c r="F145" s="20">
        <v>-5.0</v>
      </c>
      <c r="G145" s="20">
        <v>-4.8</v>
      </c>
      <c r="H145" s="20">
        <v>-5.5</v>
      </c>
      <c r="I145" s="21">
        <f t="shared" ref="I145:K145" si="97">-I169*I$136</f>
        <v>-5.726859841</v>
      </c>
      <c r="J145" s="21">
        <f t="shared" si="97"/>
        <v>-6.085646039</v>
      </c>
      <c r="K145" s="21">
        <f t="shared" si="97"/>
        <v>-6.494148385</v>
      </c>
    </row>
    <row r="146" ht="15.75" customHeight="1">
      <c r="C146" s="7" t="s">
        <v>109</v>
      </c>
      <c r="F146" s="20">
        <v>-1.0</v>
      </c>
      <c r="G146" s="20">
        <v>-1.0</v>
      </c>
      <c r="H146" s="20">
        <v>-1.0</v>
      </c>
      <c r="I146" s="21">
        <f t="shared" ref="I146:K146" si="98">-I172</f>
        <v>-1</v>
      </c>
      <c r="J146" s="21">
        <f t="shared" si="98"/>
        <v>-1</v>
      </c>
      <c r="K146" s="21">
        <f t="shared" si="98"/>
        <v>-1</v>
      </c>
    </row>
    <row r="147" ht="15.75" customHeight="1">
      <c r="C147" s="7" t="s">
        <v>110</v>
      </c>
      <c r="F147" s="20">
        <v>0.0</v>
      </c>
      <c r="G147" s="20">
        <v>-1.0</v>
      </c>
      <c r="H147" s="20">
        <v>-1.0</v>
      </c>
      <c r="I147" s="21">
        <f t="shared" ref="I147:K147" si="99">-I173</f>
        <v>0</v>
      </c>
      <c r="J147" s="21">
        <f t="shared" si="99"/>
        <v>0</v>
      </c>
      <c r="K147" s="21">
        <f t="shared" si="99"/>
        <v>0</v>
      </c>
    </row>
    <row r="148" ht="15.75" customHeight="1">
      <c r="C148" s="38" t="s">
        <v>111</v>
      </c>
      <c r="D148" s="25"/>
      <c r="E148" s="25"/>
      <c r="F148" s="26">
        <f t="shared" ref="F148:K148" si="100">SUM(F141:F147)</f>
        <v>-40</v>
      </c>
      <c r="G148" s="26">
        <f t="shared" si="100"/>
        <v>-40.9</v>
      </c>
      <c r="H148" s="26">
        <f t="shared" si="100"/>
        <v>-45.1</v>
      </c>
      <c r="I148" s="26">
        <f t="shared" si="100"/>
        <v>-46.29622604</v>
      </c>
      <c r="J148" s="26">
        <f t="shared" si="100"/>
        <v>-49.13402218</v>
      </c>
      <c r="K148" s="26">
        <f t="shared" si="100"/>
        <v>-52.36504496</v>
      </c>
    </row>
    <row r="149" ht="15.75" customHeight="1">
      <c r="F149" s="49"/>
      <c r="G149" s="49"/>
      <c r="H149" s="49"/>
      <c r="I149" s="21"/>
      <c r="J149" s="21"/>
      <c r="K149" s="21"/>
    </row>
    <row r="150" ht="15.75" customHeight="1">
      <c r="C150" s="1" t="s">
        <v>112</v>
      </c>
      <c r="F150" s="23">
        <f t="shared" ref="F150:K150" si="101">+F136+F138+F148</f>
        <v>23.55</v>
      </c>
      <c r="G150" s="23">
        <f t="shared" si="101"/>
        <v>23.075</v>
      </c>
      <c r="H150" s="23">
        <f t="shared" si="101"/>
        <v>22.19744075</v>
      </c>
      <c r="I150" s="23">
        <f t="shared" si="101"/>
        <v>25.91480405</v>
      </c>
      <c r="J150" s="23">
        <f t="shared" si="101"/>
        <v>27.33966203</v>
      </c>
      <c r="K150" s="23">
        <f t="shared" si="101"/>
        <v>29.08295882</v>
      </c>
    </row>
    <row r="151" ht="15.75" customHeight="1">
      <c r="C151" s="7" t="s">
        <v>113</v>
      </c>
      <c r="F151" s="21">
        <f>-F150*Tax_Rate</f>
        <v>-9.42</v>
      </c>
      <c r="G151" s="21">
        <f>-G150*Tax_Rate</f>
        <v>-9.23</v>
      </c>
      <c r="H151" s="21">
        <f>-H150*Tax_Rate</f>
        <v>-8.878976299</v>
      </c>
      <c r="I151" s="21">
        <f>-I150*Tax_Rate</f>
        <v>-10.36592162</v>
      </c>
      <c r="J151" s="21">
        <f>-J150*Tax_Rate</f>
        <v>-10.93586481</v>
      </c>
      <c r="K151" s="21">
        <f>-K150*Tax_Rate</f>
        <v>-11.63318353</v>
      </c>
    </row>
    <row r="152" ht="15.75" customHeight="1">
      <c r="C152" s="24" t="s">
        <v>114</v>
      </c>
      <c r="D152" s="25"/>
      <c r="E152" s="25"/>
      <c r="F152" s="26">
        <f t="shared" ref="F152:K152" si="102">SUM(F150:F151)</f>
        <v>14.13</v>
      </c>
      <c r="G152" s="26">
        <f t="shared" si="102"/>
        <v>13.845</v>
      </c>
      <c r="H152" s="26">
        <f t="shared" si="102"/>
        <v>13.31846445</v>
      </c>
      <c r="I152" s="26">
        <f t="shared" si="102"/>
        <v>15.54888243</v>
      </c>
      <c r="J152" s="26">
        <f t="shared" si="102"/>
        <v>16.40379722</v>
      </c>
      <c r="K152" s="26">
        <f t="shared" si="102"/>
        <v>17.44977529</v>
      </c>
      <c r="N152" s="49"/>
      <c r="O152" s="49"/>
      <c r="P152" s="49"/>
    </row>
    <row r="153" ht="15.75" customHeight="1">
      <c r="C153" s="46" t="s">
        <v>115</v>
      </c>
      <c r="D153" s="47"/>
      <c r="E153" s="47"/>
      <c r="F153" s="50">
        <v>-5.0</v>
      </c>
      <c r="G153" s="48">
        <f t="shared" ref="G153:K153" si="103">-G177*F47</f>
        <v>-5</v>
      </c>
      <c r="H153" s="48">
        <f t="shared" si="103"/>
        <v>-5.3</v>
      </c>
      <c r="I153" s="48">
        <f t="shared" si="103"/>
        <v>-5.7</v>
      </c>
      <c r="J153" s="48">
        <f t="shared" si="103"/>
        <v>-6.1</v>
      </c>
      <c r="K153" s="48">
        <f t="shared" si="103"/>
        <v>-6.5</v>
      </c>
    </row>
    <row r="154" ht="15.75" customHeight="1">
      <c r="C154" s="1" t="s">
        <v>116</v>
      </c>
      <c r="F154" s="28">
        <f t="shared" ref="F154:K154" si="104">+F152+F153</f>
        <v>9.13</v>
      </c>
      <c r="G154" s="28">
        <f t="shared" si="104"/>
        <v>8.845</v>
      </c>
      <c r="H154" s="28">
        <f t="shared" si="104"/>
        <v>8.018464448</v>
      </c>
      <c r="I154" s="28">
        <f t="shared" si="104"/>
        <v>9.848882431</v>
      </c>
      <c r="J154" s="28">
        <f t="shared" si="104"/>
        <v>10.30379722</v>
      </c>
      <c r="K154" s="28">
        <f t="shared" si="104"/>
        <v>10.94977529</v>
      </c>
    </row>
    <row r="155" ht="15.75" customHeight="1">
      <c r="C155" s="7"/>
      <c r="G155" s="21"/>
      <c r="H155" s="21"/>
      <c r="I155" s="21"/>
      <c r="J155" s="21"/>
      <c r="K155" s="21"/>
    </row>
    <row r="156" ht="15.75" customHeight="1">
      <c r="B156" s="10" t="s">
        <v>117</v>
      </c>
      <c r="C156" s="10"/>
      <c r="D156" s="10"/>
      <c r="E156" s="10"/>
      <c r="F156" s="11" t="str">
        <f>$F$16</f>
        <v>Historical</v>
      </c>
      <c r="G156" s="12"/>
      <c r="H156" s="13"/>
      <c r="I156" s="11" t="str">
        <f>$I$16</f>
        <v>Projected</v>
      </c>
      <c r="J156" s="12"/>
      <c r="K156" s="12"/>
    </row>
    <row r="157" ht="15.75" customHeight="1">
      <c r="B157" s="3"/>
      <c r="C157" s="3"/>
      <c r="D157" s="3"/>
      <c r="E157" s="3"/>
      <c r="F157" s="14" t="str">
        <f>$F$17</f>
        <v>Year 1</v>
      </c>
      <c r="G157" s="14" t="str">
        <f>$G$17</f>
        <v>Year 2</v>
      </c>
      <c r="H157" s="15" t="str">
        <f>$H$17</f>
        <v>Year 3</v>
      </c>
      <c r="I157" s="16" t="str">
        <f>$I$17</f>
        <v>Year 4</v>
      </c>
      <c r="J157" s="16" t="str">
        <f>$J$17</f>
        <v>Year 5</v>
      </c>
      <c r="K157" s="16" t="str">
        <f>$K$17</f>
        <v>Year 6</v>
      </c>
    </row>
    <row r="158" ht="15.75" customHeight="1">
      <c r="C158" s="22" t="s">
        <v>95</v>
      </c>
      <c r="F158" s="32"/>
      <c r="G158" s="32"/>
      <c r="H158" s="32"/>
      <c r="I158" s="32"/>
      <c r="J158" s="45"/>
      <c r="K158" s="32"/>
    </row>
    <row r="159" ht="15.75" customHeight="1">
      <c r="C159" s="7" t="s">
        <v>118</v>
      </c>
      <c r="F159" s="33">
        <v>0.1</v>
      </c>
      <c r="G159" s="34">
        <f t="shared" ref="G159:H159" si="105">+G130/F130-1</f>
        <v>0.375</v>
      </c>
      <c r="H159" s="34">
        <f t="shared" si="105"/>
        <v>0.1818181818</v>
      </c>
      <c r="I159" s="35">
        <v>0.15</v>
      </c>
      <c r="J159" s="35">
        <v>0.125</v>
      </c>
      <c r="K159" s="35">
        <v>0.1</v>
      </c>
    </row>
    <row r="160" ht="15.75" customHeight="1">
      <c r="C160" s="7" t="s">
        <v>119</v>
      </c>
      <c r="F160" s="34">
        <f t="shared" ref="F160:H160" si="106">F131/F21</f>
        <v>0.03</v>
      </c>
      <c r="G160" s="34">
        <f t="shared" si="106"/>
        <v>0.03174603175</v>
      </c>
      <c r="H160" s="34">
        <f t="shared" si="106"/>
        <v>0.0309865573</v>
      </c>
      <c r="I160" s="42">
        <f t="shared" ref="I160:I161" si="109">AVERAGE(F160:H160)</f>
        <v>0.03091086302</v>
      </c>
      <c r="J160" s="42">
        <f t="shared" ref="J160:K160" si="107">+I160</f>
        <v>0.03091086302</v>
      </c>
      <c r="K160" s="42">
        <f t="shared" si="107"/>
        <v>0.03091086302</v>
      </c>
    </row>
    <row r="161" ht="15.75" customHeight="1">
      <c r="C161" s="7" t="s">
        <v>120</v>
      </c>
      <c r="F161" s="37">
        <f t="shared" ref="F161:H161" si="108">F132/(F24+F36)</f>
        <v>0.003493449782</v>
      </c>
      <c r="G161" s="37">
        <f t="shared" si="108"/>
        <v>0.00332593222</v>
      </c>
      <c r="H161" s="37">
        <f t="shared" si="108"/>
        <v>0.003545383388</v>
      </c>
      <c r="I161" s="51">
        <f t="shared" si="109"/>
        <v>0.003454921797</v>
      </c>
      <c r="J161" s="51">
        <f t="shared" ref="J161:K161" si="110">+I161</f>
        <v>0.003454921797</v>
      </c>
      <c r="K161" s="51">
        <f t="shared" si="110"/>
        <v>0.003454921797</v>
      </c>
    </row>
    <row r="162" ht="15.75" customHeight="1">
      <c r="C162" s="7" t="s">
        <v>121</v>
      </c>
      <c r="F162" s="33">
        <v>0.07</v>
      </c>
      <c r="G162" s="34">
        <f t="shared" ref="G162:H162" si="111">+G133/F133-1</f>
        <v>0.1</v>
      </c>
      <c r="H162" s="34">
        <f t="shared" si="111"/>
        <v>0.1090909091</v>
      </c>
      <c r="I162" s="35">
        <v>0.1</v>
      </c>
      <c r="J162" s="35">
        <v>0.08</v>
      </c>
      <c r="K162" s="35">
        <v>0.06</v>
      </c>
    </row>
    <row r="163" ht="15.75" customHeight="1">
      <c r="F163" s="36"/>
      <c r="G163" s="37"/>
      <c r="H163" s="37"/>
      <c r="I163" s="37"/>
      <c r="J163" s="52"/>
      <c r="K163" s="36"/>
    </row>
    <row r="164" ht="15.75" customHeight="1">
      <c r="C164" s="1" t="s">
        <v>122</v>
      </c>
      <c r="J164" s="1"/>
    </row>
    <row r="165" ht="15.75" customHeight="1">
      <c r="C165" s="7" t="s">
        <v>123</v>
      </c>
      <c r="F165" s="34">
        <f t="shared" ref="F165:H165" si="112">-F141/F$136</f>
        <v>0.2872531418</v>
      </c>
      <c r="G165" s="34">
        <f t="shared" si="112"/>
        <v>0.2942041777</v>
      </c>
      <c r="H165" s="34">
        <f t="shared" si="112"/>
        <v>0.2990117968</v>
      </c>
      <c r="I165" s="42">
        <f t="shared" ref="I165:I169" si="115">AVERAGE(F165:H165)</f>
        <v>0.2934897054</v>
      </c>
      <c r="J165" s="42">
        <f t="shared" ref="J165:K165" si="113">+I165</f>
        <v>0.2934897054</v>
      </c>
      <c r="K165" s="42">
        <f t="shared" si="113"/>
        <v>0.2934897054</v>
      </c>
    </row>
    <row r="166" ht="15.75" customHeight="1">
      <c r="C166" s="7" t="s">
        <v>124</v>
      </c>
      <c r="F166" s="34">
        <f t="shared" ref="F166:H166" si="114">-F142/F$136</f>
        <v>0.01196888091</v>
      </c>
      <c r="G166" s="34">
        <f t="shared" si="114"/>
        <v>0.01294498382</v>
      </c>
      <c r="H166" s="34">
        <f t="shared" si="114"/>
        <v>0.01328941319</v>
      </c>
      <c r="I166" s="42">
        <f t="shared" si="115"/>
        <v>0.01273442597</v>
      </c>
      <c r="J166" s="42">
        <f t="shared" ref="J166:K166" si="116">+I166</f>
        <v>0.01273442597</v>
      </c>
      <c r="K166" s="42">
        <f t="shared" si="116"/>
        <v>0.01273442597</v>
      </c>
    </row>
    <row r="167" ht="15.75" customHeight="1">
      <c r="C167" s="7" t="s">
        <v>125</v>
      </c>
      <c r="F167" s="34">
        <f t="shared" ref="F167:H167" si="117">-F143/F$136</f>
        <v>0.04787552364</v>
      </c>
      <c r="G167" s="34">
        <f t="shared" si="117"/>
        <v>0.04118858488</v>
      </c>
      <c r="H167" s="34">
        <f t="shared" si="117"/>
        <v>0.04651294616</v>
      </c>
      <c r="I167" s="42">
        <f t="shared" si="115"/>
        <v>0.04519235156</v>
      </c>
      <c r="J167" s="42">
        <f t="shared" ref="J167:K167" si="118">+I167</f>
        <v>0.04519235156</v>
      </c>
      <c r="K167" s="42">
        <f t="shared" si="118"/>
        <v>0.04519235156</v>
      </c>
    </row>
    <row r="168" ht="15.75" customHeight="1">
      <c r="C168" s="7" t="s">
        <v>126</v>
      </c>
      <c r="F168" s="34">
        <f t="shared" ref="F168:H168" si="119">-F144/F$136</f>
        <v>0.05984440455</v>
      </c>
      <c r="G168" s="34">
        <f t="shared" si="119"/>
        <v>0.05295675199</v>
      </c>
      <c r="H168" s="34">
        <f t="shared" si="119"/>
        <v>0.05758745715</v>
      </c>
      <c r="I168" s="42">
        <f t="shared" si="115"/>
        <v>0.05679620456</v>
      </c>
      <c r="J168" s="42">
        <f t="shared" ref="J168:K168" si="120">+I168</f>
        <v>0.05679620456</v>
      </c>
      <c r="K168" s="42">
        <f t="shared" si="120"/>
        <v>0.05679620456</v>
      </c>
    </row>
    <row r="169" ht="15.75" customHeight="1">
      <c r="C169" s="7" t="s">
        <v>127</v>
      </c>
      <c r="F169" s="34">
        <f t="shared" ref="F169:H169" si="121">-F145/F$136</f>
        <v>0.05984440455</v>
      </c>
      <c r="G169" s="34">
        <f t="shared" si="121"/>
        <v>0.05648720212</v>
      </c>
      <c r="H169" s="34">
        <f t="shared" si="121"/>
        <v>0.06090981045</v>
      </c>
      <c r="I169" s="42">
        <f t="shared" si="115"/>
        <v>0.05908047237</v>
      </c>
      <c r="J169" s="42">
        <f t="shared" ref="J169:K169" si="122">+I169</f>
        <v>0.05908047237</v>
      </c>
      <c r="K169" s="42">
        <f t="shared" si="122"/>
        <v>0.05908047237</v>
      </c>
    </row>
    <row r="170" ht="15.75" customHeight="1">
      <c r="C170" s="7"/>
      <c r="J170" s="1"/>
    </row>
    <row r="171" ht="15.75" customHeight="1">
      <c r="C171" s="1" t="s">
        <v>128</v>
      </c>
      <c r="J171" s="1"/>
    </row>
    <row r="172" ht="15.75" customHeight="1">
      <c r="C172" s="7" t="s">
        <v>129</v>
      </c>
      <c r="F172" s="21">
        <f t="shared" ref="F172:H172" si="123">-F146</f>
        <v>1</v>
      </c>
      <c r="G172" s="53">
        <f t="shared" si="123"/>
        <v>1</v>
      </c>
      <c r="H172" s="53">
        <f t="shared" si="123"/>
        <v>1</v>
      </c>
      <c r="I172" s="54">
        <v>1.0</v>
      </c>
      <c r="J172" s="54">
        <v>1.0</v>
      </c>
      <c r="K172" s="54">
        <v>1.0</v>
      </c>
    </row>
    <row r="173" ht="15.75" customHeight="1">
      <c r="C173" s="7" t="s">
        <v>130</v>
      </c>
      <c r="F173" s="21">
        <f t="shared" ref="F173:H173" si="124">-F147</f>
        <v>0</v>
      </c>
      <c r="G173" s="53">
        <f t="shared" si="124"/>
        <v>1</v>
      </c>
      <c r="H173" s="53">
        <f t="shared" si="124"/>
        <v>1</v>
      </c>
      <c r="I173" s="54">
        <v>0.0</v>
      </c>
      <c r="J173" s="54">
        <v>0.0</v>
      </c>
      <c r="K173" s="54">
        <v>0.0</v>
      </c>
    </row>
    <row r="174" ht="15.75" customHeight="1">
      <c r="C174" s="7"/>
      <c r="F174" s="34"/>
      <c r="G174" s="34"/>
      <c r="H174" s="34"/>
      <c r="I174" s="34"/>
      <c r="J174" s="34"/>
      <c r="K174" s="34"/>
    </row>
    <row r="175" ht="15.75" customHeight="1">
      <c r="C175" s="7" t="s">
        <v>131</v>
      </c>
      <c r="F175" s="34">
        <f t="shared" ref="F175:H175" si="125">-F202/F136</f>
        <v>0.01795332136</v>
      </c>
      <c r="G175" s="34">
        <f t="shared" si="125"/>
        <v>0.02353633422</v>
      </c>
      <c r="H175" s="34">
        <f t="shared" si="125"/>
        <v>0.02768627748</v>
      </c>
      <c r="I175" s="35">
        <v>0.03</v>
      </c>
      <c r="J175" s="35">
        <v>0.032</v>
      </c>
      <c r="K175" s="35">
        <v>0.034</v>
      </c>
    </row>
    <row r="176" ht="15.75" customHeight="1">
      <c r="C176" s="7" t="s">
        <v>132</v>
      </c>
      <c r="F176" s="21">
        <f t="shared" ref="F176:H176" si="126">+F211</f>
        <v>2</v>
      </c>
      <c r="G176" s="21">
        <f t="shared" si="126"/>
        <v>3</v>
      </c>
      <c r="H176" s="21">
        <f t="shared" si="126"/>
        <v>4</v>
      </c>
      <c r="I176" s="54">
        <v>4.0</v>
      </c>
      <c r="J176" s="54">
        <v>4.0</v>
      </c>
      <c r="K176" s="54">
        <v>5.0</v>
      </c>
    </row>
    <row r="177" ht="15.75" customHeight="1">
      <c r="C177" s="7" t="s">
        <v>133</v>
      </c>
      <c r="F177" s="33">
        <v>0.1</v>
      </c>
      <c r="G177" s="33">
        <v>0.1</v>
      </c>
      <c r="H177" s="33">
        <v>0.1</v>
      </c>
      <c r="I177" s="42">
        <f t="shared" ref="I177:K177" si="127">+H177</f>
        <v>0.1</v>
      </c>
      <c r="J177" s="42">
        <f t="shared" si="127"/>
        <v>0.1</v>
      </c>
      <c r="K177" s="42">
        <f t="shared" si="127"/>
        <v>0.1</v>
      </c>
    </row>
    <row r="178" ht="15.75" customHeight="1">
      <c r="C178" s="7"/>
      <c r="G178" s="21"/>
      <c r="H178" s="21"/>
      <c r="I178" s="21"/>
      <c r="J178" s="21"/>
      <c r="K178" s="21"/>
    </row>
    <row r="179" ht="15.75" customHeight="1">
      <c r="C179" s="7" t="s">
        <v>134</v>
      </c>
      <c r="F179" s="21">
        <f t="shared" ref="F179:H179" si="128">+F213</f>
        <v>3</v>
      </c>
      <c r="G179" s="21">
        <f t="shared" si="128"/>
        <v>4</v>
      </c>
      <c r="H179" s="21">
        <f t="shared" si="128"/>
        <v>3</v>
      </c>
      <c r="I179" s="54">
        <v>4.0</v>
      </c>
      <c r="J179" s="54">
        <v>5.0</v>
      </c>
      <c r="K179" s="54">
        <v>5.0</v>
      </c>
    </row>
    <row r="180" ht="15.75" customHeight="1">
      <c r="C180" s="7" t="s">
        <v>135</v>
      </c>
      <c r="F180" s="21">
        <f t="shared" ref="F180:H180" si="129">+F214</f>
        <v>-1</v>
      </c>
      <c r="G180" s="21">
        <f t="shared" si="129"/>
        <v>-2</v>
      </c>
      <c r="H180" s="21">
        <f t="shared" si="129"/>
        <v>-1</v>
      </c>
      <c r="I180" s="54">
        <v>-1.0</v>
      </c>
      <c r="J180" s="54">
        <v>-2.0</v>
      </c>
      <c r="K180" s="54">
        <v>-2.0</v>
      </c>
    </row>
    <row r="181" ht="15.75" customHeight="1">
      <c r="C181" s="7"/>
      <c r="G181" s="21"/>
      <c r="H181" s="21"/>
      <c r="I181" s="21"/>
      <c r="J181" s="21"/>
      <c r="K181" s="21"/>
    </row>
    <row r="182" ht="15.75" customHeight="1">
      <c r="B182" s="10" t="s">
        <v>136</v>
      </c>
      <c r="C182" s="10"/>
      <c r="D182" s="10"/>
      <c r="E182" s="10"/>
      <c r="F182" s="11" t="str">
        <f>$F$16</f>
        <v>Historical</v>
      </c>
      <c r="G182" s="12"/>
      <c r="H182" s="13"/>
      <c r="I182" s="11" t="str">
        <f>$I$16</f>
        <v>Projected</v>
      </c>
      <c r="J182" s="12"/>
      <c r="K182" s="12"/>
    </row>
    <row r="183" ht="15.75" customHeight="1">
      <c r="B183" s="3"/>
      <c r="C183" s="3"/>
      <c r="D183" s="3"/>
      <c r="E183" s="3"/>
      <c r="F183" s="14" t="str">
        <f>$F$17</f>
        <v>Year 1</v>
      </c>
      <c r="G183" s="14" t="str">
        <f>$G$17</f>
        <v>Year 2</v>
      </c>
      <c r="H183" s="15" t="str">
        <f>$H$17</f>
        <v>Year 3</v>
      </c>
      <c r="I183" s="16" t="str">
        <f>$I$17</f>
        <v>Year 4</v>
      </c>
      <c r="J183" s="16" t="str">
        <f>$J$17</f>
        <v>Year 5</v>
      </c>
      <c r="K183" s="16" t="str">
        <f>$K$17</f>
        <v>Year 6</v>
      </c>
    </row>
    <row r="184" ht="15.75" customHeight="1">
      <c r="B184" s="1" t="s">
        <v>137</v>
      </c>
      <c r="C184" s="1"/>
    </row>
    <row r="185" ht="15.75" customHeight="1">
      <c r="C185" s="22" t="s">
        <v>116</v>
      </c>
      <c r="F185" s="28">
        <f t="shared" ref="F185:K185" si="130">+F154</f>
        <v>9.13</v>
      </c>
      <c r="G185" s="28">
        <f t="shared" si="130"/>
        <v>8.845</v>
      </c>
      <c r="H185" s="28">
        <f t="shared" si="130"/>
        <v>8.018464448</v>
      </c>
      <c r="I185" s="28">
        <f t="shared" si="130"/>
        <v>9.848882431</v>
      </c>
      <c r="J185" s="28">
        <f t="shared" si="130"/>
        <v>10.30379722</v>
      </c>
      <c r="K185" s="28">
        <f t="shared" si="130"/>
        <v>10.94977529</v>
      </c>
    </row>
    <row r="186" ht="15.75" customHeight="1">
      <c r="C186" s="22" t="s">
        <v>138</v>
      </c>
      <c r="F186" s="28"/>
      <c r="G186" s="28"/>
      <c r="H186" s="28"/>
      <c r="I186" s="28"/>
      <c r="J186" s="28"/>
      <c r="K186" s="28"/>
    </row>
    <row r="187" ht="15.75" customHeight="1">
      <c r="C187" s="7" t="s">
        <v>52</v>
      </c>
      <c r="F187" s="21">
        <f t="shared" ref="F187:K187" si="131">-F138</f>
        <v>20</v>
      </c>
      <c r="G187" s="21">
        <f t="shared" si="131"/>
        <v>21</v>
      </c>
      <c r="H187" s="21">
        <f t="shared" si="131"/>
        <v>23</v>
      </c>
      <c r="I187" s="21">
        <f t="shared" si="131"/>
        <v>24.72218</v>
      </c>
      <c r="J187" s="21">
        <f t="shared" si="131"/>
        <v>26.53236491</v>
      </c>
      <c r="K187" s="21">
        <f t="shared" si="131"/>
        <v>28.47238317</v>
      </c>
    </row>
    <row r="188" ht="15.75" customHeight="1">
      <c r="C188" s="7" t="s">
        <v>139</v>
      </c>
      <c r="F188" s="21">
        <f t="shared" ref="F188:K188" si="132">-F142</f>
        <v>1</v>
      </c>
      <c r="G188" s="21">
        <f t="shared" si="132"/>
        <v>1.1</v>
      </c>
      <c r="H188" s="21">
        <f t="shared" si="132"/>
        <v>1.2</v>
      </c>
      <c r="I188" s="21">
        <f t="shared" si="132"/>
        <v>1.234388788</v>
      </c>
      <c r="J188" s="21">
        <f t="shared" si="132"/>
        <v>1.311722907</v>
      </c>
      <c r="K188" s="21">
        <f t="shared" si="132"/>
        <v>1.399773031</v>
      </c>
    </row>
    <row r="189" ht="15.75" customHeight="1">
      <c r="C189" s="7" t="s">
        <v>140</v>
      </c>
      <c r="F189" s="21">
        <f t="shared" ref="F189:K189" si="133">-F146</f>
        <v>1</v>
      </c>
      <c r="G189" s="21">
        <f t="shared" si="133"/>
        <v>1</v>
      </c>
      <c r="H189" s="21">
        <f t="shared" si="133"/>
        <v>1</v>
      </c>
      <c r="I189" s="21">
        <f t="shared" si="133"/>
        <v>1</v>
      </c>
      <c r="J189" s="21">
        <f t="shared" si="133"/>
        <v>1</v>
      </c>
      <c r="K189" s="21">
        <f t="shared" si="133"/>
        <v>1</v>
      </c>
    </row>
    <row r="190" ht="15.75" customHeight="1">
      <c r="C190" s="7" t="s">
        <v>141</v>
      </c>
      <c r="F190" s="21">
        <f t="shared" ref="F190:K190" si="134">-F147</f>
        <v>0</v>
      </c>
      <c r="G190" s="21">
        <f t="shared" si="134"/>
        <v>1</v>
      </c>
      <c r="H190" s="21">
        <f t="shared" si="134"/>
        <v>1</v>
      </c>
      <c r="I190" s="21">
        <f t="shared" si="134"/>
        <v>0</v>
      </c>
      <c r="J190" s="21">
        <f t="shared" si="134"/>
        <v>0</v>
      </c>
      <c r="K190" s="21">
        <f t="shared" si="134"/>
        <v>0</v>
      </c>
    </row>
    <row r="191" ht="15.75" customHeight="1">
      <c r="C191" s="22" t="s">
        <v>142</v>
      </c>
      <c r="F191" s="27"/>
      <c r="G191" s="27"/>
      <c r="H191" s="27"/>
      <c r="I191" s="21"/>
      <c r="J191" s="21"/>
      <c r="K191" s="21"/>
    </row>
    <row r="192" ht="15.75" customHeight="1">
      <c r="C192" s="7" t="s">
        <v>24</v>
      </c>
      <c r="F192" s="20">
        <v>-55.0</v>
      </c>
      <c r="G192" s="21">
        <f t="shared" ref="G192:K192" si="135">+F24-G24+G63+G64</f>
        <v>-66</v>
      </c>
      <c r="H192" s="21">
        <f t="shared" si="135"/>
        <v>-69.96</v>
      </c>
      <c r="I192" s="21">
        <f t="shared" si="135"/>
        <v>-67.9778</v>
      </c>
      <c r="J192" s="21">
        <f t="shared" si="135"/>
        <v>-71.716579</v>
      </c>
      <c r="K192" s="21">
        <f t="shared" si="135"/>
        <v>-68.78271895</v>
      </c>
    </row>
    <row r="193" ht="15.75" customHeight="1">
      <c r="C193" s="7" t="s">
        <v>21</v>
      </c>
      <c r="F193" s="20">
        <v>-25.0</v>
      </c>
      <c r="G193" s="21">
        <f t="shared" ref="G193:K193" si="136">+F20-G20</f>
        <v>-23.0539033</v>
      </c>
      <c r="H193" s="21">
        <f t="shared" si="136"/>
        <v>-11.70851147</v>
      </c>
      <c r="I193" s="21">
        <f t="shared" si="136"/>
        <v>-19.44784927</v>
      </c>
      <c r="J193" s="21">
        <f t="shared" si="136"/>
        <v>-20.27310637</v>
      </c>
      <c r="K193" s="21">
        <f t="shared" si="136"/>
        <v>-22.01441613</v>
      </c>
    </row>
    <row r="194" ht="15.75" customHeight="1">
      <c r="C194" s="7" t="s">
        <v>22</v>
      </c>
      <c r="F194" s="20">
        <v>-6.0</v>
      </c>
      <c r="G194" s="21">
        <f t="shared" ref="G194:K194" si="137">+F21-G21</f>
        <v>-7.5</v>
      </c>
      <c r="H194" s="21">
        <f t="shared" si="137"/>
        <v>-7.0875</v>
      </c>
      <c r="I194" s="21">
        <f t="shared" si="137"/>
        <v>-7.4064375</v>
      </c>
      <c r="J194" s="21">
        <f t="shared" si="137"/>
        <v>-6.8797575</v>
      </c>
      <c r="K194" s="21">
        <f t="shared" si="137"/>
        <v>-6.260579325</v>
      </c>
    </row>
    <row r="195" ht="15.75" customHeight="1">
      <c r="C195" s="7" t="s">
        <v>30</v>
      </c>
      <c r="F195" s="20">
        <v>-3.0</v>
      </c>
      <c r="G195" s="21">
        <f t="shared" ref="G195:K195" si="138">+F31-G31</f>
        <v>-2</v>
      </c>
      <c r="H195" s="21">
        <f t="shared" si="138"/>
        <v>-2.09</v>
      </c>
      <c r="I195" s="21">
        <f t="shared" si="138"/>
        <v>-2.28855</v>
      </c>
      <c r="J195" s="21">
        <f t="shared" si="138"/>
        <v>-2.3740695</v>
      </c>
      <c r="K195" s="21">
        <f t="shared" si="138"/>
        <v>-2.587735755</v>
      </c>
    </row>
    <row r="196" ht="15.75" customHeight="1">
      <c r="C196" s="7" t="s">
        <v>33</v>
      </c>
      <c r="F196" s="20">
        <v>56.0</v>
      </c>
      <c r="G196" s="21">
        <f t="shared" ref="G196:K196" si="139">+G36-F36</f>
        <v>59.34065934</v>
      </c>
      <c r="H196" s="21">
        <f t="shared" si="139"/>
        <v>73.21182685</v>
      </c>
      <c r="I196" s="21">
        <f t="shared" si="139"/>
        <v>59.24843572</v>
      </c>
      <c r="J196" s="21">
        <f t="shared" si="139"/>
        <v>67.03286348</v>
      </c>
      <c r="K196" s="21">
        <f t="shared" si="139"/>
        <v>63.22446648</v>
      </c>
    </row>
    <row r="197" ht="15.75" customHeight="1">
      <c r="C197" s="7" t="s">
        <v>34</v>
      </c>
      <c r="F197" s="20">
        <v>0.0</v>
      </c>
      <c r="G197" s="21">
        <f t="shared" ref="G197:K197" si="140">+G37-F37</f>
        <v>0</v>
      </c>
      <c r="H197" s="21">
        <f t="shared" si="140"/>
        <v>0</v>
      </c>
      <c r="I197" s="21">
        <f t="shared" si="140"/>
        <v>0</v>
      </c>
      <c r="J197" s="21">
        <f t="shared" si="140"/>
        <v>0</v>
      </c>
      <c r="K197" s="21">
        <f t="shared" si="140"/>
        <v>0</v>
      </c>
    </row>
    <row r="198" ht="15.75" customHeight="1">
      <c r="C198" s="7" t="s">
        <v>35</v>
      </c>
      <c r="F198" s="20">
        <v>4.0</v>
      </c>
      <c r="G198" s="21">
        <f t="shared" ref="G198:K198" si="141">+G38-F38</f>
        <v>5.125</v>
      </c>
      <c r="H198" s="21">
        <f t="shared" si="141"/>
        <v>-2.457</v>
      </c>
      <c r="I198" s="21">
        <f t="shared" si="141"/>
        <v>4.854416875</v>
      </c>
      <c r="J198" s="21">
        <f t="shared" si="141"/>
        <v>2.300896675</v>
      </c>
      <c r="K198" s="21">
        <f t="shared" si="141"/>
        <v>2.093815974</v>
      </c>
    </row>
    <row r="199" ht="15.75" customHeight="1">
      <c r="C199" s="24" t="s">
        <v>143</v>
      </c>
      <c r="D199" s="25"/>
      <c r="E199" s="25"/>
      <c r="F199" s="26">
        <f t="shared" ref="F199:K199" si="142">SUM(F185:F198)</f>
        <v>2.13</v>
      </c>
      <c r="G199" s="26">
        <f t="shared" si="142"/>
        <v>-1.143243956</v>
      </c>
      <c r="H199" s="26">
        <f t="shared" si="142"/>
        <v>14.12727982</v>
      </c>
      <c r="I199" s="26">
        <f t="shared" si="142"/>
        <v>3.78766705</v>
      </c>
      <c r="J199" s="26">
        <f t="shared" si="142"/>
        <v>7.238132813</v>
      </c>
      <c r="K199" s="26">
        <f t="shared" si="142"/>
        <v>7.494763788</v>
      </c>
    </row>
    <row r="200" ht="15.75" customHeight="1">
      <c r="H200" s="27"/>
      <c r="I200" s="27"/>
      <c r="J200" s="55"/>
      <c r="K200" s="55"/>
    </row>
    <row r="201" ht="15.75" customHeight="1">
      <c r="C201" s="1" t="s">
        <v>144</v>
      </c>
      <c r="H201" s="27"/>
      <c r="I201" s="27"/>
      <c r="J201" s="55"/>
    </row>
    <row r="202" ht="15.75" customHeight="1">
      <c r="C202" s="7" t="s">
        <v>145</v>
      </c>
      <c r="F202" s="20">
        <v>-1.5</v>
      </c>
      <c r="G202" s="20">
        <v>-2.0</v>
      </c>
      <c r="H202" s="20">
        <v>-2.5</v>
      </c>
      <c r="I202" s="21">
        <f t="shared" ref="I202:K202" si="143">-I175*I136</f>
        <v>-2.907996303</v>
      </c>
      <c r="J202" s="21">
        <f t="shared" si="143"/>
        <v>-3.296193572</v>
      </c>
      <c r="K202" s="21">
        <f t="shared" si="143"/>
        <v>-3.737293156</v>
      </c>
    </row>
    <row r="203" ht="15.75" customHeight="1">
      <c r="C203" s="7" t="s">
        <v>146</v>
      </c>
      <c r="F203" s="20">
        <v>-5.0</v>
      </c>
      <c r="G203" s="21">
        <f t="shared" ref="G203:K203" si="144">+F22-G22</f>
        <v>-6</v>
      </c>
      <c r="H203" s="21">
        <f t="shared" si="144"/>
        <v>-5.85</v>
      </c>
      <c r="I203" s="21">
        <f t="shared" si="144"/>
        <v>-6.069375</v>
      </c>
      <c r="J203" s="21">
        <f t="shared" si="144"/>
        <v>-5.877178125</v>
      </c>
      <c r="K203" s="21">
        <f t="shared" si="144"/>
        <v>-6.082879359</v>
      </c>
    </row>
    <row r="204" ht="15.75" customHeight="1">
      <c r="C204" s="24" t="s">
        <v>147</v>
      </c>
      <c r="D204" s="25"/>
      <c r="E204" s="25"/>
      <c r="F204" s="26">
        <f t="shared" ref="F204:K204" si="145">SUM(F202:F203)</f>
        <v>-6.5</v>
      </c>
      <c r="G204" s="26">
        <f t="shared" si="145"/>
        <v>-8</v>
      </c>
      <c r="H204" s="26">
        <f t="shared" si="145"/>
        <v>-8.35</v>
      </c>
      <c r="I204" s="26">
        <f t="shared" si="145"/>
        <v>-8.977371303</v>
      </c>
      <c r="J204" s="26">
        <f t="shared" si="145"/>
        <v>-9.173371697</v>
      </c>
      <c r="K204" s="26">
        <f t="shared" si="145"/>
        <v>-9.820172516</v>
      </c>
    </row>
    <row r="205" ht="15.75" customHeight="1">
      <c r="H205" s="27"/>
      <c r="I205" s="27"/>
      <c r="J205" s="55"/>
    </row>
    <row r="206" ht="15.75" customHeight="1">
      <c r="C206" s="1" t="s">
        <v>148</v>
      </c>
      <c r="H206" s="27"/>
      <c r="I206" s="27"/>
      <c r="J206" s="55"/>
    </row>
    <row r="207" ht="15.75" customHeight="1">
      <c r="C207" s="7" t="s">
        <v>36</v>
      </c>
      <c r="F207" s="20">
        <v>6.0</v>
      </c>
      <c r="G207" s="21">
        <f t="shared" ref="G207:K207" si="146">+G39-F39</f>
        <v>7.3</v>
      </c>
      <c r="H207" s="21">
        <f t="shared" si="146"/>
        <v>-0.0169</v>
      </c>
      <c r="I207" s="21">
        <f t="shared" si="146"/>
        <v>3.097638692</v>
      </c>
      <c r="J207" s="21">
        <f t="shared" si="146"/>
        <v>2.908098242</v>
      </c>
      <c r="K207" s="21">
        <f t="shared" si="146"/>
        <v>2.7428779</v>
      </c>
    </row>
    <row r="208" ht="15.75" customHeight="1">
      <c r="C208" s="7" t="s">
        <v>37</v>
      </c>
      <c r="F208" s="20">
        <v>3.0</v>
      </c>
      <c r="G208" s="21">
        <f t="shared" ref="G208:K208" si="147">+G40-F40</f>
        <v>3.65</v>
      </c>
      <c r="H208" s="21">
        <f t="shared" si="147"/>
        <v>-2.11888</v>
      </c>
      <c r="I208" s="21">
        <f t="shared" si="147"/>
        <v>2.92223921</v>
      </c>
      <c r="J208" s="21">
        <f t="shared" si="147"/>
        <v>1.418552737</v>
      </c>
      <c r="K208" s="21">
        <f t="shared" si="147"/>
        <v>1.337959253</v>
      </c>
    </row>
    <row r="209" ht="15.75" customHeight="1">
      <c r="C209" s="7" t="s">
        <v>38</v>
      </c>
      <c r="F209" s="20">
        <v>3.0</v>
      </c>
      <c r="G209" s="21">
        <f t="shared" ref="G209:K209" si="148">+G41-F41</f>
        <v>1.931</v>
      </c>
      <c r="H209" s="21">
        <f t="shared" si="148"/>
        <v>-1.00286</v>
      </c>
      <c r="I209" s="21">
        <f t="shared" si="148"/>
        <v>2.682921911</v>
      </c>
      <c r="J209" s="21">
        <f t="shared" si="148"/>
        <v>1.377985441</v>
      </c>
      <c r="K209" s="21">
        <f t="shared" si="148"/>
        <v>1.299696743</v>
      </c>
    </row>
    <row r="210" ht="15.75" customHeight="1">
      <c r="C210" s="7" t="s">
        <v>39</v>
      </c>
      <c r="F210" s="20">
        <v>2.0</v>
      </c>
      <c r="G210" s="21">
        <f t="shared" ref="G210:K210" si="149">+G42-F42</f>
        <v>3.3062</v>
      </c>
      <c r="H210" s="21">
        <f t="shared" si="149"/>
        <v>-1.413292</v>
      </c>
      <c r="I210" s="21">
        <f t="shared" si="149"/>
        <v>2.56045121</v>
      </c>
      <c r="J210" s="21">
        <f t="shared" si="149"/>
        <v>1.418552737</v>
      </c>
      <c r="K210" s="21">
        <f t="shared" si="149"/>
        <v>1.337959253</v>
      </c>
    </row>
    <row r="211" ht="15.75" customHeight="1">
      <c r="C211" s="7" t="s">
        <v>43</v>
      </c>
      <c r="F211" s="20">
        <v>2.0</v>
      </c>
      <c r="G211" s="20">
        <v>3.0</v>
      </c>
      <c r="H211" s="20">
        <v>4.0</v>
      </c>
      <c r="I211" s="21">
        <f t="shared" ref="I211:K211" si="150">+I176</f>
        <v>4</v>
      </c>
      <c r="J211" s="21">
        <f t="shared" si="150"/>
        <v>4</v>
      </c>
      <c r="K211" s="21">
        <f t="shared" si="150"/>
        <v>5</v>
      </c>
    </row>
    <row r="212" ht="15.75" customHeight="1">
      <c r="C212" s="7" t="s">
        <v>149</v>
      </c>
      <c r="F212" s="20">
        <v>-5.0</v>
      </c>
      <c r="G212" s="20">
        <v>-5.0</v>
      </c>
      <c r="H212" s="20">
        <v>-5.0</v>
      </c>
      <c r="I212" s="21">
        <f t="shared" ref="I212:K212" si="151">-I257</f>
        <v>-6.204795931</v>
      </c>
      <c r="J212" s="21">
        <f t="shared" si="151"/>
        <v>-6.59443022</v>
      </c>
      <c r="K212" s="21">
        <f t="shared" si="151"/>
        <v>-7.117353941</v>
      </c>
    </row>
    <row r="213" ht="15.75" customHeight="1">
      <c r="C213" s="7" t="s">
        <v>150</v>
      </c>
      <c r="F213" s="20">
        <v>3.0</v>
      </c>
      <c r="G213" s="20">
        <v>4.0</v>
      </c>
      <c r="H213" s="20">
        <v>3.0</v>
      </c>
      <c r="I213" s="21">
        <f t="shared" ref="I213:K213" si="152">+I179</f>
        <v>4</v>
      </c>
      <c r="J213" s="21">
        <f t="shared" si="152"/>
        <v>5</v>
      </c>
      <c r="K213" s="21">
        <f t="shared" si="152"/>
        <v>5</v>
      </c>
    </row>
    <row r="214" ht="15.75" customHeight="1">
      <c r="C214" s="7" t="s">
        <v>151</v>
      </c>
      <c r="F214" s="20">
        <v>-1.0</v>
      </c>
      <c r="G214" s="20">
        <v>-2.0</v>
      </c>
      <c r="H214" s="20">
        <v>-1.0</v>
      </c>
      <c r="I214" s="21">
        <f t="shared" ref="I214:K214" si="153">+I180</f>
        <v>-1</v>
      </c>
      <c r="J214" s="21">
        <f t="shared" si="153"/>
        <v>-2</v>
      </c>
      <c r="K214" s="21">
        <f t="shared" si="153"/>
        <v>-2</v>
      </c>
    </row>
    <row r="215" ht="15.75" customHeight="1">
      <c r="C215" s="24" t="s">
        <v>152</v>
      </c>
      <c r="D215" s="25"/>
      <c r="E215" s="25"/>
      <c r="F215" s="26">
        <f t="shared" ref="F215:K215" si="154">SUM(F207:F214)</f>
        <v>13</v>
      </c>
      <c r="G215" s="26">
        <f t="shared" si="154"/>
        <v>16.1872</v>
      </c>
      <c r="H215" s="26">
        <f t="shared" si="154"/>
        <v>-3.551932</v>
      </c>
      <c r="I215" s="26">
        <f t="shared" si="154"/>
        <v>12.05845509</v>
      </c>
      <c r="J215" s="26">
        <f t="shared" si="154"/>
        <v>7.528758936</v>
      </c>
      <c r="K215" s="26">
        <f t="shared" si="154"/>
        <v>7.601139208</v>
      </c>
    </row>
    <row r="216" ht="15.75" customHeight="1"/>
    <row r="217" ht="15.75" customHeight="1">
      <c r="C217" s="1" t="s">
        <v>153</v>
      </c>
      <c r="F217" s="23">
        <f t="shared" ref="F217:K217" si="155">+F199+F204+F215</f>
        <v>8.63</v>
      </c>
      <c r="G217" s="23">
        <f t="shared" si="155"/>
        <v>7.043956044</v>
      </c>
      <c r="H217" s="23">
        <f t="shared" si="155"/>
        <v>2.225347823</v>
      </c>
      <c r="I217" s="23">
        <f t="shared" si="155"/>
        <v>6.868750839</v>
      </c>
      <c r="J217" s="23">
        <f t="shared" si="155"/>
        <v>5.593520053</v>
      </c>
      <c r="K217" s="23">
        <f t="shared" si="155"/>
        <v>5.275730481</v>
      </c>
    </row>
    <row r="218" ht="15.75" customHeight="1">
      <c r="K218" s="18"/>
    </row>
    <row r="219" ht="15.75" customHeight="1">
      <c r="C219" s="2" t="s">
        <v>154</v>
      </c>
      <c r="F219" s="21">
        <f t="shared" ref="F219:K219" si="156">+F19</f>
        <v>100</v>
      </c>
      <c r="G219" s="21">
        <f t="shared" si="156"/>
        <v>107.043956</v>
      </c>
      <c r="H219" s="21">
        <f t="shared" si="156"/>
        <v>109.2693039</v>
      </c>
      <c r="I219" s="21">
        <f t="shared" si="156"/>
        <v>116.1380547</v>
      </c>
      <c r="J219" s="21">
        <f t="shared" si="156"/>
        <v>121.7315748</v>
      </c>
      <c r="K219" s="21">
        <f t="shared" si="156"/>
        <v>127.0073052</v>
      </c>
    </row>
    <row r="220" ht="15.75" customHeight="1">
      <c r="C220" s="2" t="s">
        <v>155</v>
      </c>
      <c r="F220" s="20">
        <v>91.36999999999999</v>
      </c>
      <c r="G220" s="21">
        <f t="shared" ref="G220:K220" si="157">+F221</f>
        <v>100</v>
      </c>
      <c r="H220" s="21">
        <f t="shared" si="157"/>
        <v>107.043956</v>
      </c>
      <c r="I220" s="21">
        <f t="shared" si="157"/>
        <v>109.2693039</v>
      </c>
      <c r="J220" s="21">
        <f t="shared" si="157"/>
        <v>116.1380547</v>
      </c>
      <c r="K220" s="21">
        <f t="shared" si="157"/>
        <v>121.7315748</v>
      </c>
    </row>
    <row r="221" ht="15.75" customHeight="1">
      <c r="C221" s="1" t="s">
        <v>156</v>
      </c>
      <c r="F221" s="28">
        <f t="shared" ref="F221:H221" si="158">F220+F217</f>
        <v>100</v>
      </c>
      <c r="G221" s="28">
        <f t="shared" si="158"/>
        <v>107.043956</v>
      </c>
      <c r="H221" s="28">
        <f t="shared" si="158"/>
        <v>109.2693039</v>
      </c>
      <c r="I221" s="28">
        <f t="shared" ref="I221:K221" si="159">+I217+I220</f>
        <v>116.1380547</v>
      </c>
      <c r="J221" s="28">
        <f t="shared" si="159"/>
        <v>121.7315748</v>
      </c>
      <c r="K221" s="28">
        <f t="shared" si="159"/>
        <v>127.0073052</v>
      </c>
    </row>
    <row r="222" ht="15.75" customHeight="1">
      <c r="C222" s="7"/>
      <c r="G222" s="21"/>
      <c r="H222" s="21"/>
      <c r="I222" s="21"/>
      <c r="J222" s="21"/>
      <c r="K222" s="21"/>
    </row>
    <row r="223" ht="15.75" customHeight="1">
      <c r="C223" s="7" t="s">
        <v>157</v>
      </c>
      <c r="F223" s="31">
        <f t="shared" ref="F223:K223" si="160">+F219-F221</f>
        <v>0</v>
      </c>
      <c r="G223" s="31">
        <f t="shared" si="160"/>
        <v>0</v>
      </c>
      <c r="H223" s="31">
        <f t="shared" si="160"/>
        <v>0</v>
      </c>
      <c r="I223" s="31">
        <f t="shared" si="160"/>
        <v>0</v>
      </c>
      <c r="J223" s="31">
        <f t="shared" si="160"/>
        <v>0</v>
      </c>
      <c r="K223" s="31">
        <f t="shared" si="160"/>
        <v>0</v>
      </c>
    </row>
    <row r="224" ht="15.75" customHeight="1">
      <c r="C224" s="7"/>
      <c r="G224" s="21"/>
      <c r="H224" s="21"/>
      <c r="I224" s="21"/>
      <c r="J224" s="21"/>
      <c r="K224" s="21"/>
    </row>
    <row r="225" ht="15.75" customHeight="1">
      <c r="B225" s="10" t="s">
        <v>158</v>
      </c>
      <c r="C225" s="10"/>
      <c r="D225" s="10"/>
      <c r="E225" s="10"/>
      <c r="F225" s="11" t="str">
        <f>$F$16</f>
        <v>Historical</v>
      </c>
      <c r="G225" s="12"/>
      <c r="H225" s="13"/>
      <c r="I225" s="11" t="str">
        <f>$I$16</f>
        <v>Projected</v>
      </c>
      <c r="J225" s="12"/>
      <c r="K225" s="12"/>
    </row>
    <row r="226" ht="15.75" customHeight="1">
      <c r="B226" s="3"/>
      <c r="C226" s="3"/>
      <c r="D226" s="3"/>
      <c r="E226" s="3"/>
      <c r="F226" s="14" t="str">
        <f>$F$17</f>
        <v>Year 1</v>
      </c>
      <c r="G226" s="14" t="str">
        <f>$G$17</f>
        <v>Year 2</v>
      </c>
      <c r="H226" s="15" t="str">
        <f>$H$17</f>
        <v>Year 3</v>
      </c>
      <c r="I226" s="16" t="str">
        <f>$I$17</f>
        <v>Year 4</v>
      </c>
      <c r="J226" s="16" t="str">
        <f>$J$17</f>
        <v>Year 5</v>
      </c>
      <c r="K226" s="16" t="str">
        <f>$K$17</f>
        <v>Year 6</v>
      </c>
    </row>
    <row r="227" ht="15.75" customHeight="1">
      <c r="C227" s="7"/>
      <c r="G227" s="21"/>
      <c r="H227" s="21"/>
      <c r="I227" s="21"/>
      <c r="J227" s="21"/>
      <c r="K227" s="21"/>
    </row>
    <row r="228" ht="15.75" customHeight="1">
      <c r="C228" s="22" t="s">
        <v>159</v>
      </c>
      <c r="F228" s="28">
        <f t="shared" ref="F228:K228" si="161">+F46-F28-F29</f>
        <v>90</v>
      </c>
      <c r="G228" s="28">
        <f t="shared" si="161"/>
        <v>97.845</v>
      </c>
      <c r="H228" s="28">
        <f t="shared" si="161"/>
        <v>104.8634644</v>
      </c>
      <c r="I228" s="28">
        <f t="shared" si="161"/>
        <v>112.5075509</v>
      </c>
      <c r="J228" s="28">
        <f t="shared" si="161"/>
        <v>120.2169179</v>
      </c>
      <c r="K228" s="28">
        <f t="shared" si="161"/>
        <v>128.0493393</v>
      </c>
    </row>
    <row r="229" ht="15.75" customHeight="1">
      <c r="C229" s="7"/>
    </row>
    <row r="230" ht="15.75" customHeight="1">
      <c r="C230" s="1" t="s">
        <v>160</v>
      </c>
      <c r="F230" s="23">
        <f t="shared" ref="F230:K230" si="162">+F46-F28-F29</f>
        <v>90</v>
      </c>
      <c r="G230" s="23">
        <f t="shared" si="162"/>
        <v>97.845</v>
      </c>
      <c r="H230" s="23">
        <f t="shared" si="162"/>
        <v>104.8634644</v>
      </c>
      <c r="I230" s="23">
        <f t="shared" si="162"/>
        <v>112.5075509</v>
      </c>
      <c r="J230" s="23">
        <f t="shared" si="162"/>
        <v>120.2169179</v>
      </c>
      <c r="K230" s="23">
        <f t="shared" si="162"/>
        <v>128.0493393</v>
      </c>
    </row>
    <row r="231" ht="15.75" customHeight="1">
      <c r="C231" s="46" t="s">
        <v>161</v>
      </c>
      <c r="D231" s="47"/>
      <c r="E231" s="47"/>
      <c r="F231" s="48">
        <f t="shared" ref="F231:K231" si="163">+F47</f>
        <v>50</v>
      </c>
      <c r="G231" s="48">
        <f t="shared" si="163"/>
        <v>53</v>
      </c>
      <c r="H231" s="48">
        <f t="shared" si="163"/>
        <v>57</v>
      </c>
      <c r="I231" s="48">
        <f t="shared" si="163"/>
        <v>61</v>
      </c>
      <c r="J231" s="48">
        <f t="shared" si="163"/>
        <v>65</v>
      </c>
      <c r="K231" s="48">
        <f t="shared" si="163"/>
        <v>70</v>
      </c>
    </row>
    <row r="232" ht="15.75" customHeight="1">
      <c r="C232" s="1" t="s">
        <v>162</v>
      </c>
      <c r="F232" s="23">
        <f t="shared" ref="F232:K232" si="164">SUM(F230:F231)</f>
        <v>140</v>
      </c>
      <c r="G232" s="23">
        <f t="shared" si="164"/>
        <v>150.845</v>
      </c>
      <c r="H232" s="23">
        <f t="shared" si="164"/>
        <v>161.8634644</v>
      </c>
      <c r="I232" s="23">
        <f t="shared" si="164"/>
        <v>173.5075509</v>
      </c>
      <c r="J232" s="23">
        <f t="shared" si="164"/>
        <v>185.2169179</v>
      </c>
      <c r="K232" s="23">
        <f t="shared" si="164"/>
        <v>198.0493393</v>
      </c>
    </row>
    <row r="233" ht="15.75" customHeight="1"/>
    <row r="234" ht="15.75" customHeight="1">
      <c r="C234" s="22" t="s">
        <v>163</v>
      </c>
    </row>
    <row r="235" ht="15.75" customHeight="1">
      <c r="C235" s="7" t="s">
        <v>164</v>
      </c>
      <c r="F235" s="21">
        <f t="shared" ref="F235:K235" si="165">+F41</f>
        <v>25</v>
      </c>
      <c r="G235" s="21">
        <f t="shared" si="165"/>
        <v>26.931</v>
      </c>
      <c r="H235" s="21">
        <f t="shared" si="165"/>
        <v>25.92814</v>
      </c>
      <c r="I235" s="21">
        <f t="shared" si="165"/>
        <v>28.61106191</v>
      </c>
      <c r="J235" s="21">
        <f t="shared" si="165"/>
        <v>29.98904735</v>
      </c>
      <c r="K235" s="21">
        <f t="shared" si="165"/>
        <v>31.28874409</v>
      </c>
    </row>
    <row r="236" ht="15.75" customHeight="1">
      <c r="C236" s="7" t="s">
        <v>165</v>
      </c>
      <c r="F236" s="21">
        <f t="shared" ref="F236:K236" si="166">+F40</f>
        <v>25</v>
      </c>
      <c r="G236" s="21">
        <f t="shared" si="166"/>
        <v>28.65</v>
      </c>
      <c r="H236" s="21">
        <f t="shared" si="166"/>
        <v>26.53112</v>
      </c>
      <c r="I236" s="21">
        <f t="shared" si="166"/>
        <v>29.45335921</v>
      </c>
      <c r="J236" s="21">
        <f t="shared" si="166"/>
        <v>30.87191195</v>
      </c>
      <c r="K236" s="21">
        <f t="shared" si="166"/>
        <v>32.2098712</v>
      </c>
    </row>
    <row r="237" ht="15.75" customHeight="1">
      <c r="C237" s="46" t="s">
        <v>166</v>
      </c>
      <c r="D237" s="47"/>
      <c r="E237" s="47"/>
      <c r="F237" s="48">
        <f>-F25*Qualifying_ALL</f>
        <v>22.5</v>
      </c>
      <c r="G237" s="48">
        <f>-G25*Qualifying_ALL</f>
        <v>28</v>
      </c>
      <c r="H237" s="48">
        <f>-H25*Qualifying_ALL</f>
        <v>34.5</v>
      </c>
      <c r="I237" s="48">
        <f>-I25*Qualifying_ALL</f>
        <v>41.615164</v>
      </c>
      <c r="J237" s="48">
        <f>-J25*Qualifying_ALL</f>
        <v>49.44852888</v>
      </c>
      <c r="K237" s="48">
        <f>-K25*Qualifying_ALL</f>
        <v>57.99024383</v>
      </c>
    </row>
    <row r="238" ht="15.75" customHeight="1">
      <c r="C238" s="1" t="s">
        <v>167</v>
      </c>
      <c r="F238" s="23">
        <f t="shared" ref="F238:K238" si="167">SUM(F235:F237)</f>
        <v>72.5</v>
      </c>
      <c r="G238" s="23">
        <f t="shared" si="167"/>
        <v>83.581</v>
      </c>
      <c r="H238" s="23">
        <f t="shared" si="167"/>
        <v>86.95926</v>
      </c>
      <c r="I238" s="23">
        <f t="shared" si="167"/>
        <v>99.67958512</v>
      </c>
      <c r="J238" s="23">
        <f t="shared" si="167"/>
        <v>110.3094882</v>
      </c>
      <c r="K238" s="23">
        <f t="shared" si="167"/>
        <v>121.4888591</v>
      </c>
    </row>
    <row r="239" ht="15.75" customHeight="1"/>
    <row r="240" ht="15.75" customHeight="1">
      <c r="C240" s="1" t="s">
        <v>168</v>
      </c>
      <c r="F240" s="23">
        <f t="shared" ref="F240:K240" si="168">+F232+F238</f>
        <v>212.5</v>
      </c>
      <c r="G240" s="23">
        <f t="shared" si="168"/>
        <v>234.426</v>
      </c>
      <c r="H240" s="23">
        <f t="shared" si="168"/>
        <v>248.8227244</v>
      </c>
      <c r="I240" s="23">
        <f t="shared" si="168"/>
        <v>273.1871361</v>
      </c>
      <c r="J240" s="23">
        <f t="shared" si="168"/>
        <v>295.5264061</v>
      </c>
      <c r="K240" s="23">
        <f t="shared" si="168"/>
        <v>319.5381984</v>
      </c>
    </row>
    <row r="241" ht="15.75" customHeight="1"/>
    <row r="242" ht="15.75" customHeight="1">
      <c r="C242" s="2" t="s">
        <v>169</v>
      </c>
      <c r="F242" s="20">
        <v>1200.0</v>
      </c>
      <c r="G242" s="20">
        <v>1300.0</v>
      </c>
      <c r="H242" s="20">
        <v>1375.0</v>
      </c>
      <c r="I242" s="21">
        <f t="shared" ref="I242:K242" si="169">+I243*I98</f>
        <v>1438.11806</v>
      </c>
      <c r="J242" s="21">
        <f t="shared" si="169"/>
        <v>1516.28676</v>
      </c>
      <c r="K242" s="21">
        <f t="shared" si="169"/>
        <v>1592.953724</v>
      </c>
    </row>
    <row r="243" ht="15.75" customHeight="1">
      <c r="C243" s="7" t="s">
        <v>170</v>
      </c>
      <c r="F243" s="34">
        <f t="shared" ref="F243:H243" si="170">+F242/F98</f>
        <v>0.8633093525</v>
      </c>
      <c r="G243" s="34">
        <f t="shared" si="170"/>
        <v>0.8829698794</v>
      </c>
      <c r="H243" s="34">
        <f t="shared" si="170"/>
        <v>0.880380936</v>
      </c>
      <c r="I243" s="42">
        <f>AVERAGE(F243:H243)</f>
        <v>0.8755533893</v>
      </c>
      <c r="J243" s="42">
        <f t="shared" ref="J243:K243" si="171">+I243</f>
        <v>0.8755533893</v>
      </c>
      <c r="K243" s="42">
        <f t="shared" si="171"/>
        <v>0.8755533893</v>
      </c>
    </row>
    <row r="244" ht="15.75" customHeight="1">
      <c r="F244" s="21"/>
      <c r="G244" s="21"/>
      <c r="H244" s="21"/>
      <c r="I244" s="21"/>
      <c r="J244" s="21"/>
      <c r="K244" s="21"/>
    </row>
    <row r="245" ht="15.75" customHeight="1">
      <c r="C245" s="2" t="s">
        <v>171</v>
      </c>
      <c r="F245" s="21">
        <f t="shared" ref="F245:K245" si="172">+F33-F28-F29</f>
        <v>1615</v>
      </c>
      <c r="G245" s="21">
        <f t="shared" si="172"/>
        <v>1706.497859</v>
      </c>
      <c r="H245" s="21">
        <f t="shared" si="172"/>
        <v>1783.719219</v>
      </c>
      <c r="I245" s="21">
        <f t="shared" si="172"/>
        <v>1870.729409</v>
      </c>
      <c r="J245" s="21">
        <f t="shared" si="172"/>
        <v>1958.895725</v>
      </c>
      <c r="K245" s="21">
        <f t="shared" si="172"/>
        <v>2043.764922</v>
      </c>
    </row>
    <row r="246" ht="15.75" customHeight="1"/>
    <row r="247" ht="15.75" customHeight="1">
      <c r="C247" s="1" t="s">
        <v>172</v>
      </c>
      <c r="F247" s="56">
        <f t="shared" ref="F247:K247" si="173">+F228/F245</f>
        <v>0.05572755418</v>
      </c>
      <c r="G247" s="56">
        <f t="shared" si="173"/>
        <v>0.05733672589</v>
      </c>
      <c r="H247" s="56">
        <f t="shared" si="173"/>
        <v>0.05878922162</v>
      </c>
      <c r="I247" s="56">
        <f t="shared" si="173"/>
        <v>0.06014100726</v>
      </c>
      <c r="J247" s="56">
        <f t="shared" si="173"/>
        <v>0.06136973827</v>
      </c>
      <c r="K247" s="56">
        <f t="shared" si="173"/>
        <v>0.06265365352</v>
      </c>
    </row>
    <row r="248" ht="15.75" customHeight="1">
      <c r="C248" s="1" t="s">
        <v>173</v>
      </c>
      <c r="F248" s="56">
        <f t="shared" ref="F248:K248" si="174">+F230/F242</f>
        <v>0.075</v>
      </c>
      <c r="G248" s="56">
        <f t="shared" si="174"/>
        <v>0.07526538462</v>
      </c>
      <c r="H248" s="56">
        <f t="shared" si="174"/>
        <v>0.07626433778</v>
      </c>
      <c r="I248" s="56">
        <f t="shared" si="174"/>
        <v>0.07823248596</v>
      </c>
      <c r="J248" s="56">
        <f t="shared" si="174"/>
        <v>0.07928376158</v>
      </c>
      <c r="K248" s="56">
        <f t="shared" si="174"/>
        <v>0.08038484569</v>
      </c>
    </row>
    <row r="249" ht="15.75" customHeight="1">
      <c r="C249" s="1" t="s">
        <v>174</v>
      </c>
      <c r="F249" s="56">
        <f t="shared" ref="F249:K249" si="175">+F232/F242</f>
        <v>0.1166666667</v>
      </c>
      <c r="G249" s="56">
        <f t="shared" si="175"/>
        <v>0.1160346154</v>
      </c>
      <c r="H249" s="56">
        <f t="shared" si="175"/>
        <v>0.1177188832</v>
      </c>
      <c r="I249" s="56">
        <f t="shared" si="175"/>
        <v>0.1206490314</v>
      </c>
      <c r="J249" s="56">
        <f t="shared" si="175"/>
        <v>0.1221516423</v>
      </c>
      <c r="K249" s="56">
        <f t="shared" si="175"/>
        <v>0.1243283696</v>
      </c>
    </row>
    <row r="250" ht="15.75" customHeight="1">
      <c r="C250" s="1" t="s">
        <v>175</v>
      </c>
      <c r="F250" s="56">
        <f t="shared" ref="F250:K250" si="176">+F240/F242</f>
        <v>0.1770833333</v>
      </c>
      <c r="G250" s="56">
        <f t="shared" si="176"/>
        <v>0.1803276923</v>
      </c>
      <c r="H250" s="56">
        <f t="shared" si="176"/>
        <v>0.1809619814</v>
      </c>
      <c r="I250" s="56">
        <f t="shared" si="176"/>
        <v>0.1899615502</v>
      </c>
      <c r="J250" s="56">
        <f t="shared" si="176"/>
        <v>0.194901396</v>
      </c>
      <c r="K250" s="56">
        <f t="shared" si="176"/>
        <v>0.2005947779</v>
      </c>
    </row>
    <row r="251" ht="15.75" customHeight="1">
      <c r="C251" s="1" t="s">
        <v>176</v>
      </c>
      <c r="F251" s="56">
        <f t="shared" ref="F251:K251" si="177">+F232/F245</f>
        <v>0.0866873065</v>
      </c>
      <c r="G251" s="56">
        <f t="shared" si="177"/>
        <v>0.08839448533</v>
      </c>
      <c r="H251" s="56">
        <f t="shared" si="177"/>
        <v>0.09074492373</v>
      </c>
      <c r="I251" s="56">
        <f t="shared" si="177"/>
        <v>0.09274860925</v>
      </c>
      <c r="J251" s="56">
        <f t="shared" si="177"/>
        <v>0.09455169848</v>
      </c>
      <c r="K251" s="56">
        <f t="shared" si="177"/>
        <v>0.09690416797</v>
      </c>
    </row>
    <row r="252" ht="15.75" customHeight="1">
      <c r="C252" s="7"/>
      <c r="G252" s="21"/>
      <c r="H252" s="21"/>
      <c r="I252" s="21"/>
      <c r="J252" s="21"/>
      <c r="K252" s="21"/>
    </row>
    <row r="253" ht="15.75" customHeight="1">
      <c r="C253" s="2" t="s">
        <v>177</v>
      </c>
      <c r="F253" s="34"/>
      <c r="G253" s="21"/>
      <c r="H253" s="21"/>
      <c r="I253" s="21">
        <f>+H242*Min_CET_1</f>
        <v>96.25</v>
      </c>
      <c r="J253" s="21">
        <f>+I242*Min_CET_1</f>
        <v>100.6682642</v>
      </c>
      <c r="K253" s="21">
        <f>+J242*Min_CET_1</f>
        <v>106.1400732</v>
      </c>
    </row>
    <row r="254" ht="15.75" customHeight="1">
      <c r="C254" s="7" t="s">
        <v>178</v>
      </c>
      <c r="F254" s="34">
        <f t="shared" ref="F254:H254" si="178">-F212/F154</f>
        <v>0.547645126</v>
      </c>
      <c r="G254" s="34">
        <f t="shared" si="178"/>
        <v>0.5652911249</v>
      </c>
      <c r="H254" s="34">
        <f t="shared" si="178"/>
        <v>0.6235607868</v>
      </c>
      <c r="I254" s="35">
        <v>0.63</v>
      </c>
      <c r="J254" s="35">
        <v>0.64</v>
      </c>
      <c r="K254" s="35">
        <v>0.65</v>
      </c>
    </row>
    <row r="255" ht="15.75" customHeight="1">
      <c r="C255" s="2" t="s">
        <v>179</v>
      </c>
      <c r="F255" s="34"/>
      <c r="G255" s="21"/>
      <c r="H255" s="21"/>
      <c r="I255" s="21">
        <f t="shared" ref="I255:K255" si="179">+I254*I154</f>
        <v>6.204795931</v>
      </c>
      <c r="J255" s="21">
        <f t="shared" si="179"/>
        <v>6.59443022</v>
      </c>
      <c r="K255" s="21">
        <f t="shared" si="179"/>
        <v>7.117353941</v>
      </c>
    </row>
    <row r="256" ht="15.75" customHeight="1">
      <c r="C256" s="2" t="s">
        <v>180</v>
      </c>
      <c r="G256" s="21"/>
      <c r="H256" s="21"/>
      <c r="I256" s="21">
        <f t="shared" ref="I256:K256" si="180">+H230-I253</f>
        <v>8.613464448</v>
      </c>
      <c r="J256" s="21">
        <f t="shared" si="180"/>
        <v>11.83928674</v>
      </c>
      <c r="K256" s="21">
        <f t="shared" si="180"/>
        <v>14.07684477</v>
      </c>
    </row>
    <row r="257" ht="15.75" customHeight="1">
      <c r="C257" s="22" t="s">
        <v>181</v>
      </c>
      <c r="G257" s="21"/>
      <c r="H257" s="21"/>
      <c r="I257" s="28">
        <f t="shared" ref="I257:K257" si="181">MIN(I255,I256)</f>
        <v>6.204795931</v>
      </c>
      <c r="J257" s="28">
        <f t="shared" si="181"/>
        <v>6.59443022</v>
      </c>
      <c r="K257" s="28">
        <f t="shared" si="181"/>
        <v>7.117353941</v>
      </c>
    </row>
    <row r="258" ht="15.75" customHeight="1">
      <c r="C258" s="7"/>
      <c r="G258" s="21"/>
      <c r="H258" s="21"/>
      <c r="I258" s="21"/>
      <c r="J258" s="21"/>
      <c r="K258" s="21"/>
    </row>
    <row r="259" ht="15.75" customHeight="1">
      <c r="B259" s="10" t="s">
        <v>182</v>
      </c>
      <c r="C259" s="10"/>
      <c r="D259" s="10"/>
      <c r="E259" s="10"/>
      <c r="F259" s="11" t="str">
        <f>$F$16</f>
        <v>Historical</v>
      </c>
      <c r="G259" s="12"/>
      <c r="H259" s="13"/>
      <c r="I259" s="11" t="str">
        <f>$I$16</f>
        <v>Projected</v>
      </c>
      <c r="J259" s="12"/>
      <c r="K259" s="12"/>
    </row>
    <row r="260" ht="15.75" customHeight="1">
      <c r="B260" s="3"/>
      <c r="C260" s="3"/>
      <c r="D260" s="3"/>
      <c r="E260" s="3"/>
      <c r="F260" s="14" t="str">
        <f>$F$17</f>
        <v>Year 1</v>
      </c>
      <c r="G260" s="14" t="str">
        <f>$G$17</f>
        <v>Year 2</v>
      </c>
      <c r="H260" s="15" t="str">
        <f>$H$17</f>
        <v>Year 3</v>
      </c>
      <c r="I260" s="16" t="str">
        <f>$I$17</f>
        <v>Year 4</v>
      </c>
      <c r="J260" s="16" t="str">
        <f>$J$17</f>
        <v>Year 5</v>
      </c>
      <c r="K260" s="16" t="str">
        <f>$K$17</f>
        <v>Year 6</v>
      </c>
    </row>
    <row r="261" ht="15.75" customHeight="1">
      <c r="C261" s="7"/>
      <c r="G261" s="21"/>
      <c r="H261" s="21"/>
      <c r="I261" s="21"/>
      <c r="J261" s="21"/>
      <c r="K261" s="21"/>
    </row>
    <row r="262" ht="15.75" customHeight="1">
      <c r="C262" s="2" t="s">
        <v>183</v>
      </c>
      <c r="F262" s="34">
        <f t="shared" ref="F262:K262" si="182">+F26/F33</f>
        <v>0.6201780415</v>
      </c>
      <c r="G262" s="34">
        <f t="shared" si="182"/>
        <v>0.6142582783</v>
      </c>
      <c r="H262" s="34">
        <f t="shared" si="182"/>
        <v>0.6146662632</v>
      </c>
      <c r="I262" s="34">
        <f t="shared" si="182"/>
        <v>0.609700723</v>
      </c>
      <c r="J262" s="34">
        <f t="shared" si="182"/>
        <v>0.6057652003</v>
      </c>
      <c r="K262" s="34">
        <f t="shared" si="182"/>
        <v>0.6007837688</v>
      </c>
    </row>
    <row r="263" ht="15.75" customHeight="1">
      <c r="C263" s="2" t="s">
        <v>184</v>
      </c>
      <c r="F263" s="34">
        <f t="shared" ref="F263:K263" si="183">+F36/F50</f>
        <v>0.7121661721</v>
      </c>
      <c r="G263" s="34">
        <f t="shared" si="183"/>
        <v>0.7096884635</v>
      </c>
      <c r="H263" s="34">
        <f t="shared" si="183"/>
        <v>0.7204079802</v>
      </c>
      <c r="I263" s="34">
        <f t="shared" si="183"/>
        <v>0.719005929</v>
      </c>
      <c r="J263" s="34">
        <f t="shared" si="183"/>
        <v>0.7211611391</v>
      </c>
      <c r="K263" s="34">
        <f t="shared" si="183"/>
        <v>0.7224623098</v>
      </c>
    </row>
    <row r="264" ht="15.75" customHeight="1">
      <c r="C264" s="2" t="s">
        <v>185</v>
      </c>
      <c r="F264" s="34">
        <f t="shared" ref="F264:K264" si="184">+F26/F36</f>
        <v>0.8708333333</v>
      </c>
      <c r="G264" s="34">
        <f t="shared" si="184"/>
        <v>0.8655322862</v>
      </c>
      <c r="H264" s="34">
        <f t="shared" si="184"/>
        <v>0.8532196756</v>
      </c>
      <c r="I264" s="34">
        <f t="shared" si="184"/>
        <v>0.8479773231</v>
      </c>
      <c r="J264" s="34">
        <f t="shared" si="184"/>
        <v>0.8399859164</v>
      </c>
      <c r="K264" s="34">
        <f t="shared" si="184"/>
        <v>0.8315780085</v>
      </c>
    </row>
    <row r="265" ht="15.75" customHeight="1"/>
    <row r="266" ht="15.75" customHeight="1">
      <c r="C266" s="2" t="s">
        <v>186</v>
      </c>
      <c r="F266" s="33">
        <v>0.009</v>
      </c>
      <c r="G266" s="34">
        <f t="shared" ref="G266:K266" si="185">-SUM(G63:G64)/AVERAGE(F24,G24)</f>
        <v>0.008944543828</v>
      </c>
      <c r="H266" s="34">
        <f t="shared" si="185"/>
        <v>0.008503545979</v>
      </c>
      <c r="I266" s="34">
        <f t="shared" si="185"/>
        <v>0.008497470421</v>
      </c>
      <c r="J266" s="34">
        <f t="shared" si="185"/>
        <v>0.008397770432</v>
      </c>
      <c r="K266" s="34">
        <f t="shared" si="185"/>
        <v>0.008417594732</v>
      </c>
    </row>
    <row r="267" ht="15.75" customHeight="1">
      <c r="C267" s="2" t="s">
        <v>187</v>
      </c>
      <c r="F267" s="34">
        <f t="shared" ref="F267:K267" si="186">-SUM(F63:F64)/F65</f>
        <v>0.2222222222</v>
      </c>
      <c r="G267" s="34">
        <f t="shared" si="186"/>
        <v>0.1785714286</v>
      </c>
      <c r="H267" s="34">
        <f t="shared" si="186"/>
        <v>0.1449275362</v>
      </c>
      <c r="I267" s="34">
        <f t="shared" si="186"/>
        <v>0.1260580398</v>
      </c>
      <c r="J267" s="34">
        <f t="shared" si="186"/>
        <v>0.1098681336</v>
      </c>
      <c r="K267" s="34">
        <f t="shared" si="186"/>
        <v>0.09819714936</v>
      </c>
    </row>
    <row r="268" ht="15.75" customHeight="1">
      <c r="C268" s="2" t="s">
        <v>188</v>
      </c>
      <c r="F268" s="34">
        <f t="shared" ref="F268:K268" si="187">-F25/F24</f>
        <v>0.04128440367</v>
      </c>
      <c r="G268" s="34">
        <f t="shared" si="187"/>
        <v>0.04886561955</v>
      </c>
      <c r="H268" s="34">
        <f t="shared" si="187"/>
        <v>0.05721582805</v>
      </c>
      <c r="I268" s="34">
        <f t="shared" si="187"/>
        <v>0.06587565391</v>
      </c>
      <c r="J268" s="34">
        <f t="shared" si="187"/>
        <v>0.07467891706</v>
      </c>
      <c r="K268" s="34">
        <f t="shared" si="187"/>
        <v>0.08394099434</v>
      </c>
    </row>
    <row r="269" ht="15.75" customHeight="1"/>
    <row r="270" ht="15.75" customHeight="1">
      <c r="C270" s="2" t="s">
        <v>189</v>
      </c>
      <c r="F270" s="33">
        <v>0.055</v>
      </c>
      <c r="G270" s="34">
        <f t="shared" ref="G270:K270" si="188">+G154/AVERAGE(F46,G46)</f>
        <v>0.05428961623</v>
      </c>
      <c r="H270" s="34">
        <f t="shared" si="188"/>
        <v>0.0476285291</v>
      </c>
      <c r="I270" s="34">
        <f t="shared" si="188"/>
        <v>0.0565424906</v>
      </c>
      <c r="J270" s="34">
        <f t="shared" si="188"/>
        <v>0.05697041867</v>
      </c>
      <c r="K270" s="34">
        <f t="shared" si="188"/>
        <v>0.05835736671</v>
      </c>
    </row>
    <row r="271" ht="15.75" customHeight="1">
      <c r="C271" s="2" t="s">
        <v>190</v>
      </c>
      <c r="F271" s="33">
        <v>0.095</v>
      </c>
      <c r="G271" s="34">
        <f t="shared" ref="G271:K271" si="189">+G154/AVERAGE(F228,G228)</f>
        <v>0.09417338763</v>
      </c>
      <c r="H271" s="34">
        <f t="shared" si="189"/>
        <v>0.07911326713</v>
      </c>
      <c r="I271" s="34">
        <f t="shared" si="189"/>
        <v>0.09061817568</v>
      </c>
      <c r="J271" s="34">
        <f t="shared" si="189"/>
        <v>0.08854932416</v>
      </c>
      <c r="K271" s="34">
        <f t="shared" si="189"/>
        <v>0.08820993569</v>
      </c>
    </row>
    <row r="272" ht="15.75" customHeight="1">
      <c r="C272" s="2" t="s">
        <v>191</v>
      </c>
      <c r="F272" s="33">
        <v>0.064</v>
      </c>
      <c r="G272" s="34">
        <f t="shared" ref="G272:K272" si="190">+G152/AVERAGE(F48,G48)</f>
        <v>0.06456878359</v>
      </c>
      <c r="H272" s="34">
        <f t="shared" si="190"/>
        <v>0.0596293355</v>
      </c>
      <c r="I272" s="34">
        <f t="shared" si="190"/>
        <v>0.0666803121</v>
      </c>
      <c r="J272" s="34">
        <f t="shared" si="190"/>
        <v>0.06726665675</v>
      </c>
      <c r="K272" s="34">
        <f t="shared" si="190"/>
        <v>0.06839478427</v>
      </c>
    </row>
    <row r="273" ht="15.75" customHeight="1">
      <c r="C273" s="2" t="s">
        <v>192</v>
      </c>
      <c r="F273" s="33">
        <v>0.008</v>
      </c>
      <c r="G273" s="34">
        <f t="shared" ref="G273:K273" si="191">+G152/AVERAGE(F33,G33)</f>
        <v>0.00800405178</v>
      </c>
      <c r="H273" s="34">
        <f t="shared" si="191"/>
        <v>0.007349705695</v>
      </c>
      <c r="I273" s="34">
        <f t="shared" si="191"/>
        <v>0.00821508041</v>
      </c>
      <c r="J273" s="34">
        <f t="shared" si="191"/>
        <v>0.008287623437</v>
      </c>
      <c r="K273" s="34">
        <f t="shared" si="191"/>
        <v>0.008450948775</v>
      </c>
    </row>
    <row r="274" ht="15.75" customHeight="1">
      <c r="C274" s="2" t="s">
        <v>193</v>
      </c>
      <c r="F274" s="33">
        <v>0.008</v>
      </c>
      <c r="G274" s="34">
        <f t="shared" ref="G274:K274" si="192">+G152/AVERAGE(F245,G245)</f>
        <v>0.008336600285</v>
      </c>
      <c r="H274" s="34">
        <f t="shared" si="192"/>
        <v>0.007631883147</v>
      </c>
      <c r="I274" s="34">
        <f t="shared" si="192"/>
        <v>0.008509564105</v>
      </c>
      <c r="J274" s="34">
        <f t="shared" si="192"/>
        <v>0.008566790036</v>
      </c>
      <c r="K274" s="34">
        <f t="shared" si="192"/>
        <v>0.008719088043</v>
      </c>
    </row>
    <row r="275" ht="15.75" customHeight="1"/>
    <row r="276" ht="15.75" customHeight="1">
      <c r="C276" s="2" t="s">
        <v>194</v>
      </c>
      <c r="F276" s="33">
        <v>0.044</v>
      </c>
      <c r="G276" s="34">
        <f t="shared" ref="G276:K276" si="193">+G127/AVERAGE(F98,G98)</f>
        <v>0.0426055388</v>
      </c>
      <c r="H276" s="34">
        <f t="shared" si="193"/>
        <v>0.04192139854</v>
      </c>
      <c r="I276" s="34">
        <f t="shared" si="193"/>
        <v>0.04260339131</v>
      </c>
      <c r="J276" s="34">
        <f t="shared" si="193"/>
        <v>0.04279680144</v>
      </c>
      <c r="K276" s="34">
        <f t="shared" si="193"/>
        <v>0.04349751899</v>
      </c>
    </row>
    <row r="277" ht="15.75" customHeight="1">
      <c r="C277" s="2" t="s">
        <v>195</v>
      </c>
      <c r="F277" s="33">
        <v>0.064</v>
      </c>
      <c r="G277" s="34">
        <f t="shared" ref="G277:K277" si="194">+G125/AVERAGE(F98,G98)</f>
        <v>0.06313096237</v>
      </c>
      <c r="H277" s="34">
        <f t="shared" si="194"/>
        <v>0.05822973816</v>
      </c>
      <c r="I277" s="34">
        <f t="shared" si="194"/>
        <v>0.060925952</v>
      </c>
      <c r="J277" s="34">
        <f t="shared" si="194"/>
        <v>0.06084635264</v>
      </c>
      <c r="K277" s="34">
        <f t="shared" si="194"/>
        <v>0.06339724437</v>
      </c>
    </row>
    <row r="278" ht="15.75" customHeight="1">
      <c r="C278" s="2" t="s">
        <v>85</v>
      </c>
      <c r="F278" s="33">
        <v>0.025</v>
      </c>
      <c r="G278" s="34">
        <f t="shared" ref="G278:K278" si="195">-G126/AVERAGE(F108,G108)</f>
        <v>0.02435697914</v>
      </c>
      <c r="H278" s="34">
        <f t="shared" si="195"/>
        <v>0.01946754287</v>
      </c>
      <c r="I278" s="34">
        <f t="shared" si="195"/>
        <v>0.02208744989</v>
      </c>
      <c r="J278" s="34">
        <f t="shared" si="195"/>
        <v>0.02201288521</v>
      </c>
      <c r="K278" s="34">
        <f t="shared" si="195"/>
        <v>0.02451076916</v>
      </c>
    </row>
    <row r="279" ht="15.75" customHeight="1">
      <c r="C279" s="2" t="s">
        <v>196</v>
      </c>
      <c r="F279" s="34">
        <f t="shared" ref="F279:K279" si="196">+F277-F278</f>
        <v>0.039</v>
      </c>
      <c r="G279" s="34">
        <f t="shared" si="196"/>
        <v>0.03877398322</v>
      </c>
      <c r="H279" s="34">
        <f t="shared" si="196"/>
        <v>0.03876219529</v>
      </c>
      <c r="I279" s="34">
        <f t="shared" si="196"/>
        <v>0.03883850212</v>
      </c>
      <c r="J279" s="34">
        <f t="shared" si="196"/>
        <v>0.03883346743</v>
      </c>
      <c r="K279" s="34">
        <f t="shared" si="196"/>
        <v>0.03888647521</v>
      </c>
    </row>
    <row r="280" ht="15.75" customHeight="1"/>
    <row r="281" ht="15.75" customHeight="1">
      <c r="C281" s="2" t="s">
        <v>197</v>
      </c>
      <c r="F281" s="34">
        <f t="shared" ref="F281:K281" si="197">+F127/F136</f>
        <v>0.7426690604</v>
      </c>
      <c r="G281" s="34">
        <f t="shared" si="197"/>
        <v>0.7175639894</v>
      </c>
      <c r="H281" s="34">
        <f t="shared" si="197"/>
        <v>0.7043105565</v>
      </c>
      <c r="I281" s="34">
        <f t="shared" si="197"/>
        <v>0.704176192</v>
      </c>
      <c r="J281" s="34">
        <f t="shared" si="197"/>
        <v>0.7009805309</v>
      </c>
      <c r="K281" s="34">
        <f t="shared" si="197"/>
        <v>0.7026319958</v>
      </c>
    </row>
    <row r="282" ht="15.75" customHeight="1">
      <c r="C282" s="2" t="s">
        <v>198</v>
      </c>
      <c r="F282" s="34">
        <f t="shared" ref="F282:K282" si="198">(-F141-F143-F144-F145)/F136</f>
        <v>0.4548174746</v>
      </c>
      <c r="G282" s="34">
        <f t="shared" si="198"/>
        <v>0.4448367167</v>
      </c>
      <c r="H282" s="34">
        <f t="shared" si="198"/>
        <v>0.4640220105</v>
      </c>
      <c r="I282" s="34">
        <f t="shared" si="198"/>
        <v>0.4545587339</v>
      </c>
      <c r="J282" s="34">
        <f t="shared" si="198"/>
        <v>0.4545587339</v>
      </c>
      <c r="K282" s="34">
        <f t="shared" si="198"/>
        <v>0.4545587339</v>
      </c>
    </row>
    <row r="283" ht="15.75" customHeight="1">
      <c r="C283" s="2" t="s">
        <v>199</v>
      </c>
      <c r="F283" s="34">
        <f t="shared" ref="F283:K283" si="199">-F212/F154</f>
        <v>0.547645126</v>
      </c>
      <c r="G283" s="34">
        <f t="shared" si="199"/>
        <v>0.5652911249</v>
      </c>
      <c r="H283" s="34">
        <f t="shared" si="199"/>
        <v>0.6235607868</v>
      </c>
      <c r="I283" s="34">
        <f t="shared" si="199"/>
        <v>0.63</v>
      </c>
      <c r="J283" s="34">
        <f t="shared" si="199"/>
        <v>0.64</v>
      </c>
      <c r="K283" s="34">
        <f t="shared" si="199"/>
        <v>0.65</v>
      </c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F16:H16"/>
    <mergeCell ref="I16:K16"/>
    <mergeCell ref="F54:H54"/>
    <mergeCell ref="I54:K54"/>
    <mergeCell ref="F91:H91"/>
    <mergeCell ref="I91:K91"/>
    <mergeCell ref="I122:K122"/>
    <mergeCell ref="F259:H259"/>
    <mergeCell ref="I259:K259"/>
    <mergeCell ref="F122:H122"/>
    <mergeCell ref="F156:H156"/>
    <mergeCell ref="I156:K156"/>
    <mergeCell ref="F182:H182"/>
    <mergeCell ref="I182:K182"/>
    <mergeCell ref="F225:H225"/>
    <mergeCell ref="I225:K225"/>
  </mergeCells>
  <conditionalFormatting sqref="K244">
    <cfRule type="cellIs" dxfId="0" priority="1" operator="notEqual">
      <formula>$L$121</formula>
    </cfRule>
  </conditionalFormatting>
  <dataValidations>
    <dataValidation type="decimal" allowBlank="1" showErrorMessage="1" sqref="G8">
      <formula1>0.0</formula1>
      <formula2>1.0</formula2>
    </dataValidation>
  </dataValidations>
  <printOptions/>
  <pageMargins bottom="0.75" footer="0.0" header="0.0" left="0.7" right="0.7" top="0.75"/>
  <pageSetup orientation="landscape"/>
  <rowBreaks count="7" manualBreakCount="7">
    <brk id="224" man="1"/>
    <brk id="258" man="1"/>
    <brk id="181" man="1"/>
    <brk id="53" man="1"/>
    <brk id="121" man="1"/>
    <brk id="90" man="1"/>
    <brk id="155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.71"/>
    <col customWidth="1" min="3" max="15" width="11.43"/>
    <col customWidth="1" min="16" max="17" width="2.71"/>
    <col customWidth="1" min="18" max="25" width="11.43"/>
    <col customWidth="1" min="26" max="27" width="8.86"/>
  </cols>
  <sheetData>
    <row r="2">
      <c r="B2" s="1" t="str">
        <f>"Simplified Dividend Discount Model - "&amp;Company_Name</f>
        <v>Simplified Dividend Discount Model - J&amp;T Bank</v>
      </c>
    </row>
    <row r="3">
      <c r="B3" s="2" t="s">
        <v>200</v>
      </c>
    </row>
    <row r="5">
      <c r="B5" s="57" t="s">
        <v>201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7">
      <c r="C7" s="2" t="s">
        <v>202</v>
      </c>
      <c r="F7" s="9">
        <v>0.08</v>
      </c>
      <c r="H7" s="59" t="s">
        <v>203</v>
      </c>
      <c r="I7" s="60"/>
      <c r="J7" s="60"/>
      <c r="K7" s="59" t="s">
        <v>204</v>
      </c>
    </row>
    <row r="8">
      <c r="C8" s="2" t="s">
        <v>205</v>
      </c>
      <c r="F8" s="9">
        <v>0.04</v>
      </c>
      <c r="H8" s="7" t="s">
        <v>206</v>
      </c>
      <c r="K8" s="61"/>
    </row>
    <row r="9">
      <c r="C9" s="7" t="s">
        <v>207</v>
      </c>
      <c r="F9" s="9">
        <v>0.75</v>
      </c>
      <c r="H9" s="7" t="s">
        <v>208</v>
      </c>
      <c r="K9" s="21"/>
    </row>
    <row r="10">
      <c r="H10" s="7"/>
      <c r="K10" s="62"/>
      <c r="L10" s="1"/>
      <c r="M10" s="1"/>
    </row>
    <row r="11">
      <c r="C11" s="2" t="s">
        <v>209</v>
      </c>
      <c r="F11" s="41">
        <v>0.0055</v>
      </c>
      <c r="H11" s="7" t="s">
        <v>210</v>
      </c>
      <c r="K11" s="21"/>
    </row>
    <row r="12">
      <c r="C12" s="2" t="s">
        <v>211</v>
      </c>
      <c r="F12" s="9">
        <v>0.09</v>
      </c>
      <c r="H12" s="7" t="s">
        <v>212</v>
      </c>
      <c r="K12" s="21"/>
    </row>
    <row r="13">
      <c r="H13" s="24" t="s">
        <v>213</v>
      </c>
      <c r="I13" s="25"/>
      <c r="J13" s="25"/>
      <c r="K13" s="44"/>
    </row>
    <row r="14">
      <c r="C14" s="2" t="s">
        <v>134</v>
      </c>
      <c r="F14" s="63">
        <v>0.0</v>
      </c>
    </row>
    <row r="15">
      <c r="C15" s="2" t="s">
        <v>135</v>
      </c>
      <c r="F15" s="63">
        <v>0.0</v>
      </c>
      <c r="H15" s="7" t="s">
        <v>214</v>
      </c>
      <c r="K15" s="64"/>
      <c r="M15" s="1"/>
    </row>
    <row r="16">
      <c r="H16" s="1"/>
      <c r="K16" s="65" t="s">
        <v>215</v>
      </c>
    </row>
    <row r="17">
      <c r="H17" s="66" t="s">
        <v>216</v>
      </c>
      <c r="I17" s="67"/>
      <c r="J17" s="67"/>
      <c r="K17" s="68"/>
    </row>
    <row r="19">
      <c r="B19" s="10" t="s">
        <v>217</v>
      </c>
      <c r="C19" s="10"/>
      <c r="D19" s="10"/>
      <c r="E19" s="10"/>
      <c r="F19" s="11" t="str">
        <f>+'Operating-Model'!$F$16</f>
        <v>Historical</v>
      </c>
      <c r="G19" s="12"/>
      <c r="H19" s="13"/>
      <c r="I19" s="11" t="str">
        <f>+'Operating-Model'!$I$16</f>
        <v>Projected</v>
      </c>
      <c r="J19" s="12"/>
      <c r="K19" s="12"/>
      <c r="L19" s="12"/>
      <c r="M19" s="12"/>
      <c r="N19" s="12"/>
      <c r="O19" s="12"/>
    </row>
    <row r="20">
      <c r="B20" s="3"/>
      <c r="C20" s="3"/>
      <c r="D20" s="3"/>
      <c r="E20" s="3"/>
      <c r="F20" s="14" t="str">
        <f>+'Operating-Model'!$F$17</f>
        <v>Year 1</v>
      </c>
      <c r="G20" s="14" t="str">
        <f>+'Operating-Model'!$G$17</f>
        <v>Year 2</v>
      </c>
      <c r="H20" s="15" t="str">
        <f>+'Operating-Model'!$H$17</f>
        <v>Year 3</v>
      </c>
      <c r="I20" s="16" t="str">
        <f>+'Operating-Model'!$I$17</f>
        <v>Year 4</v>
      </c>
      <c r="J20" s="16" t="str">
        <f>+'Operating-Model'!$J$17</f>
        <v>Year 5</v>
      </c>
      <c r="K20" s="16" t="str">
        <f>+'Operating-Model'!$K$17</f>
        <v>Year 6</v>
      </c>
      <c r="L20" s="16" t="s">
        <v>218</v>
      </c>
      <c r="M20" s="16" t="s">
        <v>219</v>
      </c>
      <c r="N20" s="16" t="s">
        <v>220</v>
      </c>
      <c r="O20" s="16" t="s">
        <v>221</v>
      </c>
    </row>
    <row r="21" ht="15.75" customHeight="1">
      <c r="A21" s="1"/>
      <c r="C21" s="22" t="s">
        <v>116</v>
      </c>
      <c r="E21" s="69"/>
      <c r="F21" s="70"/>
      <c r="G21" s="70"/>
      <c r="H21" s="70"/>
      <c r="I21" s="70"/>
      <c r="J21" s="70"/>
      <c r="K21" s="70"/>
      <c r="L21" s="71"/>
      <c r="M21" s="71"/>
      <c r="N21" s="71"/>
      <c r="O21" s="71"/>
      <c r="P21" s="1"/>
    </row>
    <row r="22" ht="15.75" customHeight="1">
      <c r="A22" s="1"/>
      <c r="C22" s="72" t="s">
        <v>222</v>
      </c>
      <c r="F22" s="73"/>
      <c r="G22" s="74"/>
      <c r="H22" s="74"/>
      <c r="I22" s="74"/>
      <c r="J22" s="74"/>
      <c r="K22" s="74"/>
      <c r="L22" s="74"/>
      <c r="M22" s="74"/>
      <c r="N22" s="74"/>
      <c r="O22" s="74"/>
      <c r="P22" s="1"/>
    </row>
    <row r="23" ht="15.75" customHeight="1">
      <c r="C23" s="22" t="s">
        <v>223</v>
      </c>
      <c r="E23" s="75"/>
      <c r="F23" s="70"/>
      <c r="G23" s="70"/>
      <c r="H23" s="70"/>
      <c r="I23" s="70"/>
      <c r="J23" s="70"/>
      <c r="K23" s="70"/>
      <c r="L23" s="76"/>
      <c r="M23" s="76"/>
      <c r="N23" s="76"/>
      <c r="O23" s="76"/>
    </row>
    <row r="24" ht="15.75" customHeight="1">
      <c r="C24" s="7" t="s">
        <v>222</v>
      </c>
      <c r="F24" s="77"/>
      <c r="G24" s="74"/>
      <c r="H24" s="74"/>
      <c r="I24" s="74"/>
      <c r="J24" s="74"/>
      <c r="K24" s="74"/>
      <c r="L24" s="74"/>
      <c r="M24" s="74"/>
      <c r="N24" s="74"/>
      <c r="O24" s="74"/>
    </row>
    <row r="25" ht="15.75" customHeight="1">
      <c r="C25" s="7" t="s">
        <v>224</v>
      </c>
      <c r="F25" s="77"/>
      <c r="G25" s="74"/>
      <c r="H25" s="74"/>
      <c r="I25" s="74"/>
      <c r="J25" s="74"/>
      <c r="K25" s="74"/>
      <c r="L25" s="74"/>
      <c r="M25" s="74"/>
      <c r="N25" s="74"/>
      <c r="O25" s="74"/>
    </row>
    <row r="26" ht="15.75" customHeight="1">
      <c r="C26" s="7"/>
      <c r="F26" s="71"/>
      <c r="G26" s="76"/>
      <c r="H26" s="76"/>
      <c r="I26" s="76"/>
      <c r="J26" s="76"/>
      <c r="K26" s="76"/>
      <c r="L26" s="76"/>
      <c r="M26" s="76"/>
      <c r="N26" s="76"/>
      <c r="O26" s="76"/>
    </row>
    <row r="27" ht="15.75" customHeight="1">
      <c r="C27" s="7" t="s">
        <v>225</v>
      </c>
      <c r="F27" s="78" t="s">
        <v>226</v>
      </c>
      <c r="G27" s="76"/>
      <c r="H27" s="76"/>
      <c r="I27" s="76"/>
      <c r="J27" s="76"/>
      <c r="K27" s="76"/>
      <c r="L27" s="76"/>
      <c r="M27" s="76"/>
      <c r="N27" s="76"/>
      <c r="O27" s="76"/>
    </row>
    <row r="28" ht="15.75" customHeight="1">
      <c r="C28" s="7" t="s">
        <v>227</v>
      </c>
      <c r="F28" s="79"/>
      <c r="G28" s="79"/>
      <c r="H28" s="79"/>
      <c r="I28" s="79"/>
      <c r="J28" s="79"/>
      <c r="K28" s="79"/>
      <c r="L28" s="76"/>
      <c r="M28" s="76"/>
      <c r="N28" s="76"/>
      <c r="O28" s="76"/>
    </row>
    <row r="29" ht="15.75" customHeight="1">
      <c r="C29" s="7" t="s">
        <v>149</v>
      </c>
      <c r="F29" s="79"/>
      <c r="G29" s="79"/>
      <c r="H29" s="79"/>
      <c r="I29" s="79"/>
      <c r="J29" s="79"/>
      <c r="K29" s="79"/>
      <c r="L29" s="76"/>
      <c r="M29" s="76"/>
      <c r="N29" s="76"/>
      <c r="O29" s="76"/>
    </row>
    <row r="30" ht="15.75" customHeight="1">
      <c r="C30" s="7" t="s">
        <v>150</v>
      </c>
      <c r="F30" s="79"/>
      <c r="G30" s="79"/>
      <c r="H30" s="79"/>
      <c r="I30" s="79"/>
      <c r="J30" s="79"/>
      <c r="K30" s="79"/>
      <c r="L30" s="19">
        <v>0.0</v>
      </c>
      <c r="M30" s="19">
        <v>0.0</v>
      </c>
      <c r="N30" s="19">
        <v>0.0</v>
      </c>
      <c r="O30" s="19">
        <v>0.0</v>
      </c>
    </row>
    <row r="31" ht="15.75" customHeight="1">
      <c r="C31" s="7" t="s">
        <v>151</v>
      </c>
      <c r="F31" s="80"/>
      <c r="G31" s="80"/>
      <c r="H31" s="80"/>
      <c r="I31" s="80"/>
      <c r="J31" s="80"/>
      <c r="K31" s="80"/>
      <c r="L31" s="81">
        <v>0.0</v>
      </c>
      <c r="M31" s="81">
        <v>0.0</v>
      </c>
      <c r="N31" s="81">
        <v>0.0</v>
      </c>
      <c r="O31" s="81">
        <v>0.0</v>
      </c>
    </row>
    <row r="32" ht="15.75" customHeight="1">
      <c r="C32" s="38" t="s">
        <v>228</v>
      </c>
      <c r="D32" s="25"/>
      <c r="E32" s="25"/>
      <c r="F32" s="82">
        <v>160.0</v>
      </c>
      <c r="G32" s="71"/>
      <c r="H32" s="71"/>
      <c r="I32" s="71"/>
      <c r="J32" s="71"/>
      <c r="K32" s="71"/>
      <c r="L32" s="71"/>
      <c r="M32" s="71"/>
      <c r="N32" s="71"/>
      <c r="O32" s="71"/>
    </row>
    <row r="33" ht="15.75" customHeight="1">
      <c r="C33" s="7" t="s">
        <v>229</v>
      </c>
      <c r="F33" s="79"/>
      <c r="G33" s="79"/>
      <c r="H33" s="79"/>
      <c r="I33" s="79"/>
      <c r="J33" s="79"/>
      <c r="K33" s="79"/>
      <c r="L33" s="76"/>
      <c r="M33" s="76"/>
      <c r="N33" s="76"/>
      <c r="O33" s="76"/>
    </row>
    <row r="34" ht="15.75" customHeight="1">
      <c r="C34" s="7" t="s">
        <v>230</v>
      </c>
      <c r="F34" s="80"/>
      <c r="G34" s="80"/>
      <c r="H34" s="80"/>
      <c r="I34" s="80"/>
      <c r="J34" s="80"/>
      <c r="K34" s="80"/>
      <c r="L34" s="83"/>
      <c r="M34" s="83"/>
      <c r="N34" s="83"/>
      <c r="O34" s="83"/>
    </row>
    <row r="35" ht="15.75" customHeight="1">
      <c r="C35" s="24" t="s">
        <v>160</v>
      </c>
      <c r="D35" s="25"/>
      <c r="E35" s="25"/>
      <c r="F35" s="71"/>
      <c r="G35" s="71"/>
      <c r="H35" s="71"/>
      <c r="I35" s="71"/>
      <c r="J35" s="71"/>
      <c r="K35" s="71"/>
      <c r="L35" s="71"/>
      <c r="M35" s="71"/>
      <c r="N35" s="71"/>
      <c r="O35" s="71"/>
    </row>
    <row r="36" ht="15.75" customHeight="1">
      <c r="C36" s="7"/>
      <c r="F36" s="71"/>
      <c r="G36" s="76"/>
      <c r="H36" s="76"/>
      <c r="I36" s="76"/>
      <c r="J36" s="76"/>
      <c r="K36" s="76"/>
      <c r="L36" s="76"/>
      <c r="M36" s="76"/>
      <c r="N36" s="76"/>
      <c r="O36" s="76"/>
    </row>
    <row r="37" ht="15.75" customHeight="1">
      <c r="C37" s="2" t="s">
        <v>31</v>
      </c>
      <c r="E37" s="18"/>
      <c r="F37" s="79"/>
      <c r="G37" s="79"/>
      <c r="H37" s="79"/>
      <c r="I37" s="79"/>
      <c r="J37" s="79"/>
      <c r="K37" s="79"/>
      <c r="L37" s="76"/>
      <c r="M37" s="76"/>
      <c r="N37" s="76"/>
      <c r="O37" s="76"/>
    </row>
    <row r="38" ht="15.75" customHeight="1">
      <c r="C38" s="7" t="s">
        <v>231</v>
      </c>
      <c r="E38" s="18"/>
      <c r="F38" s="84"/>
      <c r="G38" s="43"/>
      <c r="H38" s="43"/>
      <c r="I38" s="43"/>
      <c r="J38" s="43"/>
      <c r="K38" s="43"/>
      <c r="L38" s="43"/>
      <c r="M38" s="43"/>
      <c r="N38" s="43"/>
      <c r="O38" s="43"/>
    </row>
    <row r="39" ht="15.75" customHeight="1">
      <c r="C39" s="2" t="s">
        <v>169</v>
      </c>
      <c r="F39" s="79"/>
      <c r="G39" s="79"/>
      <c r="H39" s="79"/>
      <c r="I39" s="79"/>
      <c r="J39" s="79"/>
      <c r="K39" s="79"/>
      <c r="L39" s="76"/>
      <c r="M39" s="76"/>
      <c r="N39" s="76"/>
      <c r="O39" s="76"/>
    </row>
    <row r="40" ht="15.75" customHeight="1">
      <c r="C40" s="7" t="s">
        <v>207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ht="15.75" customHeight="1">
      <c r="F41" s="76"/>
      <c r="G41" s="76"/>
      <c r="H41" s="76"/>
      <c r="I41" s="76"/>
      <c r="J41" s="76"/>
      <c r="K41" s="76"/>
      <c r="L41" s="76"/>
      <c r="M41" s="76"/>
      <c r="N41" s="76"/>
      <c r="O41" s="76"/>
    </row>
    <row r="42" ht="15.75" customHeight="1">
      <c r="C42" s="2" t="s">
        <v>232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ht="15.75" customHeight="1">
      <c r="C43" s="2" t="s">
        <v>190</v>
      </c>
      <c r="F43" s="78" t="s">
        <v>226</v>
      </c>
      <c r="G43" s="43"/>
      <c r="H43" s="43"/>
      <c r="I43" s="43"/>
      <c r="J43" s="43"/>
      <c r="K43" s="43"/>
      <c r="L43" s="43"/>
      <c r="M43" s="43"/>
      <c r="N43" s="43"/>
      <c r="O43" s="43"/>
    </row>
    <row r="44" ht="15.75" customHeight="1">
      <c r="C44" s="2" t="s">
        <v>209</v>
      </c>
      <c r="F44" s="78" t="s">
        <v>226</v>
      </c>
      <c r="G44" s="43"/>
      <c r="H44" s="43"/>
      <c r="I44" s="43"/>
      <c r="J44" s="43"/>
      <c r="K44" s="43"/>
      <c r="L44" s="43"/>
      <c r="M44" s="43"/>
      <c r="N44" s="43"/>
      <c r="O44" s="43"/>
    </row>
    <row r="45" ht="15.75" customHeight="1">
      <c r="F45" s="71"/>
      <c r="G45" s="76"/>
      <c r="H45" s="76"/>
      <c r="I45" s="76"/>
      <c r="J45" s="76"/>
      <c r="K45" s="76"/>
      <c r="L45" s="76"/>
      <c r="M45" s="76"/>
      <c r="N45" s="76"/>
      <c r="O45" s="76"/>
    </row>
    <row r="46" ht="15.75" customHeight="1">
      <c r="C46" s="2" t="s">
        <v>233</v>
      </c>
      <c r="F46" s="82"/>
      <c r="G46" s="76"/>
      <c r="H46" s="85">
        <v>0.0</v>
      </c>
      <c r="I46" s="86">
        <f t="shared" ref="I46:O46" si="1">+H46+1</f>
        <v>1</v>
      </c>
      <c r="J46" s="86">
        <f t="shared" si="1"/>
        <v>2</v>
      </c>
      <c r="K46" s="86">
        <f t="shared" si="1"/>
        <v>3</v>
      </c>
      <c r="L46" s="86">
        <f t="shared" si="1"/>
        <v>4</v>
      </c>
      <c r="M46" s="86">
        <f t="shared" si="1"/>
        <v>5</v>
      </c>
      <c r="N46" s="86">
        <f t="shared" si="1"/>
        <v>6</v>
      </c>
      <c r="O46" s="86">
        <f t="shared" si="1"/>
        <v>7</v>
      </c>
    </row>
    <row r="47" ht="15.75" customHeight="1">
      <c r="C47" s="2" t="s">
        <v>234</v>
      </c>
      <c r="F47" s="71"/>
      <c r="G47" s="76"/>
      <c r="H47" s="76"/>
      <c r="I47" s="76"/>
      <c r="J47" s="76"/>
      <c r="K47" s="76"/>
      <c r="L47" s="76"/>
      <c r="M47" s="76"/>
      <c r="N47" s="76"/>
      <c r="O47" s="76"/>
    </row>
    <row r="48" ht="15.75" customHeight="1"/>
    <row r="49" ht="15.75" customHeight="1">
      <c r="B49" s="3" t="s">
        <v>235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ht="15.75" customHeight="1"/>
    <row r="51" ht="15.75" customHeight="1">
      <c r="C51" s="87"/>
      <c r="D51" s="88"/>
      <c r="E51" s="89" t="s">
        <v>236</v>
      </c>
      <c r="F51" s="90"/>
      <c r="G51" s="90"/>
      <c r="H51" s="90"/>
      <c r="I51" s="90"/>
      <c r="J51" s="90"/>
      <c r="K51" s="90"/>
      <c r="L51" s="90"/>
      <c r="M51" s="91"/>
    </row>
    <row r="52" ht="15.75" customHeight="1">
      <c r="C52" s="92"/>
      <c r="D52" s="93" t="str">
        <f>+$K$13</f>
        <v/>
      </c>
      <c r="E52" s="94">
        <v>0.07</v>
      </c>
      <c r="F52" s="94">
        <f t="shared" ref="F52:M52" si="2">+E52+0.5%</f>
        <v>0.075</v>
      </c>
      <c r="G52" s="94">
        <f t="shared" si="2"/>
        <v>0.08</v>
      </c>
      <c r="H52" s="94">
        <f t="shared" si="2"/>
        <v>0.085</v>
      </c>
      <c r="I52" s="95">
        <f t="shared" si="2"/>
        <v>0.09</v>
      </c>
      <c r="J52" s="94">
        <f t="shared" si="2"/>
        <v>0.095</v>
      </c>
      <c r="K52" s="94">
        <f t="shared" si="2"/>
        <v>0.1</v>
      </c>
      <c r="L52" s="94">
        <f t="shared" si="2"/>
        <v>0.105</v>
      </c>
      <c r="M52" s="96">
        <f t="shared" si="2"/>
        <v>0.11</v>
      </c>
    </row>
    <row r="53" ht="15.75" customHeight="1">
      <c r="C53" s="97" t="s">
        <v>237</v>
      </c>
      <c r="D53" s="98">
        <v>1.5</v>
      </c>
      <c r="E53" s="99">
        <v>175.8650998138416</v>
      </c>
      <c r="F53" s="100">
        <v>170.76528948354854</v>
      </c>
      <c r="G53" s="100">
        <v>165.84520078967773</v>
      </c>
      <c r="H53" s="100">
        <v>161.0976140559771</v>
      </c>
      <c r="I53" s="101">
        <v>156.51563272981542</v>
      </c>
      <c r="J53" s="100">
        <v>152.09266748820687</v>
      </c>
      <c r="K53" s="100">
        <v>147.82242119464655</v>
      </c>
      <c r="L53" s="100">
        <v>143.6988746575794</v>
      </c>
      <c r="M53" s="100">
        <v>139.71627314436518</v>
      </c>
    </row>
    <row r="54" ht="15.75" customHeight="1">
      <c r="C54" s="102"/>
      <c r="D54" s="103">
        <f t="shared" ref="D54:D55" si="3">D53-0.2</f>
        <v>1.3</v>
      </c>
      <c r="E54" s="104">
        <v>157.44702477164174</v>
      </c>
      <c r="F54" s="19">
        <v>152.9385699361508</v>
      </c>
      <c r="G54" s="19">
        <v>148.58823677421543</v>
      </c>
      <c r="H54" s="19">
        <v>144.38968915124605</v>
      </c>
      <c r="I54" s="105">
        <v>140.33687408161916</v>
      </c>
      <c r="J54" s="19">
        <v>136.42400781518052</v>
      </c>
      <c r="K54" s="19">
        <v>132.64556266800145</v>
      </c>
      <c r="L54" s="19">
        <v>128.9962545543924</v>
      </c>
      <c r="M54" s="19">
        <v>125.47103117983687</v>
      </c>
    </row>
    <row r="55" ht="15.75" customHeight="1">
      <c r="C55" s="102"/>
      <c r="D55" s="103">
        <f t="shared" si="3"/>
        <v>1.1</v>
      </c>
      <c r="E55" s="104">
        <v>139.02894972944193</v>
      </c>
      <c r="F55" s="19">
        <v>135.11185038875306</v>
      </c>
      <c r="G55" s="19">
        <v>131.33127275875316</v>
      </c>
      <c r="H55" s="19">
        <v>127.681764246515</v>
      </c>
      <c r="I55" s="105">
        <v>124.15811543342286</v>
      </c>
      <c r="J55" s="19">
        <v>120.75534814215416</v>
      </c>
      <c r="K55" s="19">
        <v>117.46870414135633</v>
      </c>
      <c r="L55" s="19">
        <v>114.29363445120542</v>
      </c>
      <c r="M55" s="19">
        <v>111.2257892153086</v>
      </c>
    </row>
    <row r="56" ht="15.75" customHeight="1">
      <c r="C56" s="102"/>
      <c r="D56" s="106">
        <v>0.861111111111111</v>
      </c>
      <c r="E56" s="107">
        <v>117.02958231792543</v>
      </c>
      <c r="F56" s="105">
        <v>113.81882426269463</v>
      </c>
      <c r="G56" s="105">
        <v>110.7187879625065</v>
      </c>
      <c r="H56" s="105">
        <v>107.72507616586401</v>
      </c>
      <c r="I56" s="105">
        <v>104.83348704807729</v>
      </c>
      <c r="J56" s="105">
        <v>102.0400046438171</v>
      </c>
      <c r="K56" s="105">
        <v>99.34078979008574</v>
      </c>
      <c r="L56" s="105">
        <v>96.73217155017649</v>
      </c>
      <c r="M56" s="105">
        <v>94.2106390910109</v>
      </c>
    </row>
    <row r="57" ht="15.75" customHeight="1">
      <c r="C57" s="102"/>
      <c r="D57" s="98">
        <v>0.7</v>
      </c>
      <c r="E57" s="104">
        <v>102.19279964504223</v>
      </c>
      <c r="F57" s="19">
        <v>99.45841129395757</v>
      </c>
      <c r="G57" s="19">
        <v>96.81734472782853</v>
      </c>
      <c r="H57" s="19">
        <v>94.26591443705288</v>
      </c>
      <c r="I57" s="105">
        <v>91.80059813703026</v>
      </c>
      <c r="J57" s="19">
        <v>89.41802879610142</v>
      </c>
      <c r="K57" s="19">
        <v>87.11498708806604</v>
      </c>
      <c r="L57" s="19">
        <v>84.8883942448314</v>
      </c>
      <c r="M57" s="19">
        <v>82.73530528625201</v>
      </c>
    </row>
    <row r="58" ht="15.75" customHeight="1">
      <c r="C58" s="102"/>
      <c r="D58" s="103">
        <f t="shared" ref="D58:D59" si="4">D57-0.2</f>
        <v>0.5</v>
      </c>
      <c r="E58" s="104">
        <v>83.77472460284238</v>
      </c>
      <c r="F58" s="19">
        <v>81.63169174655982</v>
      </c>
      <c r="G58" s="19">
        <v>79.56038071236622</v>
      </c>
      <c r="H58" s="19">
        <v>77.55798953232184</v>
      </c>
      <c r="I58" s="105">
        <v>75.62183948883397</v>
      </c>
      <c r="J58" s="19">
        <v>73.74936912307507</v>
      </c>
      <c r="K58" s="19">
        <v>71.93812856142092</v>
      </c>
      <c r="L58" s="19">
        <v>70.1857741416444</v>
      </c>
      <c r="M58" s="19">
        <v>68.49006332172372</v>
      </c>
    </row>
    <row r="59" ht="15.75" customHeight="1">
      <c r="C59" s="108"/>
      <c r="D59" s="109">
        <f t="shared" si="4"/>
        <v>0.3</v>
      </c>
      <c r="E59" s="104">
        <v>65.35664956064255</v>
      </c>
      <c r="F59" s="19">
        <v>63.80497219916208</v>
      </c>
      <c r="G59" s="19">
        <v>62.30341669690392</v>
      </c>
      <c r="H59" s="19">
        <v>60.85006462759079</v>
      </c>
      <c r="I59" s="105">
        <v>59.443080840637684</v>
      </c>
      <c r="J59" s="19">
        <v>58.080709450048715</v>
      </c>
      <c r="K59" s="19">
        <v>56.761270034775805</v>
      </c>
      <c r="L59" s="19">
        <v>55.48315403845741</v>
      </c>
      <c r="M59" s="19">
        <v>54.244821357195434</v>
      </c>
    </row>
    <row r="60" ht="15.75" customHeight="1"/>
    <row r="61" ht="15.75" customHeight="1">
      <c r="C61" s="87"/>
      <c r="D61" s="88"/>
      <c r="E61" s="89" t="s">
        <v>209</v>
      </c>
      <c r="F61" s="90"/>
      <c r="G61" s="90"/>
      <c r="H61" s="90"/>
      <c r="I61" s="90"/>
      <c r="J61" s="90"/>
      <c r="K61" s="90"/>
      <c r="L61" s="90"/>
      <c r="M61" s="91"/>
    </row>
    <row r="62" ht="15.75" customHeight="1">
      <c r="C62" s="92"/>
      <c r="D62" s="93" t="str">
        <f>+$K$13</f>
        <v/>
      </c>
      <c r="E62" s="110">
        <v>0.0035</v>
      </c>
      <c r="F62" s="110">
        <f t="shared" ref="F62:M62" si="5">+E62+0.05%</f>
        <v>0.004</v>
      </c>
      <c r="G62" s="110">
        <f t="shared" si="5"/>
        <v>0.0045</v>
      </c>
      <c r="H62" s="110">
        <f t="shared" si="5"/>
        <v>0.005</v>
      </c>
      <c r="I62" s="111">
        <f t="shared" si="5"/>
        <v>0.0055</v>
      </c>
      <c r="J62" s="110">
        <f t="shared" si="5"/>
        <v>0.006</v>
      </c>
      <c r="K62" s="110">
        <f t="shared" si="5"/>
        <v>0.0065</v>
      </c>
      <c r="L62" s="110">
        <f t="shared" si="5"/>
        <v>0.007</v>
      </c>
      <c r="M62" s="112">
        <f t="shared" si="5"/>
        <v>0.0075</v>
      </c>
    </row>
    <row r="63" ht="15.75" customHeight="1">
      <c r="C63" s="97" t="s">
        <v>237</v>
      </c>
      <c r="D63" s="103">
        <f t="shared" ref="D63:D69" si="6">+D53</f>
        <v>1.5</v>
      </c>
      <c r="E63" s="99">
        <v>145.37246545765143</v>
      </c>
      <c r="F63" s="100">
        <v>148.15825727569242</v>
      </c>
      <c r="G63" s="100">
        <v>150.94404909373344</v>
      </c>
      <c r="H63" s="100">
        <v>153.7298409117745</v>
      </c>
      <c r="I63" s="101">
        <v>156.51563272981542</v>
      </c>
      <c r="J63" s="100">
        <v>159.30142454785647</v>
      </c>
      <c r="K63" s="100">
        <v>162.08721636589746</v>
      </c>
      <c r="L63" s="100">
        <v>164.87300818393848</v>
      </c>
      <c r="M63" s="100">
        <v>167.65880000197956</v>
      </c>
    </row>
    <row r="64" ht="15.75" customHeight="1">
      <c r="C64" s="102"/>
      <c r="D64" s="103">
        <f t="shared" si="6"/>
        <v>1.3</v>
      </c>
      <c r="E64" s="104">
        <v>129.19370680945514</v>
      </c>
      <c r="F64" s="19">
        <v>131.97949862749613</v>
      </c>
      <c r="G64" s="19">
        <v>134.76529044553715</v>
      </c>
      <c r="H64" s="19">
        <v>137.5510822635782</v>
      </c>
      <c r="I64" s="105">
        <v>140.33687408161916</v>
      </c>
      <c r="J64" s="19">
        <v>143.1226658996602</v>
      </c>
      <c r="K64" s="19">
        <v>145.9084577177012</v>
      </c>
      <c r="L64" s="19">
        <v>148.69424953574222</v>
      </c>
      <c r="M64" s="19">
        <v>151.48004135378326</v>
      </c>
    </row>
    <row r="65" ht="15.75" customHeight="1">
      <c r="C65" s="102"/>
      <c r="D65" s="103">
        <f t="shared" si="6"/>
        <v>1.1</v>
      </c>
      <c r="E65" s="104">
        <v>113.01494816125884</v>
      </c>
      <c r="F65" s="19">
        <v>115.80073997929983</v>
      </c>
      <c r="G65" s="19">
        <v>118.58653179734085</v>
      </c>
      <c r="H65" s="19">
        <v>121.3723236153819</v>
      </c>
      <c r="I65" s="105">
        <v>124.15811543342286</v>
      </c>
      <c r="J65" s="19">
        <v>126.94390725146391</v>
      </c>
      <c r="K65" s="19">
        <v>129.7296990695049</v>
      </c>
      <c r="L65" s="19">
        <v>132.51549088754592</v>
      </c>
      <c r="M65" s="19">
        <v>135.30128270558697</v>
      </c>
    </row>
    <row r="66" ht="15.75" customHeight="1">
      <c r="C66" s="102"/>
      <c r="D66" s="106">
        <f t="shared" si="6"/>
        <v>0.8611111111</v>
      </c>
      <c r="E66" s="107">
        <v>93.69031977591327</v>
      </c>
      <c r="F66" s="105">
        <v>96.47611159395426</v>
      </c>
      <c r="G66" s="105">
        <v>99.26190341199529</v>
      </c>
      <c r="H66" s="105">
        <v>102.04769523003634</v>
      </c>
      <c r="I66" s="105">
        <v>104.83348704807729</v>
      </c>
      <c r="J66" s="105">
        <v>107.61927886611834</v>
      </c>
      <c r="K66" s="105">
        <v>110.40507068415931</v>
      </c>
      <c r="L66" s="105">
        <v>113.19086250220033</v>
      </c>
      <c r="M66" s="105">
        <v>115.9766543202414</v>
      </c>
    </row>
    <row r="67" ht="15.75" customHeight="1">
      <c r="C67" s="102"/>
      <c r="D67" s="103">
        <f t="shared" si="6"/>
        <v>0.7</v>
      </c>
      <c r="E67" s="104">
        <v>80.65743086486624</v>
      </c>
      <c r="F67" s="19">
        <v>83.44322268290723</v>
      </c>
      <c r="G67" s="19">
        <v>86.22901450094827</v>
      </c>
      <c r="H67" s="19">
        <v>89.01480631898932</v>
      </c>
      <c r="I67" s="105">
        <v>91.80059813703026</v>
      </c>
      <c r="J67" s="19">
        <v>94.58638995507131</v>
      </c>
      <c r="K67" s="19">
        <v>97.37218177311229</v>
      </c>
      <c r="L67" s="19">
        <v>100.15797359115331</v>
      </c>
      <c r="M67" s="19">
        <v>102.94376540919437</v>
      </c>
    </row>
    <row r="68" ht="15.75" customHeight="1">
      <c r="C68" s="102"/>
      <c r="D68" s="103">
        <f t="shared" si="6"/>
        <v>0.5</v>
      </c>
      <c r="E68" s="104">
        <v>64.47867221666995</v>
      </c>
      <c r="F68" s="19">
        <v>67.26446403471094</v>
      </c>
      <c r="G68" s="19">
        <v>70.05025585275197</v>
      </c>
      <c r="H68" s="19">
        <v>72.83604767079302</v>
      </c>
      <c r="I68" s="105">
        <v>75.62183948883397</v>
      </c>
      <c r="J68" s="19">
        <v>78.40763130687502</v>
      </c>
      <c r="K68" s="19">
        <v>81.193423124916</v>
      </c>
      <c r="L68" s="19">
        <v>83.97921494295701</v>
      </c>
      <c r="M68" s="19">
        <v>86.76500676099808</v>
      </c>
    </row>
    <row r="69" ht="15.75" customHeight="1">
      <c r="A69" s="1"/>
      <c r="B69" s="1"/>
      <c r="C69" s="108"/>
      <c r="D69" s="109">
        <f t="shared" si="6"/>
        <v>0.3</v>
      </c>
      <c r="E69" s="104">
        <v>48.29991356847367</v>
      </c>
      <c r="F69" s="19">
        <v>51.08570538651466</v>
      </c>
      <c r="G69" s="19">
        <v>53.87149720455568</v>
      </c>
      <c r="H69" s="19">
        <v>56.65728902259673</v>
      </c>
      <c r="I69" s="105">
        <v>59.443080840637684</v>
      </c>
      <c r="J69" s="19">
        <v>62.22887265867873</v>
      </c>
      <c r="K69" s="19">
        <v>65.01466447671972</v>
      </c>
      <c r="L69" s="19">
        <v>67.80045629476074</v>
      </c>
      <c r="M69" s="19">
        <v>70.5862481128018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/>
    <row r="71" ht="15.75" customHeight="1"/>
    <row r="72" ht="15.75" customHeight="1">
      <c r="C72" s="2" t="s">
        <v>238</v>
      </c>
      <c r="M72" s="113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19:H19"/>
    <mergeCell ref="I19:O19"/>
    <mergeCell ref="E51:M51"/>
    <mergeCell ref="C53:C59"/>
    <mergeCell ref="E61:M61"/>
    <mergeCell ref="C63:C69"/>
  </mergeCells>
  <dataValidations>
    <dataValidation type="list" allowBlank="1" showErrorMessage="1" sqref="M72">
      <formula1>"Undervalued,Overvalued"</formula1>
    </dataValidation>
  </dataValidations>
  <printOptions/>
  <pageMargins bottom="0.75" footer="0.0" header="0.0" left="0.7" right="0.7" top="0.75"/>
  <pageSetup orientation="portrait"/>
  <rowBreaks count="1" manualBreakCount="1">
    <brk id="48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6.86"/>
    <col customWidth="1" min="3" max="12" width="12.71"/>
    <col customWidth="1" min="13" max="26" width="8.86"/>
  </cols>
  <sheetData>
    <row r="2">
      <c r="B2" s="1" t="s">
        <v>239</v>
      </c>
    </row>
    <row r="3">
      <c r="B3" s="2" t="s">
        <v>200</v>
      </c>
    </row>
    <row r="5">
      <c r="B5" s="114" t="s">
        <v>240</v>
      </c>
      <c r="C5" s="115" t="s">
        <v>241</v>
      </c>
      <c r="D5" s="116"/>
      <c r="E5" s="116"/>
      <c r="F5" s="117"/>
      <c r="G5" s="118"/>
      <c r="H5" s="118"/>
      <c r="I5" s="119"/>
      <c r="J5" s="120"/>
      <c r="K5" s="120"/>
      <c r="L5" s="121"/>
    </row>
    <row r="6">
      <c r="B6" s="122"/>
      <c r="C6" s="123" t="s">
        <v>242</v>
      </c>
      <c r="D6" s="123" t="s">
        <v>243</v>
      </c>
      <c r="E6" s="123" t="s">
        <v>244</v>
      </c>
      <c r="F6" s="124" t="s">
        <v>245</v>
      </c>
      <c r="G6" s="125"/>
      <c r="H6" s="125"/>
      <c r="I6" s="126" t="s">
        <v>246</v>
      </c>
      <c r="J6" s="125"/>
      <c r="K6" s="125"/>
      <c r="L6" s="127" t="s">
        <v>247</v>
      </c>
    </row>
    <row r="7">
      <c r="B7" s="128" t="s">
        <v>248</v>
      </c>
      <c r="C7" s="129" t="s">
        <v>249</v>
      </c>
      <c r="D7" s="129" t="s">
        <v>250</v>
      </c>
      <c r="E7" s="129" t="s">
        <v>251</v>
      </c>
      <c r="F7" s="129" t="s">
        <v>252</v>
      </c>
      <c r="G7" s="129" t="s">
        <v>13</v>
      </c>
      <c r="H7" s="129" t="s">
        <v>14</v>
      </c>
      <c r="I7" s="130" t="s">
        <v>252</v>
      </c>
      <c r="J7" s="129" t="s">
        <v>13</v>
      </c>
      <c r="K7" s="129" t="s">
        <v>14</v>
      </c>
      <c r="L7" s="131" t="s">
        <v>253</v>
      </c>
    </row>
    <row r="8">
      <c r="B8" s="2" t="s">
        <v>254</v>
      </c>
      <c r="C8" s="18">
        <v>500.0</v>
      </c>
      <c r="D8" s="132">
        <v>144.0</v>
      </c>
      <c r="E8" s="132">
        <v>1005.0</v>
      </c>
      <c r="F8" s="132">
        <v>20.0</v>
      </c>
      <c r="G8" s="132">
        <v>25.0</v>
      </c>
      <c r="H8" s="132">
        <v>30.0</v>
      </c>
      <c r="I8" s="133">
        <v>0.1388888888888889</v>
      </c>
      <c r="J8" s="133">
        <v>0.125</v>
      </c>
      <c r="K8" s="133">
        <v>0.114</v>
      </c>
      <c r="L8" s="133">
        <f t="shared" ref="L8:L12" si="1">+H8/G8-1</f>
        <v>0.2</v>
      </c>
    </row>
    <row r="9">
      <c r="B9" s="2" t="s">
        <v>255</v>
      </c>
      <c r="C9" s="21">
        <v>225.0</v>
      </c>
      <c r="D9" s="134">
        <v>110.0</v>
      </c>
      <c r="E9" s="134">
        <v>1500.0</v>
      </c>
      <c r="F9" s="134">
        <v>10.0</v>
      </c>
      <c r="G9" s="134">
        <v>11.5</v>
      </c>
      <c r="H9" s="134">
        <v>13.0</v>
      </c>
      <c r="I9" s="133">
        <v>0.09090909090909091</v>
      </c>
      <c r="J9" s="133">
        <v>0.086</v>
      </c>
      <c r="K9" s="133">
        <v>0.084</v>
      </c>
      <c r="L9" s="133">
        <f t="shared" si="1"/>
        <v>0.1304347826</v>
      </c>
    </row>
    <row r="10">
      <c r="B10" s="2" t="s">
        <v>256</v>
      </c>
      <c r="C10" s="21">
        <v>1030.0</v>
      </c>
      <c r="D10" s="134">
        <v>480.0</v>
      </c>
      <c r="E10" s="134">
        <v>4300.0</v>
      </c>
      <c r="F10" s="134">
        <v>50.0</v>
      </c>
      <c r="G10" s="134">
        <v>55.0</v>
      </c>
      <c r="H10" s="134">
        <v>60.0</v>
      </c>
      <c r="I10" s="133">
        <v>0.10416666666666667</v>
      </c>
      <c r="J10" s="133">
        <v>0.101</v>
      </c>
      <c r="K10" s="133">
        <v>0.097</v>
      </c>
      <c r="L10" s="133">
        <f t="shared" si="1"/>
        <v>0.09090909091</v>
      </c>
    </row>
    <row r="11">
      <c r="B11" s="2" t="s">
        <v>257</v>
      </c>
      <c r="C11" s="21">
        <v>900.0</v>
      </c>
      <c r="D11" s="134">
        <v>350.0</v>
      </c>
      <c r="E11" s="134">
        <v>5100.0</v>
      </c>
      <c r="F11" s="134">
        <v>45.0</v>
      </c>
      <c r="G11" s="134">
        <v>48.0</v>
      </c>
      <c r="H11" s="134">
        <v>51.0</v>
      </c>
      <c r="I11" s="133">
        <v>0.12857142857142856</v>
      </c>
      <c r="J11" s="133">
        <v>0.125</v>
      </c>
      <c r="K11" s="133">
        <v>0.122</v>
      </c>
      <c r="L11" s="133">
        <f t="shared" si="1"/>
        <v>0.0625</v>
      </c>
    </row>
    <row r="12">
      <c r="B12" s="2" t="s">
        <v>258</v>
      </c>
      <c r="C12" s="21">
        <v>1500.0</v>
      </c>
      <c r="D12" s="134">
        <v>1300.0</v>
      </c>
      <c r="E12" s="134">
        <v>6100.0</v>
      </c>
      <c r="F12" s="134">
        <v>100.0</v>
      </c>
      <c r="G12" s="134">
        <v>110.0</v>
      </c>
      <c r="H12" s="134">
        <v>121.0</v>
      </c>
      <c r="I12" s="133">
        <v>0.07692307692307693</v>
      </c>
      <c r="J12" s="133">
        <v>0.075</v>
      </c>
      <c r="K12" s="133">
        <v>0.073</v>
      </c>
      <c r="L12" s="133">
        <f t="shared" si="1"/>
        <v>0.1</v>
      </c>
    </row>
    <row r="14">
      <c r="B14" s="135" t="s">
        <v>259</v>
      </c>
      <c r="C14" s="136">
        <f t="shared" ref="C14:L14" si="2">MAX(C8:C12)</f>
        <v>1500</v>
      </c>
      <c r="D14" s="136">
        <f t="shared" si="2"/>
        <v>1300</v>
      </c>
      <c r="E14" s="136">
        <f t="shared" si="2"/>
        <v>6100</v>
      </c>
      <c r="F14" s="136">
        <f t="shared" si="2"/>
        <v>100</v>
      </c>
      <c r="G14" s="136">
        <f t="shared" si="2"/>
        <v>110</v>
      </c>
      <c r="H14" s="136">
        <f t="shared" si="2"/>
        <v>121</v>
      </c>
      <c r="I14" s="137">
        <f t="shared" si="2"/>
        <v>0.1388888889</v>
      </c>
      <c r="J14" s="137">
        <f t="shared" si="2"/>
        <v>0.125</v>
      </c>
      <c r="K14" s="137">
        <f t="shared" si="2"/>
        <v>0.122</v>
      </c>
      <c r="L14" s="138">
        <f t="shared" si="2"/>
        <v>0.2</v>
      </c>
    </row>
    <row r="15">
      <c r="B15" s="139" t="s">
        <v>260</v>
      </c>
      <c r="C15" s="21">
        <f t="shared" ref="C15:L15" si="3">QUARTILE(C8:C12,3)</f>
        <v>1030</v>
      </c>
      <c r="D15" s="21">
        <f t="shared" si="3"/>
        <v>480</v>
      </c>
      <c r="E15" s="21">
        <f t="shared" si="3"/>
        <v>5100</v>
      </c>
      <c r="F15" s="21">
        <f t="shared" si="3"/>
        <v>50</v>
      </c>
      <c r="G15" s="21">
        <f t="shared" si="3"/>
        <v>55</v>
      </c>
      <c r="H15" s="21">
        <f t="shared" si="3"/>
        <v>60</v>
      </c>
      <c r="I15" s="140">
        <f t="shared" si="3"/>
        <v>0.1285714286</v>
      </c>
      <c r="J15" s="140">
        <f t="shared" si="3"/>
        <v>0.125</v>
      </c>
      <c r="K15" s="140">
        <f t="shared" si="3"/>
        <v>0.114</v>
      </c>
      <c r="L15" s="141">
        <f t="shared" si="3"/>
        <v>0.1304347826</v>
      </c>
    </row>
    <row r="16">
      <c r="B16" s="66" t="s">
        <v>261</v>
      </c>
      <c r="C16" s="142">
        <f t="shared" ref="C16:L16" si="4">MEDIAN(C8:C12)</f>
        <v>900</v>
      </c>
      <c r="D16" s="142">
        <f t="shared" si="4"/>
        <v>350</v>
      </c>
      <c r="E16" s="142">
        <f t="shared" si="4"/>
        <v>4300</v>
      </c>
      <c r="F16" s="142">
        <f t="shared" si="4"/>
        <v>45</v>
      </c>
      <c r="G16" s="142">
        <f t="shared" si="4"/>
        <v>48</v>
      </c>
      <c r="H16" s="142">
        <f t="shared" si="4"/>
        <v>51</v>
      </c>
      <c r="I16" s="143">
        <f t="shared" si="4"/>
        <v>0.1041666667</v>
      </c>
      <c r="J16" s="143">
        <f t="shared" si="4"/>
        <v>0.101</v>
      </c>
      <c r="K16" s="143">
        <f t="shared" si="4"/>
        <v>0.097</v>
      </c>
      <c r="L16" s="144">
        <f t="shared" si="4"/>
        <v>0.1</v>
      </c>
    </row>
    <row r="17">
      <c r="B17" s="139" t="s">
        <v>262</v>
      </c>
      <c r="C17" s="21">
        <f t="shared" ref="C17:L17" si="5">QUARTILE(C8:C12,1)</f>
        <v>500</v>
      </c>
      <c r="D17" s="21">
        <f t="shared" si="5"/>
        <v>144</v>
      </c>
      <c r="E17" s="21">
        <f t="shared" si="5"/>
        <v>1500</v>
      </c>
      <c r="F17" s="21">
        <f t="shared" si="5"/>
        <v>20</v>
      </c>
      <c r="G17" s="21">
        <f t="shared" si="5"/>
        <v>25</v>
      </c>
      <c r="H17" s="21">
        <f t="shared" si="5"/>
        <v>30</v>
      </c>
      <c r="I17" s="140">
        <f t="shared" si="5"/>
        <v>0.09090909091</v>
      </c>
      <c r="J17" s="140">
        <f t="shared" si="5"/>
        <v>0.086</v>
      </c>
      <c r="K17" s="140">
        <f t="shared" si="5"/>
        <v>0.084</v>
      </c>
      <c r="L17" s="141">
        <f t="shared" si="5"/>
        <v>0.09090909091</v>
      </c>
    </row>
    <row r="18">
      <c r="B18" s="145" t="s">
        <v>263</v>
      </c>
      <c r="C18" s="48">
        <f t="shared" ref="C18:L18" si="6">MIN(C8:C12)</f>
        <v>225</v>
      </c>
      <c r="D18" s="48">
        <f t="shared" si="6"/>
        <v>110</v>
      </c>
      <c r="E18" s="48">
        <f t="shared" si="6"/>
        <v>1005</v>
      </c>
      <c r="F18" s="48">
        <f t="shared" si="6"/>
        <v>10</v>
      </c>
      <c r="G18" s="48">
        <f t="shared" si="6"/>
        <v>11.5</v>
      </c>
      <c r="H18" s="48">
        <f t="shared" si="6"/>
        <v>13</v>
      </c>
      <c r="I18" s="146">
        <f t="shared" si="6"/>
        <v>0.07692307692</v>
      </c>
      <c r="J18" s="146">
        <f t="shared" si="6"/>
        <v>0.075</v>
      </c>
      <c r="K18" s="146">
        <f t="shared" si="6"/>
        <v>0.073</v>
      </c>
      <c r="L18" s="147">
        <f t="shared" si="6"/>
        <v>0.0625</v>
      </c>
    </row>
    <row r="20">
      <c r="B20" s="148" t="str">
        <f>Company_Name</f>
        <v>J&amp;T Bank</v>
      </c>
      <c r="C20" s="149">
        <v>150.0</v>
      </c>
      <c r="D20" s="149">
        <f>+'Operating-Model'!H228</f>
        <v>104.8634644</v>
      </c>
      <c r="E20" s="149">
        <f>+'Operating-Model'!H33</f>
        <v>1849.719219</v>
      </c>
      <c r="F20" s="149">
        <f>+'Operating-Model'!H154</f>
        <v>8.018464448</v>
      </c>
      <c r="G20" s="149">
        <f>+'Operating-Model'!I154</f>
        <v>9.848882431</v>
      </c>
      <c r="H20" s="149">
        <f>+'Operating-Model'!J154</f>
        <v>10.30379722</v>
      </c>
      <c r="I20" s="150">
        <f>+'Operating-Model'!H271</f>
        <v>0.07911326713</v>
      </c>
      <c r="J20" s="150">
        <f>+'Operating-Model'!I271</f>
        <v>0.09061817568</v>
      </c>
      <c r="K20" s="150">
        <f>+'Operating-Model'!J271</f>
        <v>0.08854932416</v>
      </c>
      <c r="L20" s="151">
        <f>+H20/G20-1</f>
        <v>0.04618948299</v>
      </c>
    </row>
    <row r="21" ht="14.25" customHeight="1"/>
    <row r="22" ht="15.75" customHeight="1">
      <c r="B22" s="114" t="s">
        <v>264</v>
      </c>
      <c r="C22" s="115" t="s">
        <v>241</v>
      </c>
      <c r="D22" s="116"/>
      <c r="E22" s="116"/>
      <c r="F22" s="117"/>
      <c r="G22" s="117"/>
      <c r="H22" s="117"/>
      <c r="I22" s="152"/>
      <c r="J22" s="117"/>
      <c r="K22" s="153"/>
    </row>
    <row r="23" ht="14.25" customHeight="1">
      <c r="B23" s="122"/>
      <c r="C23" s="123" t="s">
        <v>242</v>
      </c>
      <c r="D23" s="123" t="s">
        <v>243</v>
      </c>
      <c r="E23" s="123" t="s">
        <v>244</v>
      </c>
      <c r="F23" s="124" t="s">
        <v>265</v>
      </c>
      <c r="G23" s="125"/>
      <c r="H23" s="125"/>
      <c r="I23" s="124" t="s">
        <v>266</v>
      </c>
      <c r="J23" s="125"/>
      <c r="K23" s="154"/>
    </row>
    <row r="24" ht="15.75" customHeight="1">
      <c r="B24" s="128" t="s">
        <v>248</v>
      </c>
      <c r="C24" s="129" t="s">
        <v>249</v>
      </c>
      <c r="D24" s="129" t="s">
        <v>250</v>
      </c>
      <c r="E24" s="129" t="s">
        <v>251</v>
      </c>
      <c r="F24" s="130" t="str">
        <f t="shared" ref="F24:K24" si="7">F7</f>
        <v>LTM</v>
      </c>
      <c r="G24" s="130" t="str">
        <f t="shared" si="7"/>
        <v>Year 1</v>
      </c>
      <c r="H24" s="130" t="str">
        <f t="shared" si="7"/>
        <v>Year 2</v>
      </c>
      <c r="I24" s="129" t="str">
        <f t="shared" si="7"/>
        <v>LTM</v>
      </c>
      <c r="J24" s="129" t="str">
        <f t="shared" si="7"/>
        <v>Year 1</v>
      </c>
      <c r="K24" s="131" t="str">
        <f t="shared" si="7"/>
        <v>Year 2</v>
      </c>
    </row>
    <row r="25" ht="14.25" customHeight="1">
      <c r="B25" s="7" t="str">
        <f t="shared" ref="B25:E25" si="8">+B8</f>
        <v>North Star Bank</v>
      </c>
      <c r="C25" s="18">
        <f t="shared" si="8"/>
        <v>500</v>
      </c>
      <c r="D25" s="18">
        <f t="shared" si="8"/>
        <v>144</v>
      </c>
      <c r="E25" s="18">
        <f t="shared" si="8"/>
        <v>1005</v>
      </c>
      <c r="F25" s="155">
        <f t="shared" ref="F25:H25" si="9">$C25/F8</f>
        <v>25</v>
      </c>
      <c r="G25" s="155">
        <f t="shared" si="9"/>
        <v>20</v>
      </c>
      <c r="H25" s="155">
        <f t="shared" si="9"/>
        <v>16.66666667</v>
      </c>
      <c r="I25" s="155">
        <f t="shared" ref="I25:I29" si="12">+$C8/D8</f>
        <v>3.472222222</v>
      </c>
      <c r="J25" s="155">
        <v>3.3</v>
      </c>
      <c r="K25" s="155">
        <v>3.2</v>
      </c>
    </row>
    <row r="26" ht="14.25" customHeight="1">
      <c r="B26" s="7" t="str">
        <f t="shared" ref="B26:E26" si="10">+B9</f>
        <v>TFQ Bank</v>
      </c>
      <c r="C26" s="21">
        <f t="shared" si="10"/>
        <v>225</v>
      </c>
      <c r="D26" s="21">
        <f t="shared" si="10"/>
        <v>110</v>
      </c>
      <c r="E26" s="21">
        <f t="shared" si="10"/>
        <v>1500</v>
      </c>
      <c r="F26" s="155">
        <f t="shared" ref="F26:H26" si="11">$C26/F9</f>
        <v>22.5</v>
      </c>
      <c r="G26" s="155">
        <f t="shared" si="11"/>
        <v>19.56521739</v>
      </c>
      <c r="H26" s="155">
        <f t="shared" si="11"/>
        <v>17.30769231</v>
      </c>
      <c r="I26" s="155">
        <f t="shared" si="12"/>
        <v>2.045454545</v>
      </c>
      <c r="J26" s="155">
        <v>1.8</v>
      </c>
      <c r="K26" s="155">
        <v>1.6</v>
      </c>
    </row>
    <row r="27" ht="14.25" customHeight="1">
      <c r="B27" s="7" t="str">
        <f t="shared" ref="B27:E27" si="13">+B10</f>
        <v>Webster National Bank</v>
      </c>
      <c r="C27" s="21">
        <f t="shared" si="13"/>
        <v>1030</v>
      </c>
      <c r="D27" s="21">
        <f t="shared" si="13"/>
        <v>480</v>
      </c>
      <c r="E27" s="21">
        <f t="shared" si="13"/>
        <v>4300</v>
      </c>
      <c r="F27" s="155">
        <f t="shared" ref="F27:H27" si="14">$C27/F10</f>
        <v>20.6</v>
      </c>
      <c r="G27" s="155">
        <f t="shared" si="14"/>
        <v>18.72727273</v>
      </c>
      <c r="H27" s="155">
        <f t="shared" si="14"/>
        <v>17.16666667</v>
      </c>
      <c r="I27" s="155">
        <f t="shared" si="12"/>
        <v>2.145833333</v>
      </c>
      <c r="J27" s="155">
        <v>2.0</v>
      </c>
      <c r="K27" s="155">
        <v>1.9</v>
      </c>
    </row>
    <row r="28" ht="14.25" customHeight="1">
      <c r="B28" s="7" t="str">
        <f t="shared" ref="B28:E28" si="15">+B11</f>
        <v>Peak Capital Partners</v>
      </c>
      <c r="C28" s="21">
        <f t="shared" si="15"/>
        <v>900</v>
      </c>
      <c r="D28" s="21">
        <f t="shared" si="15"/>
        <v>350</v>
      </c>
      <c r="E28" s="21">
        <f t="shared" si="15"/>
        <v>5100</v>
      </c>
      <c r="F28" s="155">
        <f t="shared" ref="F28:H28" si="16">$C28/F11</f>
        <v>20</v>
      </c>
      <c r="G28" s="155">
        <f t="shared" si="16"/>
        <v>18.75</v>
      </c>
      <c r="H28" s="155">
        <f t="shared" si="16"/>
        <v>17.64705882</v>
      </c>
      <c r="I28" s="155">
        <f t="shared" si="12"/>
        <v>2.571428571</v>
      </c>
      <c r="J28" s="155">
        <v>2.5</v>
      </c>
      <c r="K28" s="155">
        <v>2.4</v>
      </c>
    </row>
    <row r="29" ht="14.25" customHeight="1">
      <c r="B29" s="7" t="str">
        <f t="shared" ref="B29:E29" si="17">+B12</f>
        <v>Silver Sterling Capital</v>
      </c>
      <c r="C29" s="21">
        <f t="shared" si="17"/>
        <v>1500</v>
      </c>
      <c r="D29" s="21">
        <f t="shared" si="17"/>
        <v>1300</v>
      </c>
      <c r="E29" s="21">
        <f t="shared" si="17"/>
        <v>6100</v>
      </c>
      <c r="F29" s="155">
        <f t="shared" ref="F29:H29" si="18">$C29/F12</f>
        <v>15</v>
      </c>
      <c r="G29" s="155">
        <f t="shared" si="18"/>
        <v>13.63636364</v>
      </c>
      <c r="H29" s="155">
        <f t="shared" si="18"/>
        <v>12.39669421</v>
      </c>
      <c r="I29" s="155">
        <f t="shared" si="12"/>
        <v>1.153846154</v>
      </c>
      <c r="J29" s="155">
        <v>1.1</v>
      </c>
      <c r="K29" s="155">
        <v>1.0</v>
      </c>
    </row>
    <row r="30" ht="14.25" customHeight="1">
      <c r="I30" s="156"/>
      <c r="J30" s="156"/>
      <c r="K30" s="156"/>
    </row>
    <row r="31" ht="14.25" customHeight="1">
      <c r="B31" s="135" t="s">
        <v>267</v>
      </c>
      <c r="C31" s="136">
        <f t="shared" ref="C31:K31" si="19">MAX(C25:C29)</f>
        <v>1500</v>
      </c>
      <c r="D31" s="136">
        <f t="shared" si="19"/>
        <v>1300</v>
      </c>
      <c r="E31" s="136">
        <f t="shared" si="19"/>
        <v>6100</v>
      </c>
      <c r="F31" s="157">
        <f t="shared" si="19"/>
        <v>25</v>
      </c>
      <c r="G31" s="157">
        <f t="shared" si="19"/>
        <v>20</v>
      </c>
      <c r="H31" s="157">
        <f t="shared" si="19"/>
        <v>17.64705882</v>
      </c>
      <c r="I31" s="157">
        <f t="shared" si="19"/>
        <v>3.472222222</v>
      </c>
      <c r="J31" s="157">
        <f t="shared" si="19"/>
        <v>3.3</v>
      </c>
      <c r="K31" s="158">
        <f t="shared" si="19"/>
        <v>3.2</v>
      </c>
    </row>
    <row r="32" ht="14.25" customHeight="1">
      <c r="B32" s="139" t="s">
        <v>268</v>
      </c>
      <c r="C32" s="21">
        <f t="shared" ref="C32:K32" si="20">QUARTILE(C25:C29,3)</f>
        <v>1030</v>
      </c>
      <c r="D32" s="21">
        <f t="shared" si="20"/>
        <v>480</v>
      </c>
      <c r="E32" s="21">
        <f t="shared" si="20"/>
        <v>5100</v>
      </c>
      <c r="F32" s="155">
        <f t="shared" si="20"/>
        <v>22.5</v>
      </c>
      <c r="G32" s="155">
        <f t="shared" si="20"/>
        <v>19.56521739</v>
      </c>
      <c r="H32" s="155">
        <f t="shared" si="20"/>
        <v>17.30769231</v>
      </c>
      <c r="I32" s="155">
        <f t="shared" si="20"/>
        <v>2.571428571</v>
      </c>
      <c r="J32" s="155">
        <f t="shared" si="20"/>
        <v>2.5</v>
      </c>
      <c r="K32" s="159">
        <f t="shared" si="20"/>
        <v>2.4</v>
      </c>
    </row>
    <row r="33" ht="14.25" customHeight="1">
      <c r="B33" s="66" t="s">
        <v>269</v>
      </c>
      <c r="C33" s="142">
        <f t="shared" ref="C33:K33" si="21">MEDIAN(C25:C29)</f>
        <v>900</v>
      </c>
      <c r="D33" s="142">
        <f t="shared" si="21"/>
        <v>350</v>
      </c>
      <c r="E33" s="142">
        <f t="shared" si="21"/>
        <v>4300</v>
      </c>
      <c r="F33" s="160">
        <f t="shared" si="21"/>
        <v>20.6</v>
      </c>
      <c r="G33" s="160">
        <f t="shared" si="21"/>
        <v>18.75</v>
      </c>
      <c r="H33" s="160">
        <f t="shared" si="21"/>
        <v>17.16666667</v>
      </c>
      <c r="I33" s="160">
        <f t="shared" si="21"/>
        <v>2.145833333</v>
      </c>
      <c r="J33" s="160">
        <f t="shared" si="21"/>
        <v>2</v>
      </c>
      <c r="K33" s="161">
        <f t="shared" si="21"/>
        <v>1.9</v>
      </c>
    </row>
    <row r="34" ht="14.25" customHeight="1">
      <c r="B34" s="139" t="s">
        <v>270</v>
      </c>
      <c r="C34" s="21">
        <f t="shared" ref="C34:K34" si="22">QUARTILE(C25:C29,1)</f>
        <v>500</v>
      </c>
      <c r="D34" s="21">
        <f t="shared" si="22"/>
        <v>144</v>
      </c>
      <c r="E34" s="21">
        <f t="shared" si="22"/>
        <v>1500</v>
      </c>
      <c r="F34" s="155">
        <f t="shared" si="22"/>
        <v>20</v>
      </c>
      <c r="G34" s="155">
        <f t="shared" si="22"/>
        <v>18.72727273</v>
      </c>
      <c r="H34" s="155">
        <f t="shared" si="22"/>
        <v>16.66666667</v>
      </c>
      <c r="I34" s="155">
        <f t="shared" si="22"/>
        <v>2.045454545</v>
      </c>
      <c r="J34" s="155">
        <f t="shared" si="22"/>
        <v>1.8</v>
      </c>
      <c r="K34" s="159">
        <f t="shared" si="22"/>
        <v>1.6</v>
      </c>
    </row>
    <row r="35" ht="14.25" customHeight="1">
      <c r="B35" s="145" t="s">
        <v>271</v>
      </c>
      <c r="C35" s="48">
        <f t="shared" ref="C35:K35" si="23">MIN(C25:C29)</f>
        <v>225</v>
      </c>
      <c r="D35" s="48">
        <f t="shared" si="23"/>
        <v>110</v>
      </c>
      <c r="E35" s="48">
        <f t="shared" si="23"/>
        <v>1005</v>
      </c>
      <c r="F35" s="162">
        <f t="shared" si="23"/>
        <v>15</v>
      </c>
      <c r="G35" s="162">
        <f t="shared" si="23"/>
        <v>13.63636364</v>
      </c>
      <c r="H35" s="162">
        <f t="shared" si="23"/>
        <v>12.39669421</v>
      </c>
      <c r="I35" s="162">
        <f t="shared" si="23"/>
        <v>1.153846154</v>
      </c>
      <c r="J35" s="162">
        <f t="shared" si="23"/>
        <v>1.1</v>
      </c>
      <c r="K35" s="163">
        <f t="shared" si="23"/>
        <v>1</v>
      </c>
    </row>
    <row r="36" ht="14.25" customHeight="1">
      <c r="I36" s="156"/>
      <c r="J36" s="156"/>
      <c r="K36" s="156"/>
    </row>
    <row r="37" ht="14.25" customHeight="1">
      <c r="B37" s="148" t="str">
        <f t="shared" ref="B37:E37" si="24">B20</f>
        <v>J&amp;T Bank</v>
      </c>
      <c r="C37" s="149">
        <f t="shared" si="24"/>
        <v>150</v>
      </c>
      <c r="D37" s="149">
        <f t="shared" si="24"/>
        <v>104.8634644</v>
      </c>
      <c r="E37" s="149">
        <f t="shared" si="24"/>
        <v>1849.719219</v>
      </c>
      <c r="F37" s="164">
        <f t="shared" ref="F37:H37" si="25">+$C20/F20</f>
        <v>18.7068236</v>
      </c>
      <c r="G37" s="164">
        <f t="shared" si="25"/>
        <v>15.23015439</v>
      </c>
      <c r="H37" s="164">
        <f t="shared" si="25"/>
        <v>14.55773991</v>
      </c>
      <c r="I37" s="164">
        <f>+$C20/D20</f>
        <v>1.430431474</v>
      </c>
      <c r="J37" s="164">
        <f>+$C20/'Operating-Model'!I228</f>
        <v>1.333243847</v>
      </c>
      <c r="K37" s="165">
        <f>+$C20/'Operating-Model'!J228</f>
        <v>1.247744515</v>
      </c>
    </row>
    <row r="38" ht="14.2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E5"/>
    <mergeCell ref="F6:H6"/>
    <mergeCell ref="I6:K6"/>
    <mergeCell ref="C22:E22"/>
    <mergeCell ref="F23:H23"/>
    <mergeCell ref="I23:K23"/>
  </mergeCells>
  <printOptions/>
  <pageMargins bottom="0.75" footer="0.0" header="0.0" left="0.7" right="0.7" top="0.75"/>
  <pageSetup scale="54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0.0"/>
    <col customWidth="1" min="3" max="3" width="19.86"/>
    <col customWidth="1" min="4" max="4" width="14.14"/>
    <col customWidth="1" min="5" max="10" width="12.71"/>
    <col customWidth="1" min="11" max="26" width="8.86"/>
  </cols>
  <sheetData>
    <row r="2">
      <c r="B2" s="1" t="s">
        <v>272</v>
      </c>
    </row>
    <row r="3">
      <c r="B3" s="2" t="s">
        <v>200</v>
      </c>
    </row>
    <row r="5">
      <c r="B5" s="114" t="str">
        <f>TEXT(Company_Name,"")&amp; " - Comparable M&amp;A Transactions"</f>
        <v>J&amp;T Bank - Comparable M&amp;A Transactions</v>
      </c>
      <c r="C5" s="118"/>
      <c r="D5" s="118"/>
      <c r="E5" s="118"/>
      <c r="F5" s="118"/>
      <c r="G5" s="118"/>
      <c r="H5" s="118"/>
      <c r="I5" s="118"/>
      <c r="J5" s="121"/>
    </row>
    <row r="6">
      <c r="B6" s="122"/>
      <c r="C6" s="166"/>
      <c r="D6" s="167"/>
      <c r="E6" s="123" t="s">
        <v>273</v>
      </c>
      <c r="F6" s="124" t="s">
        <v>274</v>
      </c>
      <c r="G6" s="125"/>
      <c r="H6" s="125"/>
      <c r="I6" s="124" t="s">
        <v>275</v>
      </c>
      <c r="J6" s="154"/>
    </row>
    <row r="7">
      <c r="B7" s="122"/>
      <c r="C7" s="166"/>
      <c r="D7" s="123" t="s">
        <v>276</v>
      </c>
      <c r="E7" s="123" t="s">
        <v>242</v>
      </c>
      <c r="F7" s="123" t="s">
        <v>244</v>
      </c>
      <c r="G7" s="123" t="s">
        <v>243</v>
      </c>
      <c r="H7" s="123" t="s">
        <v>277</v>
      </c>
      <c r="I7" s="123"/>
      <c r="J7" s="127" t="s">
        <v>278</v>
      </c>
    </row>
    <row r="8">
      <c r="B8" s="168" t="s">
        <v>279</v>
      </c>
      <c r="C8" s="129" t="s">
        <v>280</v>
      </c>
      <c r="D8" s="129" t="s">
        <v>281</v>
      </c>
      <c r="E8" s="129" t="s">
        <v>249</v>
      </c>
      <c r="F8" s="129" t="s">
        <v>251</v>
      </c>
      <c r="G8" s="129" t="s">
        <v>250</v>
      </c>
      <c r="H8" s="129" t="s">
        <v>282</v>
      </c>
      <c r="I8" s="129" t="s">
        <v>283</v>
      </c>
      <c r="J8" s="131" t="s">
        <v>284</v>
      </c>
    </row>
    <row r="9">
      <c r="B9" s="169" t="s">
        <v>254</v>
      </c>
      <c r="C9" s="169" t="s">
        <v>285</v>
      </c>
      <c r="D9" s="170" t="s">
        <v>286</v>
      </c>
      <c r="E9" s="18">
        <v>200.0</v>
      </c>
      <c r="F9" s="171">
        <v>1050.0</v>
      </c>
      <c r="G9" s="171">
        <v>100.0</v>
      </c>
      <c r="H9" s="171">
        <v>10.0</v>
      </c>
      <c r="I9" s="155">
        <f t="shared" ref="I9:J9" si="1">+$E9/G9</f>
        <v>2</v>
      </c>
      <c r="J9" s="155">
        <f t="shared" si="1"/>
        <v>20</v>
      </c>
    </row>
    <row r="10">
      <c r="B10" s="169" t="s">
        <v>255</v>
      </c>
      <c r="C10" s="169" t="s">
        <v>287</v>
      </c>
      <c r="D10" s="170" t="s">
        <v>288</v>
      </c>
      <c r="E10" s="172">
        <v>249.0</v>
      </c>
      <c r="F10" s="172">
        <v>1575.0</v>
      </c>
      <c r="G10" s="172">
        <v>125.0</v>
      </c>
      <c r="H10" s="172">
        <v>11.0</v>
      </c>
      <c r="I10" s="155">
        <f t="shared" ref="I10:J10" si="2">+$E10/G10</f>
        <v>1.992</v>
      </c>
      <c r="J10" s="155">
        <f t="shared" si="2"/>
        <v>22.63636364</v>
      </c>
    </row>
    <row r="11">
      <c r="B11" s="169" t="s">
        <v>256</v>
      </c>
      <c r="C11" s="169" t="s">
        <v>289</v>
      </c>
      <c r="D11" s="170" t="s">
        <v>290</v>
      </c>
      <c r="E11" s="172">
        <v>750.0</v>
      </c>
      <c r="F11" s="172">
        <v>4305.0</v>
      </c>
      <c r="G11" s="172">
        <v>300.0</v>
      </c>
      <c r="H11" s="172">
        <v>28.0</v>
      </c>
      <c r="I11" s="155">
        <f t="shared" ref="I11:J11" si="3">+$E11/G11</f>
        <v>2.5</v>
      </c>
      <c r="J11" s="155">
        <f t="shared" si="3"/>
        <v>26.78571429</v>
      </c>
    </row>
    <row r="12">
      <c r="B12" s="169" t="s">
        <v>257</v>
      </c>
      <c r="C12" s="169" t="s">
        <v>291</v>
      </c>
      <c r="D12" s="170" t="s">
        <v>292</v>
      </c>
      <c r="E12" s="172">
        <v>450.0</v>
      </c>
      <c r="F12" s="172">
        <v>2145.0</v>
      </c>
      <c r="G12" s="172">
        <v>200.0</v>
      </c>
      <c r="H12" s="172">
        <v>21.0</v>
      </c>
      <c r="I12" s="155">
        <f t="shared" ref="I12:J12" si="4">+$E12/G12</f>
        <v>2.25</v>
      </c>
      <c r="J12" s="155">
        <f t="shared" si="4"/>
        <v>21.42857143</v>
      </c>
    </row>
    <row r="13">
      <c r="B13" s="169" t="s">
        <v>258</v>
      </c>
      <c r="C13" s="169" t="s">
        <v>293</v>
      </c>
      <c r="D13" s="170" t="s">
        <v>294</v>
      </c>
      <c r="E13" s="172">
        <v>1020.0</v>
      </c>
      <c r="F13" s="172">
        <v>5168.0</v>
      </c>
      <c r="G13" s="172">
        <v>400.0</v>
      </c>
      <c r="H13" s="172">
        <v>39.0</v>
      </c>
      <c r="I13" s="155">
        <f t="shared" ref="I13:J13" si="5">+$E13/G13</f>
        <v>2.55</v>
      </c>
      <c r="J13" s="155">
        <f t="shared" si="5"/>
        <v>26.15384615</v>
      </c>
    </row>
    <row r="15">
      <c r="B15" s="135" t="s">
        <v>267</v>
      </c>
      <c r="C15" s="25"/>
      <c r="D15" s="25"/>
      <c r="E15" s="136">
        <f t="shared" ref="E15:J15" si="6">MAX(E9:E13)</f>
        <v>1020</v>
      </c>
      <c r="F15" s="136">
        <f t="shared" si="6"/>
        <v>5168</v>
      </c>
      <c r="G15" s="136">
        <f t="shared" si="6"/>
        <v>400</v>
      </c>
      <c r="H15" s="136">
        <f t="shared" si="6"/>
        <v>39</v>
      </c>
      <c r="I15" s="157">
        <f t="shared" si="6"/>
        <v>2.55</v>
      </c>
      <c r="J15" s="158">
        <f t="shared" si="6"/>
        <v>26.78571429</v>
      </c>
    </row>
    <row r="16">
      <c r="B16" s="139" t="s">
        <v>268</v>
      </c>
      <c r="E16" s="21">
        <f t="shared" ref="E16:F16" si="7">QUARTILE(E9:E13,3)</f>
        <v>750</v>
      </c>
      <c r="F16" s="21">
        <f t="shared" si="7"/>
        <v>4305</v>
      </c>
      <c r="G16" s="21">
        <v>0.0</v>
      </c>
      <c r="H16" s="21">
        <f t="shared" ref="H16:J16" si="8">QUARTILE(H9:H13,3)</f>
        <v>28</v>
      </c>
      <c r="I16" s="155">
        <f t="shared" si="8"/>
        <v>2.5</v>
      </c>
      <c r="J16" s="159">
        <f t="shared" si="8"/>
        <v>26.15384615</v>
      </c>
    </row>
    <row r="17">
      <c r="B17" s="66" t="s">
        <v>269</v>
      </c>
      <c r="C17" s="173"/>
      <c r="D17" s="173"/>
      <c r="E17" s="142">
        <f t="shared" ref="E17:J17" si="9">MEDIAN(E9:E13)</f>
        <v>450</v>
      </c>
      <c r="F17" s="142">
        <f t="shared" si="9"/>
        <v>2145</v>
      </c>
      <c r="G17" s="142">
        <f t="shared" si="9"/>
        <v>200</v>
      </c>
      <c r="H17" s="142">
        <f t="shared" si="9"/>
        <v>21</v>
      </c>
      <c r="I17" s="160">
        <f t="shared" si="9"/>
        <v>2.25</v>
      </c>
      <c r="J17" s="161">
        <f t="shared" si="9"/>
        <v>22.63636364</v>
      </c>
    </row>
    <row r="18">
      <c r="B18" s="139" t="s">
        <v>270</v>
      </c>
      <c r="E18" s="21">
        <f t="shared" ref="E18:J18" si="10">QUARTILE(E9:E13,1)</f>
        <v>249</v>
      </c>
      <c r="F18" s="21">
        <f t="shared" si="10"/>
        <v>1575</v>
      </c>
      <c r="G18" s="21">
        <f t="shared" si="10"/>
        <v>125</v>
      </c>
      <c r="H18" s="21">
        <f t="shared" si="10"/>
        <v>11</v>
      </c>
      <c r="I18" s="155">
        <f t="shared" si="10"/>
        <v>2</v>
      </c>
      <c r="J18" s="159">
        <f t="shared" si="10"/>
        <v>21.42857143</v>
      </c>
    </row>
    <row r="19">
      <c r="B19" s="145" t="s">
        <v>271</v>
      </c>
      <c r="C19" s="47"/>
      <c r="D19" s="47"/>
      <c r="E19" s="48">
        <f t="shared" ref="E19:J19" si="11">MIN(E9:E13)</f>
        <v>200</v>
      </c>
      <c r="F19" s="48">
        <f t="shared" si="11"/>
        <v>1050</v>
      </c>
      <c r="G19" s="48">
        <f t="shared" si="11"/>
        <v>100</v>
      </c>
      <c r="H19" s="48">
        <f t="shared" si="11"/>
        <v>10</v>
      </c>
      <c r="I19" s="162">
        <f t="shared" si="11"/>
        <v>1.992</v>
      </c>
      <c r="J19" s="163">
        <f t="shared" si="11"/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6:H6"/>
    <mergeCell ref="I6:J6"/>
  </mergeCells>
  <printOptions/>
  <pageMargins bottom="0.75" footer="0.0" header="0.0" left="0.7" right="0.7" top="0.75"/>
  <pageSetup paperSize="9"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2009-06-26T05:31:17Z</dcterms:created>
  <dc:creator>BIWS</dc:creator>
</cp:coreProperties>
</file>