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ZZ_DCF" sheetId="1" r:id="rId4"/>
    <sheet state="visible" name="Public_Comps_Screener" sheetId="2" r:id="rId5"/>
    <sheet state="visible" name="Public_Comps" sheetId="3" r:id="rId6"/>
    <sheet state="visible" name="Public_Comps_Data" sheetId="4" r:id="rId7"/>
    <sheet state="visible" name="MA_Comps" sheetId="5" r:id="rId8"/>
    <sheet state="visible" name="WACC" sheetId="6" r:id="rId9"/>
  </sheets>
  <definedNames>
    <definedName name="Hist_Year">JAZZ_DCF!$K$7</definedName>
    <definedName name="WACC">WACC!$L$43</definedName>
    <definedName name="Pub_Comps_Tickers">Public_Comps_Data!$B$1:$AU$1</definedName>
    <definedName name="Cost_of_Debt">WACC!$F$8</definedName>
    <definedName name="Tax_Rate">JAZZ_DCF!$D$12</definedName>
    <definedName name="Pub_Comps_Params">Public_Comps_Data!$B$1:$B$128</definedName>
    <definedName name="Equity_Risk_Premium">WACC!$F$7</definedName>
    <definedName name="Phase_2_Risk_Adjustment">JAZZ_DCF!$D$16</definedName>
    <definedName name="Risk_Free_Rate">WACC!$F$6</definedName>
    <definedName name="US_Pop_Growth_Rate">JAZZ_DCF!$D$15</definedName>
    <definedName name="Pub_Comps_Range">Public_Comps_Data!$B$1:$AU$128</definedName>
    <definedName name="Ticker">JAZZ_DCF!$D$8</definedName>
    <definedName name="Valuation_Date">JAZZ_DCF!$K$10</definedName>
    <definedName name="Share_Price">JAZZ_DCF!$D$11</definedName>
    <definedName name="Basic_Shares">Public_Comps_Data!$AU$49</definedName>
    <definedName name="Scenario">JAZZ_DCF!$D$14</definedName>
    <definedName name="Next_Year">JAZZ_DCF!$K$8</definedName>
    <definedName name="Units">JAZZ_DCF!$D$9</definedName>
    <definedName name="Company_Name">JAZZ_DCF!$D$7</definedName>
    <definedName name="Cost_of_Preferred">WACC!$F$9</definedName>
  </definedNames>
  <calcPr/>
  <extLst>
    <ext uri="GoogleSheetsCustomDataVersion2">
      <go:sheetsCustomData xmlns:go="http://customooxmlschemas.google.com/" r:id="rId10" roundtripDataChecksum="ezmgqlZUBlx4yGATor0BE7LNKkF0igLacSrD+7NtjU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75">
      <text>
        <t xml:space="preserve">======
ID#AAABqajhlMs
BIWS    (2025-08-31 07:56:07)
Per pg. 21 of 10-Q.</t>
      </text>
    </comment>
    <comment authorId="0" ref="I104">
      <text>
        <t xml:space="preserve">======
ID#AAABqajhlMo
BIWS    (2025-08-31 07:56:07)
Cancer.net estimate of the # of adult diagnoses * % SCLC.</t>
      </text>
    </comment>
    <comment authorId="0" ref="I30">
      <text>
        <t xml:space="preserve">======
ID#AAABqajhlMc
BIWS    (2025-08-31 07:56:07)
In-line with average historical price increase over the past ~5 years.</t>
      </text>
    </comment>
    <comment authorId="0" ref="I70">
      <text>
        <t xml:space="preserve">======
ID#AAABqajhlMg
BIWS    (2025-08-31 07:56:07)
8.2% increase for FY 21, but using the long-term average here to simplify.</t>
      </text>
    </comment>
    <comment authorId="0" ref="I97">
      <text>
        <t xml:space="preserve">======
ID#AAABqajhlMU
BIWS    (2025-08-31 07:56:07)
30-day supply prices per the investor presentation.</t>
      </text>
    </comment>
    <comment authorId="0" ref="H61">
      <text>
        <t xml:space="preserve">======
ID#AAABqajhlMA
BIWS    (2025-08-31 07:56:07)
Dravet + LGS + TSC potential patients from investor presentation about the deal.</t>
      </text>
    </comment>
    <comment authorId="0" ref="I44">
      <text>
        <t xml:space="preserve">======
ID#AAABqajhlME
BIWS    (2025-08-31 07:56:07)
"Average" count over the course of Q4 since it launched in November.</t>
      </text>
    </comment>
    <comment authorId="0" ref="J142">
      <text>
        <t xml:space="preserve">======
ID#AAABqajhlMI
BIWS    (2025-08-31 07:56:07)
Based on blended estimate of branded and generic annual pricing for primidone, the closest proxy.</t>
      </text>
    </comment>
    <comment authorId="0" ref="L175">
      <text>
        <t xml:space="preserve">======
ID#AAABqajhlL8
BIWS    (2025-08-31 07:56:07)
Per pg. 21 of 10-Q.</t>
      </text>
    </comment>
    <comment authorId="0" ref="M82">
      <text>
        <t xml:space="preserve">======
ID#AAABqajhlLo
BIWS    (2025-08-31 07:56:07)
Per sales estimates of close to $250M by this year; assumed peak, in-line with Erwinaze.</t>
      </text>
    </comment>
    <comment authorId="0" ref="H97">
      <text>
        <t xml:space="preserve">======
ID#AAABqajhlLs
BIWS    (2025-08-31 07:56:07)
30-day supply prices per the investor presentation.</t>
      </text>
    </comment>
    <comment authorId="0" ref="E42">
      <text>
        <t xml:space="preserve">======
ID#AAABqajhlLc
BIWS    (2025-08-31 07:56:07)
Based on older filing.</t>
      </text>
    </comment>
    <comment authorId="0" ref="J84">
      <text>
        <t xml:space="preserve">======
ID#AAABqajhlLU
BIWS    (2025-08-31 07:56:07)
In-line with current Erwinaze pricing, at ~$400K per year.</t>
      </text>
    </comment>
    <comment authorId="0" ref="I32">
      <text>
        <t xml:space="preserve">======
ID#AAABqajhlLY
BIWS    (2025-08-31 07:56:07)
In-line with inflation.</t>
      </text>
    </comment>
    <comment authorId="0" ref="G73">
      <text>
        <t xml:space="preserve">======
ID#AAABqajhlLI
BIWS    (2025-08-31 07:56:07)
Using the GW 10-K due to the lack of disclosures in the investor presentation.</t>
      </text>
    </comment>
    <comment authorId="0" ref="J78">
      <text>
        <t xml:space="preserve">======
ID#AAABqajhlK4
BIWS    (2025-08-31 07:56:07)
Per company estimates in investor presentation. 30 per million &lt; 20 yo.</t>
      </text>
    </comment>
    <comment authorId="0" ref="I149">
      <text>
        <t xml:space="preserve">======
ID#AAABqajhlK8
BIWS    (2025-08-31 07:56:07)
Per the company's estimates in the investor presentation. Much lower than 8M figure cited elsewhere.</t>
      </text>
    </comment>
    <comment authorId="0" ref="J109">
      <text>
        <t xml:space="preserve">======
ID#AAABqajhlKw
BIWS    (2025-08-31 07:56:07)
Per run-run rate of $220M for FY 21 per 10-Q.</t>
      </text>
    </comment>
    <comment authorId="0" ref="K175">
      <text>
        <t xml:space="preserve">======
ID#AAABqajhlKg
BIWS    (2025-08-31 07:56:07)
Per pg. 21 of 10-Q.</t>
      </text>
    </comment>
    <comment authorId="0" ref="G71">
      <text>
        <t xml:space="preserve">======
ID#AAABqajhlKU
BIWS    (2025-08-31 07:56:07)
Based on list price when drug was first approved.</t>
      </text>
    </comment>
    <comment authorId="0" ref="E26">
      <text>
        <t xml:space="preserve">======
ID#AAABqajhlKQ
BIWS    (2025-08-31 07:56:07)
Based on older filing.</t>
      </text>
    </comment>
    <comment authorId="0" ref="I61">
      <text>
        <t xml:space="preserve">======
ID#AAABqajhlJ8
BIWS    (2025-08-31 07:56:07)
Dravet + LGS + TSC potential patients from investor presentation about the deal.</t>
      </text>
    </comment>
    <comment authorId="0" ref="E25">
      <text>
        <t xml:space="preserve">======
ID#AAABqajhlJw
BIWS    (2025-08-31 07:56:07)
Based on older filing.</t>
      </text>
    </comment>
    <comment authorId="0" ref="H73">
      <text>
        <t xml:space="preserve">======
ID#AAABqajhlJ0
BIWS    (2025-08-31 07:56:07)
Per investor presentation about the acquisition.</t>
      </text>
    </comment>
    <comment authorId="0" ref="E91">
      <text>
        <t xml:space="preserve">======
ID#AAABqajhlJ4
BIWS    (2025-08-31 07:56:07)
Also a drug for EDS, just like Xyrem, so linking to that for the market size here.</t>
      </text>
    </comment>
    <comment authorId="0" ref="M175">
      <text>
        <t xml:space="preserve">======
ID#AAABqajhlJk
BIWS    (2025-08-31 07:56:07)
Per pg. 21 of 10-Q.</t>
      </text>
    </comment>
    <comment authorId="0" ref="E39">
      <text>
        <t xml:space="preserve">======
ID#AAABqajhlJo
BIWS    (2025-08-31 07:56:07)
Based on older filing.</t>
      </text>
    </comment>
    <comment authorId="0" ref="I119">
      <text>
        <t xml:space="preserve">======
ID#AAABqajhlJs
BIWS    (2025-08-31 07:56:07)
"High teens to 30%" quoted in investor presentation.</t>
      </text>
    </comment>
    <comment authorId="0" ref="I24">
      <text>
        <t xml:space="preserve">======
ID#AAABqajhlJg
BIWS    (2025-08-31 07:56:07)
Per estimate of 15,300 total on Xyrem + Xywav and 1,900 for Xywav.</t>
      </text>
    </comment>
    <comment authorId="0" ref="I52">
      <text>
        <t xml:space="preserve">======
ID#AAABqajhlJU
BIWS    (2025-08-31 07:56:07)
Because Xywav was launched in Q4 of 2020; annualizing the number.</t>
      </text>
    </comment>
    <comment authorId="0" ref="J104">
      <text>
        <t xml:space="preserve">======
ID#AAABqajhlJQ
BIWS    (2025-08-31 07:56:07)
Incidence rates have dropped by 2% per year historically.</t>
      </text>
    </comment>
    <comment authorId="0" ref="J175">
      <text>
        <t xml:space="preserve">======
ID#AAABqacWw6k
BIWS    (2025-08-31 07:56:07)
Per 10-Q IS and pg. 21 of 10-Q.</t>
      </text>
    </comment>
    <comment authorId="0" ref="J157">
      <text>
        <t xml:space="preserve">======
ID#AAABqacWw6g
BIWS    (2025-08-31 07:56:07)
Based on blended estimate of branded and generic annual pricing for Paxil (antidepressant for PTSD), the closest proxy.</t>
      </text>
    </comment>
    <comment authorId="0" ref="N48">
      <text>
        <t xml:space="preserve">======
ID#AAABqacWw6Q
BIWS    (2025-08-31 07:56:07)
Per analyst estimate ~$1.1 billion in peak sales in FY 25. Being a bit more optimistic and assume close to Xyrem replacement revenue level.</t>
      </text>
    </comment>
    <comment authorId="0" ref="I73">
      <text>
        <t xml:space="preserve">======
ID#AAABqacWw6Y
BIWS    (2025-08-31 07:56:07)
Per investor presentation about the acquisition.</t>
      </text>
    </comment>
    <comment authorId="0" ref="N109">
      <text>
        <t xml:space="preserve">======
ID#AAABqacWw6U
BIWS    (2025-08-31 07:56:07)
Per peak sales estimates of $600M - $700M.</t>
      </text>
    </comment>
    <comment authorId="0" ref="I23">
      <text>
        <t xml:space="preserve">======
ID#AAABqacWw6I
BIWS    (2025-08-31 07:56:07)
Based on U.S. population estimates and incidence rate of 1 / 2,000.</t>
      </text>
    </comment>
    <comment authorId="0" ref="I113">
      <text>
        <t xml:space="preserve">======
ID#AAABqacWw6E
BIWS    (2025-08-31 07:56:07)
Per WAC estimates in company presentation (median of 4 cycles per patient).</t>
      </text>
    </comment>
    <comment authorId="0" ref="G61">
      <text>
        <t xml:space="preserve">======
ID#AAABqacWw6M
BIWS    (2025-08-31 07:56:07)
Dravet + LGS + TSC potential patients from investor presentation about the deal.</t>
      </text>
    </comment>
    <comment authorId="0" ref="I169">
      <text>
        <t xml:space="preserve">======
ID#AAABqacWw58
BIWS    (2025-08-31 07:56:07)
Pg. 13 of 10-K.</t>
      </text>
    </comment>
    <comment authorId="0" ref="I31">
      <text>
        <t xml:space="preserve">======
ID#AAABqacWw54
BIWS    (2025-08-31 07:56:07)
Typical drop when generics are introduced; steeper than the Xyrem vs. Xywav price difference.</t>
      </text>
    </comment>
    <comment authorId="0" ref="I134">
      <text>
        <t xml:space="preserve">======
ID#AAABqacWw50
BIWS    (2025-08-31 07:56:07)
Per the Tremor Journal estimates; 2.2% of U.S. population.</t>
      </text>
    </comment>
  </commentList>
  <extLst>
    <ext uri="GoogleSheetsCustomDataVersion2">
      <go:sheetsCustomData xmlns:go="http://customooxmlschemas.google.com/" r:id="rId1" roundtripDataSignature="AMtx7mjlLciI+qNJVrTAbzntGkN6RuZ9s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73">
      <text>
        <t xml:space="preserve">======
ID#AAABqajhlMY
BIWS    (2025-08-31 07:56:07)
RSUs + LTIPs.</t>
      </text>
    </comment>
    <comment authorId="0" ref="K73">
      <text>
        <t xml:space="preserve">======
ID#AAABqajhlKM
BIWS    (2025-08-31 07:56:07)
RSUs + PSUs on pg. 36 of 10-Q.</t>
      </text>
    </comment>
  </commentList>
  <extLst>
    <ext uri="GoogleSheetsCustomDataVersion2">
      <go:sheetsCustomData xmlns:go="http://customooxmlschemas.google.com/" r:id="rId1" roundtripDataSignature="AMtx7mi5Jg77/+hvZ+bSGt2wits75AdT7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14">
      <text>
        <t xml:space="preserve">======
ID#AAABqajhlM0
BIWS    (2025-08-31 07:56:07)
Per press releases.</t>
      </text>
    </comment>
    <comment authorId="0" ref="F10">
      <text>
        <t xml:space="preserve">======
ID#AAABqajhlMw
BIWS    (2025-08-31 07:56:07)
From the separate calculation sheet.</t>
      </text>
    </comment>
    <comment authorId="0" ref="K18">
      <text>
        <t xml:space="preserve">======
ID#AAABqajhlMM
BIWS    (2025-08-31 07:56:07)
Matches the "undisturbed share price" from Mar 30 before M&amp;A rumors leaked:
https://www.reuters.com/article/us-medivation-m-a-pfizer/pfizer-boosts-cancer-drug-roster-with-14-billion-medivation-deal-idUSKCN10W0YG</t>
      </text>
    </comment>
    <comment authorId="0" ref="J19">
      <text>
        <t xml:space="preserve">======
ID#AAABqajhlMQ
BIWS    (2025-08-31 07:56:07)
Per press releases.</t>
      </text>
    </comment>
    <comment authorId="0" ref="J18">
      <text>
        <t xml:space="preserve">======
ID#AAABqajhlL4
BIWS    (2025-08-31 07:56:07)
Per press releases:
https://www.fiercepharma.com/pharma/pfizer-ready-to-shell-out-14b-for-most-wanted-m-a-target-medivation-ft</t>
      </text>
    </comment>
    <comment authorId="0" ref="J16">
      <text>
        <t xml:space="preserve">======
ID#AAABqajhlL0
BIWS    (2025-08-31 07:56:07)
Private company.</t>
      </text>
    </comment>
    <comment authorId="0" ref="E10">
      <text>
        <t xml:space="preserve">======
ID#AAABqajhlLw
BIWS    (2025-08-31 07:56:07)
From the separate calculation sheet.</t>
      </text>
    </comment>
    <comment authorId="0" ref="J10">
      <text>
        <t xml:space="preserve">======
ID#AAABqajhlLg
BIWS    (2025-08-31 07:56:07)
According to the Fairness Opinion.</t>
      </text>
    </comment>
    <comment authorId="0" ref="K19">
      <text>
        <t xml:space="preserve">======
ID#AAABqajhlLk
BIWS    (2025-08-31 07:56:07)
From Feb 24 before deal rumors broke. Matches premium quoted in AbbVie's docs:
https://investors.abbvie.com/static-files/831e9425-2ead-4621-8c21-c2f8ca1931a1</t>
      </text>
    </comment>
    <comment authorId="0" ref="J21">
      <text>
        <t xml:space="preserve">======
ID#AAABqajhlLQ
BIWS    (2025-08-31 07:56:07)
Per press releases.</t>
      </text>
    </comment>
    <comment authorId="0" ref="K23">
      <text>
        <t xml:space="preserve">======
ID#AAABqajhlLM
BIWS    (2025-08-31 07:56:07)
Matches the Feb 14 share price quoted here:
https://www.sec.gov/Archives/edgar/data/38074/000119312514056305/d679333dex991.htm</t>
      </text>
    </comment>
    <comment authorId="0" ref="J12">
      <text>
        <t xml:space="preserve">======
ID#AAABqajhlLA
BIWS    (2025-08-31 07:56:07)
From press releases and FO:
https://www.sec.gov/Archives/edgar/data/1620546/000104746916012302/a2228310zdefm14a.htm</t>
      </text>
    </comment>
    <comment authorId="0" ref="K25">
      <text>
        <t xml:space="preserve">======
ID#AAABqajhlLE
BIWS    (2025-08-31 07:56:07)
From June 28 before deal rumors leaked, per the article here:
https://www.sec.gov/litigation/litreleases/2013/lr22747.htm</t>
      </text>
    </comment>
    <comment authorId="0" ref="K21">
      <text>
        <t xml:space="preserve">======
ID#AAABqajhlK0
BIWS    (2025-08-31 07:56:07)
Matches the share price on Dec 5 quoted here:
https://www.sec.gov/Archives/edgar/data/912183/000119312514447759/d839956dsc14d9.htm</t>
      </text>
    </comment>
    <comment authorId="0" ref="K20">
      <text>
        <t xml:space="preserve">======
ID#AAABqajhlKo
BIWS    (2025-08-31 07:56:07)
Using "unaffected share price" from Jan. 16 per press release:
https://www.healio.com/news/gastroenterology/20150316/valeant-increased-offer-price-in-salix-acquisition</t>
      </text>
    </comment>
    <comment authorId="0" ref="K13">
      <text>
        <t xml:space="preserve">======
ID#AAABqajhlKc
BIWS    (2025-08-31 07:56:07)
Based on April 21 price before first unsolicited proposal.</t>
      </text>
    </comment>
    <comment authorId="0" ref="G10">
      <text>
        <t xml:space="preserve">======
ID#AAABqajhlKY
BIWS    (2025-08-31 07:56:07)
From the separate calculation sheet.</t>
      </text>
    </comment>
    <comment authorId="0" ref="J13">
      <text>
        <t xml:space="preserve">======
ID#AAABqajhlKI
BIWS    (2025-08-31 07:56:07)
Per press releases. FO here:
https://www.sec.gov/Archives/edgar/data/1578845/000119312514452709/d838083ds4.htm</t>
      </text>
    </comment>
    <comment authorId="0" ref="J20">
      <text>
        <t xml:space="preserve">======
ID#AAABqajhlKA
BIWS    (2025-08-31 07:56:07)
Original price was $158, but Valeant increased it to $173:
https://www.prnewswire.com/news-releases/valeant-and-salix-agree-on-amended-terms-to-merger-agreement-300050725.html</t>
      </text>
    </comment>
    <comment authorId="0" ref="K12">
      <text>
        <t xml:space="preserve">======
ID#AAABqajhlKE
BIWS    (2025-08-31 07:56:07)
Using Aug. 3 share price to get undisturbed numbers.</t>
      </text>
    </comment>
    <comment authorId="0" ref="J24">
      <text>
        <t xml:space="preserve">======
ID#AAABqajhlJc
BIWS    (2025-08-31 07:56:07)
Private company.</t>
      </text>
    </comment>
    <comment authorId="0" ref="E20">
      <text>
        <t xml:space="preserve">======
ID#AAABqajhlJY
BIWS    (2025-08-31 07:56:07)
Per the revised offer price of $173. Adding $1 billion to TEV.
https://www.prnewswire.com/news-releases/valeant-and-salix-agree-on-amended-terms-to-merger-agreement-300050725.html</t>
      </text>
    </comment>
    <comment authorId="0" ref="K22">
      <text>
        <t xml:space="preserve">======
ID#AAABqacWw6c
BIWS    (2025-08-31 07:56:07)
Using simple price from 1 day before on Apr 4 quoted here:
https://www.sec.gov/Archives/edgar/data/891288/000119312514132784/d708240dex991.htm</t>
      </text>
    </comment>
    <comment authorId="0" ref="J23">
      <text>
        <t xml:space="preserve">======
ID#AAABqacWw6A
BIWS    (2025-08-31 07:56:07)
Per press release (mixed cash/stock deal):
https://www.wsj.com/articles/SB10001424052702303945704579390611708410816</t>
      </text>
    </comment>
    <comment authorId="0" ref="J22">
      <text>
        <t xml:space="preserve">======
ID#AAABqacWw5w
BIWS    (2025-08-31 07:56:07)
Per press release here (mixed cash/stock deal):
https://www.prnewswire.com/news-releases/mallinckrodt-pharmaceuticals-and-questcor-pharmaceuticals-enter-into-definitive-merger-agreement-under-which-mallinckrodt-will-acquire-questcor-for-approximately-56-billion-creating-a-diversified-high-growth-specialty-pharmac-254163121.html</t>
      </text>
    </comment>
  </commentList>
  <extLst>
    <ext uri="GoogleSheetsCustomDataVersion2">
      <go:sheetsCustomData xmlns:go="http://customooxmlschemas.google.com/" r:id="rId1" roundtripDataSignature="AMtx7mhtVaR8uFKJjWdSXybVnXU4b791d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6">
      <text>
        <t xml:space="preserve">======
ID#AAABqajhlMk
BIWS    (2025-08-31 07:56:07)
10-Year US Treasury rate as of valuation date.</t>
      </text>
    </comment>
    <comment authorId="0" ref="F8">
      <text>
        <t xml:space="preserve">======
ID#AAABqajhlKs
BIWS    (2025-08-31 07:56:07)
Linked to public comps data; weighted average YTM of all issuances with conditional checks for convertible bonds.</t>
      </text>
    </comment>
    <comment authorId="0" ref="F7">
      <text>
        <t xml:space="preserve">======
ID#AAABqajhlKk
BIWS    (2025-08-31 07:56:07)
U.S. Equity Risk Premium for 2021 based on various data sources.</t>
      </text>
    </comment>
  </commentList>
  <extLst>
    <ext uri="GoogleSheetsCustomDataVersion2">
      <go:sheetsCustomData xmlns:go="http://customooxmlschemas.google.com/" r:id="rId1" roundtripDataSignature="AMtx7mjiHvPKgyFC3WyClyuPmp3m3xIU5g=="/>
    </ext>
  </extLst>
</comments>
</file>

<file path=xl/sharedStrings.xml><?xml version="1.0" encoding="utf-8"?>
<sst xmlns="http://schemas.openxmlformats.org/spreadsheetml/2006/main" count="822" uniqueCount="423">
  <si>
    <t>($ in Millions Except Per Share and Per Unit Data)</t>
  </si>
  <si>
    <t>Assumptions:</t>
  </si>
  <si>
    <t>Company Name:</t>
  </si>
  <si>
    <t>Jazz Pharmaceuticals plc</t>
  </si>
  <si>
    <t>Last Fiscal Year:</t>
  </si>
  <si>
    <t>Ticker:</t>
  </si>
  <si>
    <t>JAZZ</t>
  </si>
  <si>
    <t>Next Fiscal Year:</t>
  </si>
  <si>
    <t>Units (for Conversions):</t>
  </si>
  <si>
    <t>Most Recent Quarter End Date:</t>
  </si>
  <si>
    <t>Valuation Date:</t>
  </si>
  <si>
    <t>Current Share Price:</t>
  </si>
  <si>
    <t>Effective Tax Rate:</t>
  </si>
  <si>
    <t>Selected Scenario:</t>
  </si>
  <si>
    <t>Base</t>
  </si>
  <si>
    <t>U.S. Population Growth Rate:</t>
  </si>
  <si>
    <t>Phase 2 Pipeline Drugs - Risk-Adjustment Factor:</t>
  </si>
  <si>
    <t>Revenue Assumptions:</t>
  </si>
  <si>
    <t>Xyrem and Xywav Assumptions:</t>
  </si>
  <si>
    <t>Total Market Size (# Potential Patients):</t>
  </si>
  <si>
    <t># People</t>
  </si>
  <si>
    <t># Patients On Medication at End of Year:</t>
  </si>
  <si>
    <t>Average # of Patients Throughout the Year:</t>
  </si>
  <si>
    <t>Growth Rate in # of Patients:</t>
  </si>
  <si>
    <t>%</t>
  </si>
  <si>
    <t>% of Market on Xyrem Medication:</t>
  </si>
  <si>
    <t>Xyrem - Annual Price Increases Pre-Generics:</t>
  </si>
  <si>
    <t>Xyrem/Xywav - Price Decrease Following Generics:</t>
  </si>
  <si>
    <t>Xyrem - Annual Price Increases Post-Generics:</t>
  </si>
  <si>
    <t>Annual Price Per Patient - Xyrem:</t>
  </si>
  <si>
    <t>$ as Stated</t>
  </si>
  <si>
    <t>Upside</t>
  </si>
  <si>
    <t>Downside</t>
  </si>
  <si>
    <t>Growth Rate in Price per Patient:</t>
  </si>
  <si>
    <t>Xyrem - Revenue:</t>
  </si>
  <si>
    <t>$ M</t>
  </si>
  <si>
    <t>Annual Growth Rate:</t>
  </si>
  <si>
    <t>Xywav - Patients:</t>
  </si>
  <si>
    <t>% of Market on Xywav:</t>
  </si>
  <si>
    <t>Annual Price Per Patient - Xywav:</t>
  </si>
  <si>
    <t>Xywav - Revenue:</t>
  </si>
  <si>
    <t>Epidiolex/Epidyolex Assumptions:</t>
  </si>
  <si>
    <t># of Patients:</t>
  </si>
  <si>
    <t>% of Market on Medication:</t>
  </si>
  <si>
    <t>Epidiolex Annual Price Increases:</t>
  </si>
  <si>
    <t>Annual Price Per Patient:</t>
  </si>
  <si>
    <t>Revenue:</t>
  </si>
  <si>
    <t>Rylaze Assumptions:</t>
  </si>
  <si>
    <t>Total # of New ALL Cases (U.S.) per Year:</t>
  </si>
  <si>
    <t>% of New Cases on Medication:</t>
  </si>
  <si>
    <t>Sunosi Assumptions:</t>
  </si>
  <si>
    <t>Zepzelca Assumptions:</t>
  </si>
  <si>
    <t># New SCLC Case Diagnoses per Year (U.S.):</t>
  </si>
  <si>
    <t>Commercial Milestone Payments:</t>
  </si>
  <si>
    <t>Average Royalty Rate:</t>
  </si>
  <si>
    <t>Royalty Payments (Within COGS):</t>
  </si>
  <si>
    <t>Other/Legacy Drug Assumptions:</t>
  </si>
  <si>
    <t>(+) Defitelio:</t>
  </si>
  <si>
    <t>(+) Erwinaze:</t>
  </si>
  <si>
    <t>(+) Vyxeos:</t>
  </si>
  <si>
    <t>(+) Other Sales and Royalties:</t>
  </si>
  <si>
    <t>Revenue from Other Drugs:</t>
  </si>
  <si>
    <t>Revenue Growth Rate:</t>
  </si>
  <si>
    <t>Pipeline Drugs (Phase 2 Trials):</t>
  </si>
  <si>
    <t>Essential Tremor Patients - U.S.:</t>
  </si>
  <si>
    <t># Patients on JZP-385:</t>
  </si>
  <si>
    <t>% of Market on JZP-385:</t>
  </si>
  <si>
    <t>Annual Price per Patient - JZP-385:</t>
  </si>
  <si>
    <t>JZP-385 - Revenue:</t>
  </si>
  <si>
    <t>JZP-385 - Risk-Adjusted Revenue:</t>
  </si>
  <si>
    <t>PTSD Patients - U.S. Target Population:</t>
  </si>
  <si>
    <t># Patients on JZP-150:</t>
  </si>
  <si>
    <t>% of Market on JZP-150:</t>
  </si>
  <si>
    <t>Annual Price per Patient - JZP-150:</t>
  </si>
  <si>
    <t>JZP-150 - Revenue:</t>
  </si>
  <si>
    <t>JZP-150 - Risk-Adjusted Revenue:</t>
  </si>
  <si>
    <t>Expense and Cash Flow Assumptions:</t>
  </si>
  <si>
    <t>Cost of Products % Revenue:</t>
  </si>
  <si>
    <t>Total # of Employees:</t>
  </si>
  <si>
    <t># Empl.</t>
  </si>
  <si>
    <t>Revenue per Employee:</t>
  </si>
  <si>
    <t>$ M / Empl.</t>
  </si>
  <si>
    <t>Average Expense per Employee:</t>
  </si>
  <si>
    <t>Growth Rate in Expense per Employee:</t>
  </si>
  <si>
    <t>Intangible Asset Amortization - Existing:</t>
  </si>
  <si>
    <t>Average Useful Life of Intangible Assets:</t>
  </si>
  <si>
    <t># Years</t>
  </si>
  <si>
    <t>Intangible Asset Amortization - New:</t>
  </si>
  <si>
    <t>Depreciation % Revenue:</t>
  </si>
  <si>
    <t>Stock-Based Compensation:</t>
  </si>
  <si>
    <t>% Revenue:</t>
  </si>
  <si>
    <t>Total Non-Tax-Deductible Expenses:</t>
  </si>
  <si>
    <t>Cash Taxes Paid in Excess of Book Taxes:</t>
  </si>
  <si>
    <t>Change in WC % Change in Revenue:</t>
  </si>
  <si>
    <t>CapEx % Revenue:</t>
  </si>
  <si>
    <t>Intangible Purchases % Revenue:</t>
  </si>
  <si>
    <t>Acquisitions:</t>
  </si>
  <si>
    <t>Other Items:</t>
  </si>
  <si>
    <t>Interest Expense, Net:</t>
  </si>
  <si>
    <t>Equity Investment Net Income:</t>
  </si>
  <si>
    <t>Historical</t>
  </si>
  <si>
    <t>Projected</t>
  </si>
  <si>
    <t>Unlevered Free Cash Flow Projections:</t>
  </si>
  <si>
    <t>Units:</t>
  </si>
  <si>
    <t>Existing and Acquired Products:</t>
  </si>
  <si>
    <t>(+) Xyrem:</t>
  </si>
  <si>
    <t>(+) Xywav:</t>
  </si>
  <si>
    <t>(+) Epidiolex/Epidyolex:</t>
  </si>
  <si>
    <t>(+) Rylaze:</t>
  </si>
  <si>
    <t>(+) Sunosi:</t>
  </si>
  <si>
    <t>(+) Zepzelca:</t>
  </si>
  <si>
    <t>(+) Other Drugs:</t>
  </si>
  <si>
    <t>Risk-Adjusted Pipeline Drug Sales:</t>
  </si>
  <si>
    <t>(+) JZP-385:</t>
  </si>
  <si>
    <t>(+) JZP-150:</t>
  </si>
  <si>
    <t>Total Revenue:</t>
  </si>
  <si>
    <t>Revenue Growth:</t>
  </si>
  <si>
    <t>(-) Cost of Product Sales:</t>
  </si>
  <si>
    <t>(-) Royalty Payments:</t>
  </si>
  <si>
    <t>Gross Profit:</t>
  </si>
  <si>
    <t>Gross Margin:</t>
  </si>
  <si>
    <t>Operating Expenses:</t>
  </si>
  <si>
    <t>(-) Cash Operating Expenses:</t>
  </si>
  <si>
    <t>(-) Intangible Asset Amortization:</t>
  </si>
  <si>
    <t>Total Operating Expenses:</t>
  </si>
  <si>
    <t>Operating Income (EBIT):</t>
  </si>
  <si>
    <t>Operating (EBIT) Margin:</t>
  </si>
  <si>
    <t>(-) Taxes, Excluding Effect of Interest:</t>
  </si>
  <si>
    <t>Net Operating Profit After Tax (NOPAT):</t>
  </si>
  <si>
    <t>Adjustments for Non-Cash Charges:</t>
  </si>
  <si>
    <t>(+) Intangible Asset Amortization:</t>
  </si>
  <si>
    <t>(+) Depreciation:</t>
  </si>
  <si>
    <t>(+/-) Deferred Income Taxes:</t>
  </si>
  <si>
    <t>(+/-) Other Items:</t>
  </si>
  <si>
    <t>Total Adjustments for Non-Cash Charges:</t>
  </si>
  <si>
    <t>(+/-) Changes in Operating Assets &amp; Liabilities:</t>
  </si>
  <si>
    <t>% Change in Revenue:</t>
  </si>
  <si>
    <t>(-) Capital Expenditures:</t>
  </si>
  <si>
    <t>(-) Intangible Purchases:</t>
  </si>
  <si>
    <t>(-) Commercial Milestone Payments:</t>
  </si>
  <si>
    <t>(-) Acquisitions:</t>
  </si>
  <si>
    <t>Annual Unlevered Free Cash Flow:</t>
  </si>
  <si>
    <t>Annual UFCF Growth Rate:</t>
  </si>
  <si>
    <t>Annual EBITDA:</t>
  </si>
  <si>
    <t>Annual EBITDA Growth Rate:</t>
  </si>
  <si>
    <t>EBITDA Margin:</t>
  </si>
  <si>
    <t>Normalized Net Income to Common:</t>
  </si>
  <si>
    <t>Annual Net Income Growth Rate:</t>
  </si>
  <si>
    <t>Capital IQ Company Screening Report</t>
  </si>
  <si>
    <t>Company Name</t>
  </si>
  <si>
    <t>Exchange:Ticker</t>
  </si>
  <si>
    <t>Industry Classifications</t>
  </si>
  <si>
    <t>Geographic Locations</t>
  </si>
  <si>
    <t>Company Type</t>
  </si>
  <si>
    <t>Total Revenue [LTM] ($USDmm, Historical rate)</t>
  </si>
  <si>
    <t>Johnson &amp; Johnson (NYSE:JNJ)</t>
  </si>
  <si>
    <t>JNJ</t>
  </si>
  <si>
    <t>Pharmaceuticals (Primary)</t>
  </si>
  <si>
    <t>United States of America (Primary)</t>
  </si>
  <si>
    <t>Public Company</t>
  </si>
  <si>
    <t>Pfizer Inc. (NYSE:PFE)</t>
  </si>
  <si>
    <t>PFE</t>
  </si>
  <si>
    <t>AbbVie Inc. (NYSE:ABBV)</t>
  </si>
  <si>
    <t>ABBV</t>
  </si>
  <si>
    <t>Biotechnology (Primary)</t>
  </si>
  <si>
    <t>Merck &amp; Co., Inc. (NYSE:MRK)</t>
  </si>
  <si>
    <t>MRK</t>
  </si>
  <si>
    <t>Bristol-Myers Squibb Company (NYSE:BMY)</t>
  </si>
  <si>
    <t>BMY</t>
  </si>
  <si>
    <t>Eli Lilly and Company (NYSE:LLY)</t>
  </si>
  <si>
    <t>LLY</t>
  </si>
  <si>
    <t>Gilead Sciences, Inc. (NasdaqGS:GILD)</t>
  </si>
  <si>
    <t>GILD</t>
  </si>
  <si>
    <t>Amgen Inc. (NasdaqGS:AMGN)</t>
  </si>
  <si>
    <t>AMGN</t>
  </si>
  <si>
    <t>Viatris Inc. (NasdaqGS:VTRS)</t>
  </si>
  <si>
    <t>VTRS</t>
  </si>
  <si>
    <t>Regeneron Pharmaceuticals, Inc. (NasdaqGS:REGN)</t>
  </si>
  <si>
    <t>REGN</t>
  </si>
  <si>
    <t>Biogen Inc. (NasdaqGS:BIIB)</t>
  </si>
  <si>
    <t>BIIB</t>
  </si>
  <si>
    <t>Organon &amp; Co. (NYSE:OGN)</t>
  </si>
  <si>
    <t>OGN</t>
  </si>
  <si>
    <t>Zoetis Inc. (NYSE:ZTS)</t>
  </si>
  <si>
    <t>ZTS</t>
  </si>
  <si>
    <t>Moderna, Inc. (NasdaqGS:MRNA)</t>
  </si>
  <si>
    <t>MRNA</t>
  </si>
  <si>
    <t>Vertex Pharmaceuticals Incorporated (NasdaqGS:VRTX)</t>
  </si>
  <si>
    <t>VRTX</t>
  </si>
  <si>
    <t>Elanco Animal Health Incorporated (NYSE:ELAN)</t>
  </si>
  <si>
    <t>ELAN</t>
  </si>
  <si>
    <t>Catalent, Inc. (NYSE:CTLT)</t>
  </si>
  <si>
    <t>CTLT</t>
  </si>
  <si>
    <t>Incyte Corporation (NasdaqGS:INCY)</t>
  </si>
  <si>
    <t>INCY</t>
  </si>
  <si>
    <t>Seagen Inc. (NasdaqGS:SGEN)</t>
  </si>
  <si>
    <t>SGEN</t>
  </si>
  <si>
    <t>Royalty Pharma plc (NasdaqGS:RPRX)</t>
  </si>
  <si>
    <t>RPRX</t>
  </si>
  <si>
    <t>Amneal Pharmaceuticals, Inc. (NYSE:AMRX)</t>
  </si>
  <si>
    <t>AMRX</t>
  </si>
  <si>
    <t>BioMarin Pharmaceutical Inc. (NasdaqGS:BMRN)</t>
  </si>
  <si>
    <t>BMRN</t>
  </si>
  <si>
    <t>OPKO Health, Inc. (NasdaqGS:OPK)</t>
  </si>
  <si>
    <t>OPK</t>
  </si>
  <si>
    <t>Exact Sciences Corporation (NasdaqCM:EXAS)</t>
  </si>
  <si>
    <t>EXAS</t>
  </si>
  <si>
    <t>Emergent BioSolutions Inc. (NYSE:EBS)</t>
  </si>
  <si>
    <t>EBS</t>
  </si>
  <si>
    <t>United Therapeutics Corporation (NasdaqGS:UTHR)</t>
  </si>
  <si>
    <t>UTHR</t>
  </si>
  <si>
    <t>Exelixis, Inc. (NasdaqGS:EXEL)</t>
  </si>
  <si>
    <t>EXEL</t>
  </si>
  <si>
    <t>Sage Therapeutics, Inc. (NasdaqGM:SAGE)</t>
  </si>
  <si>
    <t>SAGE</t>
  </si>
  <si>
    <t>Neurocrine Biosciences, Inc. (NasdaqGS:NBIX)</t>
  </si>
  <si>
    <t>NBIX</t>
  </si>
  <si>
    <t>Curaleaf Holdings, Inc. (CNSX:CURA)</t>
  </si>
  <si>
    <t>CURA</t>
  </si>
  <si>
    <t>Prestige Consumer Healthcare Inc. (NYSE:PBH)</t>
  </si>
  <si>
    <t>PBH</t>
  </si>
  <si>
    <t>Phibro Animal Health Corporation (NasdaqGM:PAHC)</t>
  </si>
  <si>
    <t>PAHC</t>
  </si>
  <si>
    <t>Blueprint Medicines Corporation (NasdaqGS:BPMC)</t>
  </si>
  <si>
    <t>BPMC</t>
  </si>
  <si>
    <t>Green Thumb Industries Inc. (CNSX:GTII)</t>
  </si>
  <si>
    <t>GTII</t>
  </si>
  <si>
    <t>Indivior PLC (LSE:INDV)</t>
  </si>
  <si>
    <t>INDV</t>
  </si>
  <si>
    <t>Trulieve Cannabis Corp. (CNSX:TRUL)</t>
  </si>
  <si>
    <t>TRUL</t>
  </si>
  <si>
    <t>Myriad Genetics, Inc. (NasdaqGS:MYGN)</t>
  </si>
  <si>
    <t>MYGN</t>
  </si>
  <si>
    <t>Ionis Pharmaceuticals, Inc. (NasdaqGS:IONS)</t>
  </si>
  <si>
    <t>IONS</t>
  </si>
  <si>
    <t>Alnylam Pharmaceuticals, Inc. (NasdaqGS:ALNY)</t>
  </si>
  <si>
    <t>ALNY</t>
  </si>
  <si>
    <t>Cresco Labs Inc. (CNSX:CL)</t>
  </si>
  <si>
    <t>CL</t>
  </si>
  <si>
    <t>Sarepta Therapeutics, Inc. (NasdaqGS:SRPT)</t>
  </si>
  <si>
    <t>SRPT</t>
  </si>
  <si>
    <t>Supernus Pharmaceuticals, Inc. (NasdaqGM:SUPN)</t>
  </si>
  <si>
    <t>SUPN</t>
  </si>
  <si>
    <t>Tilray, Inc. (NasdaqGS:TLRY)</t>
  </si>
  <si>
    <t>TLRY</t>
  </si>
  <si>
    <t>Natera, Inc. (NasdaqGS:NTRA)</t>
  </si>
  <si>
    <t>NTRA</t>
  </si>
  <si>
    <t>Pacira BioSciences, Inc. (NasdaqGS:PCRX)</t>
  </si>
  <si>
    <t>PCRX</t>
  </si>
  <si>
    <t>Comparable Companies</t>
  </si>
  <si>
    <t>Operating Statistics</t>
  </si>
  <si>
    <t>Capitalization</t>
  </si>
  <si>
    <t>2-Year</t>
  </si>
  <si>
    <t>Share</t>
  </si>
  <si>
    <t>Equity</t>
  </si>
  <si>
    <t>Enterprise</t>
  </si>
  <si>
    <t>Revenue</t>
  </si>
  <si>
    <t>EBITDA</t>
  </si>
  <si>
    <t>Normalized Net Income</t>
  </si>
  <si>
    <t>EBITDA Margin</t>
  </si>
  <si>
    <t>Ticker</t>
  </si>
  <si>
    <t>Price</t>
  </si>
  <si>
    <t>Value</t>
  </si>
  <si>
    <t>CAGR</t>
  </si>
  <si>
    <t>Maximum</t>
  </si>
  <si>
    <t>75th Percentile</t>
  </si>
  <si>
    <t>Median</t>
  </si>
  <si>
    <t>25th Percentile</t>
  </si>
  <si>
    <t>Minimum</t>
  </si>
  <si>
    <t>Valuation Statistics</t>
  </si>
  <si>
    <t xml:space="preserve">Enterprise Value / </t>
  </si>
  <si>
    <t>Normalized P / E Multiple</t>
  </si>
  <si>
    <t>BioMarin Pharmaceutical Inc.</t>
  </si>
  <si>
    <t>Calendarization:</t>
  </si>
  <si>
    <t>Old Partial</t>
  </si>
  <si>
    <t>New Partial</t>
  </si>
  <si>
    <t>FY</t>
  </si>
  <si>
    <t>LTM</t>
  </si>
  <si>
    <t>LTM Revenue:</t>
  </si>
  <si>
    <t>LTM Operating Income (EBIT):</t>
  </si>
  <si>
    <t>(+) Non-Recurring Items in EBIT:</t>
  </si>
  <si>
    <t>(+) Depreciation &amp; Amortization:</t>
  </si>
  <si>
    <t>LTM EBITDA:</t>
  </si>
  <si>
    <t>LTM Pre-Tax Income:</t>
  </si>
  <si>
    <t>(+) Convertible Bond Cash Interest:</t>
  </si>
  <si>
    <t>(+) Conv. Discount &amp; Fee Amortization:</t>
  </si>
  <si>
    <t>(+) Non-Recurring Items Below EBIT:</t>
  </si>
  <si>
    <t>Normalized LTM Pre-Tax Income:</t>
  </si>
  <si>
    <t>(-) Taxes at Effective Rate:</t>
  </si>
  <si>
    <t>(-) Preferred Dividends:</t>
  </si>
  <si>
    <t>(-) Net Income Attributable to NCI:</t>
  </si>
  <si>
    <t>(+) Equity Investment Net Income:</t>
  </si>
  <si>
    <t xml:space="preserve"> </t>
  </si>
  <si>
    <t>Pre-Tax Cost of Debt:</t>
  </si>
  <si>
    <t>Cost of Preferred Stock:</t>
  </si>
  <si>
    <t>Balance Sheet Data:</t>
  </si>
  <si>
    <t>(-) Cash &amp; Investments:</t>
  </si>
  <si>
    <t>(-) Equity Investments:</t>
  </si>
  <si>
    <t>(-) Other Non-Core Assets, Net:</t>
  </si>
  <si>
    <t>(-) Net Operating Losses:</t>
  </si>
  <si>
    <t>(+) Traditional Debt &amp; Finance Leases:</t>
  </si>
  <si>
    <t>(+) Convertible Bonds:</t>
  </si>
  <si>
    <t>(+) Preferred Stock:</t>
  </si>
  <si>
    <t>(+) Operating Leases:</t>
  </si>
  <si>
    <t>(+) Noncontrolling Interests:</t>
  </si>
  <si>
    <t>(+) Unfunded Pensions:</t>
  </si>
  <si>
    <t>Projected Financials:</t>
  </si>
  <si>
    <t>CY 21</t>
  </si>
  <si>
    <t>CY 22</t>
  </si>
  <si>
    <t>CY 23</t>
  </si>
  <si>
    <t>EBITDA:</t>
  </si>
  <si>
    <t>Diluted Shares Calculations:</t>
  </si>
  <si>
    <t>Share Price:</t>
  </si>
  <si>
    <t>Common Shares Outstanding:</t>
  </si>
  <si>
    <t>Options and Warrants:</t>
  </si>
  <si>
    <t>Total</t>
  </si>
  <si>
    <t>Strike</t>
  </si>
  <si>
    <t>Dilution</t>
  </si>
  <si>
    <t>Convertible Bonds:</t>
  </si>
  <si>
    <t>$ Amount</t>
  </si>
  <si>
    <t>Par Value</t>
  </si>
  <si>
    <t>Conv. Price</t>
  </si>
  <si>
    <t>Market Val.</t>
  </si>
  <si>
    <t>Coup. Rate</t>
  </si>
  <si>
    <t>Discount &amp; Fee Amort.</t>
  </si>
  <si>
    <t># RSUs</t>
  </si>
  <si>
    <t>Restricted Stock Units (RSUs):</t>
  </si>
  <si>
    <t>Total Diluted Shares:</t>
  </si>
  <si>
    <t>Valuation Metrics:</t>
  </si>
  <si>
    <t>Equity Value:</t>
  </si>
  <si>
    <t>Enterprise Value:</t>
  </si>
  <si>
    <t>Levered Beta:</t>
  </si>
  <si>
    <t>Valuation Multiples:</t>
  </si>
  <si>
    <t>TEV / Revenue:</t>
  </si>
  <si>
    <t>TEV / EBITDA:</t>
  </si>
  <si>
    <t>Normalized P / E:</t>
  </si>
  <si>
    <t>Lookup Variables:</t>
  </si>
  <si>
    <t>Year 1 Projected Revenue Growth:</t>
  </si>
  <si>
    <t>Year 1 Projected EBITDA Growth:</t>
  </si>
  <si>
    <t>Year 2 Projected Revenue Growth:</t>
  </si>
  <si>
    <t>Year 2 Projected EBITDA Growth:</t>
  </si>
  <si>
    <t>2-Year Revenue CAGR:</t>
  </si>
  <si>
    <t>2-Year EBITDA CAGR:</t>
  </si>
  <si>
    <t>LTM EBITDA Margin:</t>
  </si>
  <si>
    <t>Corporate Website:</t>
  </si>
  <si>
    <t>https://investors.biomarin.com/</t>
  </si>
  <si>
    <t>Precedent Transactions - U.S.-Based Pharmaceutical and Biotechnology Sellers with LTM Revenue Above $500 Million</t>
  </si>
  <si>
    <t>Announced Between August 31st, 2011 and August 31st, 2021</t>
  </si>
  <si>
    <t>Operating Metrics</t>
  </si>
  <si>
    <t>Valuation Multiples</t>
  </si>
  <si>
    <t>Undisturbed Share Prices</t>
  </si>
  <si>
    <t>Premiums Paid to Undisturbed</t>
  </si>
  <si>
    <t>Transaction</t>
  </si>
  <si>
    <t xml:space="preserve">TEV / </t>
  </si>
  <si>
    <t>Share Price</t>
  </si>
  <si>
    <t>Offer</t>
  </si>
  <si>
    <t>1-Day</t>
  </si>
  <si>
    <t>1-Week</t>
  </si>
  <si>
    <t>1-Month</t>
  </si>
  <si>
    <t>Acquirer Name</t>
  </si>
  <si>
    <t>Target Name</t>
  </si>
  <si>
    <t>Date</t>
  </si>
  <si>
    <t>Prior</t>
  </si>
  <si>
    <t>AstraZeneca PLC</t>
  </si>
  <si>
    <t>Alexion Pharmaceuticals, Inc.</t>
  </si>
  <si>
    <t>Sanofi S.A.</t>
  </si>
  <si>
    <t>Bioverativ Inc.</t>
  </si>
  <si>
    <t>Shire plc</t>
  </si>
  <si>
    <t>Baxalta Incorporated</t>
  </si>
  <si>
    <t>Allergan plc (fka: Actavis plc)</t>
  </si>
  <si>
    <t>Allergan, Inc.</t>
  </si>
  <si>
    <t>Bristol-Myers Squibb Company</t>
  </si>
  <si>
    <t>Amylin Pharmaceuticals, LLC</t>
  </si>
  <si>
    <t>Fresenius Kabi USA, LLC</t>
  </si>
  <si>
    <t>Akorn, Inc.</t>
  </si>
  <si>
    <t>Lonza Group Ltd</t>
  </si>
  <si>
    <t>Capsugel Inc.</t>
  </si>
  <si>
    <t>N/A</t>
  </si>
  <si>
    <t>Danaher Corporation</t>
  </si>
  <si>
    <t>Cepheid</t>
  </si>
  <si>
    <t>Pfizer Inc.</t>
  </si>
  <si>
    <t>Medivation, Inc.</t>
  </si>
  <si>
    <t>AbbVie Inc.</t>
  </si>
  <si>
    <t>Pharmacyclics LLC</t>
  </si>
  <si>
    <t>Valeant Pharmaceuticals International Inc. (nka:Bausch Health Americas, Inc.)</t>
  </si>
  <si>
    <t>Salix Pharmaceuticals Ltd.</t>
  </si>
  <si>
    <t>Merck &amp; Co., Inc.</t>
  </si>
  <si>
    <t>Cubist Pharmaceuticals LLC</t>
  </si>
  <si>
    <t>Mallinckrodt Public Limited Company</t>
  </si>
  <si>
    <t>Questcor Pharmaceuticals, Inc. (nka:Mallinckrodt ARD Inc.)</t>
  </si>
  <si>
    <t>Forest Laboratories, LLC</t>
  </si>
  <si>
    <t>Aptalis Holdings Inc.</t>
  </si>
  <si>
    <t>Amgen Inc.</t>
  </si>
  <si>
    <t>Onyx Pharmaceuticals, Inc.</t>
  </si>
  <si>
    <t>Medicis Pharmaceutical Corporation</t>
  </si>
  <si>
    <t>Discount Rate Calculations - Assumptions:</t>
  </si>
  <si>
    <t>Risk-Free Rate:</t>
  </si>
  <si>
    <t>Equity Risk Premium:</t>
  </si>
  <si>
    <t>Comparable Companies - Unlevered Beta Calculation:</t>
  </si>
  <si>
    <t>Levered</t>
  </si>
  <si>
    <t>Preferred</t>
  </si>
  <si>
    <t>Unlevered</t>
  </si>
  <si>
    <t>Cost of</t>
  </si>
  <si>
    <t>Company</t>
  </si>
  <si>
    <t>Name</t>
  </si>
  <si>
    <t>Beta</t>
  </si>
  <si>
    <t>Debt</t>
  </si>
  <si>
    <t>% Debt</t>
  </si>
  <si>
    <t>Stock</t>
  </si>
  <si>
    <t>% Preferred</t>
  </si>
  <si>
    <t>% Equity</t>
  </si>
  <si>
    <t>Tax Rate</t>
  </si>
  <si>
    <t>WACC</t>
  </si>
  <si>
    <t>Median:</t>
  </si>
  <si>
    <t>Current Capital Structure:</t>
  </si>
  <si>
    <t>"Optimal" Capital Structure:</t>
  </si>
  <si>
    <t>Cost of Equity Based on Comparables, Current Capital Structure:</t>
  </si>
  <si>
    <t>Cost of Equity Based on Comparables, "Optimal" Capital Structure:</t>
  </si>
  <si>
    <t>Cost of Equity Based on Historical Beta:</t>
  </si>
  <si>
    <t>WACC, Current Capital Structure:</t>
  </si>
  <si>
    <t>WACC, Current Capital Structure and Historical Cost of Equity:</t>
  </si>
  <si>
    <t>WACC, "Optimal" Capital Structure:</t>
  </si>
  <si>
    <t>Average WACC Produced by All Methods: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</si>
</sst>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6">
    <numFmt numFmtId="164" formatCode="_(* #,##0.0_);_(* \(#,##0.0\);_(* &quot;-&quot;?_);_(@_)"/>
    <numFmt numFmtId="165" formatCode="yyyy\-mm\-dd"/>
    <numFmt numFmtId="166" formatCode="0.00%;\(0.00%\)"/>
    <numFmt numFmtId="167" formatCode="0.0\ \x"/>
    <numFmt numFmtId="168" formatCode="_(&quot;$&quot;* #,##0.00_);_(&quot;$&quot;* \(#,##0.00\);_(&quot;$&quot;* &quot;-&quot;??_);_(@_)"/>
    <numFmt numFmtId="169" formatCode="0.0%;\(0.0%\)"/>
    <numFmt numFmtId="170" formatCode="_(&quot;$&quot;* #,##0_);_(&quot;$&quot;* \(#,##0\);_(&quot;$&quot;* &quot;-&quot;_);_(@_)"/>
    <numFmt numFmtId="171" formatCode="#,##0_);\(#,##0\);\-_);@_)"/>
    <numFmt numFmtId="172" formatCode="&quot;FY&quot;yy"/>
    <numFmt numFmtId="173" formatCode="_(#,##0_);\(#,##0\);_(&quot;–&quot;_);_(@_)"/>
    <numFmt numFmtId="174" formatCode="_(0.0%_);\(0.0%\);_(&quot;–&quot;_)_%;_(@_)_%"/>
    <numFmt numFmtId="175" formatCode="_(* #,##0_);_(* \(#,##0\);_(* &quot;-&quot;_);_(@_)"/>
    <numFmt numFmtId="176" formatCode="_(&quot;$&quot;* #,##0.0_);_(&quot;$&quot;* \(#,##0.0\);_(&quot;$&quot;* &quot;-&quot;?_);_(@_)"/>
    <numFmt numFmtId="177" formatCode="_(0.0%_);\(0.0%\);_(&quot;–&quot;_);_(@_)"/>
    <numFmt numFmtId="178" formatCode="_(&quot;$&quot;* #,##0.00_);_(&quot;$&quot;* \(#,##0.00\);_(&quot;$&quot;* &quot;-&quot;?_);_(@_)"/>
    <numFmt numFmtId="179" formatCode="_(* #,##0.0_);_(* \(#,##0.0\);_(* &quot;-&quot;??_);_(@_)"/>
    <numFmt numFmtId="180" formatCode="_(* #,##0.0000000_);_(* \(#,##0.0000000\);_(* &quot;-&quot;?_);_(@_)"/>
    <numFmt numFmtId="181" formatCode="#,##0.0_);\(#,##0.0\);\-_);@_)"/>
    <numFmt numFmtId="182" formatCode="#,##0.000_);\(#,##0.000\);\-_);@_)"/>
    <numFmt numFmtId="183" formatCode="_(* #,##0.00_);_(* \(#,##0.00\);_(* &quot;-&quot;??_);_(@_)"/>
    <numFmt numFmtId="184" formatCode="0.0%"/>
    <numFmt numFmtId="185" formatCode="_(* #,##0.0_);_(* \(#,##0.0\)_)\ ;_(* 0_)"/>
    <numFmt numFmtId="186" formatCode="_(&quot;$&quot;#,##0.00_)_%;\(&quot;$&quot;#,##0.00\)_%;_(&quot;–&quot;_)_%;_(@_)_%"/>
    <numFmt numFmtId="187" formatCode="_(&quot;$&quot;* #,##0.0_);_(&quot;$&quot;* \(#,##0.0\);_(&quot;$&quot;* &quot;-&quot;_);_(@_)"/>
    <numFmt numFmtId="188" formatCode="_(* #,##0_);_(* \(#,##0\);_(* &quot;-&quot;?_);_(@_)"/>
    <numFmt numFmtId="189" formatCode="_(* #,##0.0_);_(* \(#,##0.0\);_(* &quot;-&quot;_);_(@_)"/>
    <numFmt numFmtId="190" formatCode="&quot;$&quot;#,##0_);[Red]\(&quot;$&quot;#,##0\)"/>
    <numFmt numFmtId="191" formatCode="_(0.00%_);\(0.00%\);_(&quot;–&quot;_)_%;_(@_)_%"/>
    <numFmt numFmtId="192" formatCode="#,##0.000"/>
    <numFmt numFmtId="193" formatCode="_(0.000%_);\(0.000%\);_(&quot;–&quot;_)_%;_(@_)_%"/>
    <numFmt numFmtId="194" formatCode="0.0\ \x;[Red]\ 0.0\ \x"/>
    <numFmt numFmtId="195" formatCode="0.0%;\(0.0%\);\-_)_%;@_)_%"/>
    <numFmt numFmtId="196" formatCode="m/d/yyyy"/>
    <numFmt numFmtId="197" formatCode="_(* #,##0_);[Red]_(* \(#,##0\);_(* &quot;-&quot;_);_(@_)"/>
    <numFmt numFmtId="198" formatCode="_(#,##0.00_)_%;\(#,##0.00\)_%;_(&quot;–&quot;_)_%;_(@_)_%"/>
    <numFmt numFmtId="199" formatCode="_(#,##0.00_);\(#,##0.00\);_(&quot;–&quot;_);_(@_)"/>
  </numFmts>
  <fonts count="37">
    <font>
      <sz val="11.0"/>
      <color theme="1"/>
      <name val="Calibri"/>
      <scheme val="minor"/>
    </font>
    <font>
      <sz val="12.0"/>
      <color theme="1"/>
      <name val="Calibri"/>
    </font>
    <font>
      <i/>
      <sz val="12.0"/>
      <color theme="1"/>
      <name val="Calibri"/>
    </font>
    <font>
      <b/>
      <sz val="14.0"/>
      <color theme="1"/>
      <name val="Calibri"/>
    </font>
    <font>
      <b/>
      <sz val="12.0"/>
      <color rgb="FFFFFFFF"/>
      <name val="Calibri"/>
    </font>
    <font>
      <b/>
      <u/>
      <sz val="12.0"/>
      <color rgb="FFFFFFFF"/>
      <name val="Calibri"/>
    </font>
    <font>
      <b/>
      <sz val="12.0"/>
      <color theme="1"/>
      <name val="Calibri"/>
    </font>
    <font>
      <sz val="12.0"/>
      <color rgb="FF0000FF"/>
      <name val="Calibri"/>
    </font>
    <font>
      <sz val="12.0"/>
      <color theme="0"/>
      <name val="Calibri"/>
    </font>
    <font>
      <i/>
      <sz val="12.0"/>
      <color theme="0"/>
      <name val="Calibri"/>
    </font>
    <font>
      <b/>
      <sz val="12.0"/>
      <color theme="0"/>
      <name val="Calibri"/>
    </font>
    <font/>
    <font>
      <b/>
      <i/>
      <sz val="12.0"/>
      <color theme="0"/>
      <name val="Calibri"/>
    </font>
    <font>
      <sz val="12.0"/>
      <color rgb="FF000000"/>
      <name val="Calibri"/>
    </font>
    <font>
      <i/>
      <sz val="12.0"/>
      <color rgb="FF000000"/>
      <name val="Calibri"/>
    </font>
    <font>
      <b/>
      <i/>
      <sz val="12.0"/>
      <color theme="1"/>
      <name val="Calibri"/>
    </font>
    <font>
      <b/>
      <sz val="12.0"/>
      <color rgb="FF000000"/>
      <name val="Calibri"/>
    </font>
    <font>
      <b/>
      <sz val="12.0"/>
      <color rgb="FF0000FF"/>
      <name val="Calibri"/>
    </font>
    <font>
      <b/>
      <sz val="13.0"/>
      <color theme="1"/>
      <name val="Verdana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sz val="12.0"/>
      <color rgb="FF00B050"/>
      <name val="Calibri"/>
    </font>
    <font>
      <b/>
      <u/>
      <sz val="12.0"/>
      <color rgb="FFFFFFFF"/>
      <name val="Calibri"/>
    </font>
    <font>
      <sz val="12.0"/>
      <color rgb="FFFFFFFF"/>
      <name val="Calibri"/>
    </font>
    <font>
      <b/>
      <u/>
      <sz val="12.0"/>
      <color rgb="FFFFFFFF"/>
      <name val="Calibri"/>
    </font>
    <font>
      <sz val="12.0"/>
      <color rgb="FFFF0000"/>
      <name val="Calibri"/>
    </font>
    <font>
      <b/>
      <u/>
      <sz val="12.0"/>
      <color rgb="FFFFFFFF"/>
      <name val="Calibri"/>
    </font>
    <font>
      <u/>
      <sz val="12.0"/>
      <color rgb="FFFFFFFF"/>
      <name val="Calibri"/>
    </font>
    <font>
      <b/>
      <u/>
      <sz val="12.0"/>
      <color rgb="FFFFFFFF"/>
      <name val="Calibri"/>
    </font>
    <font>
      <u/>
      <sz val="12.0"/>
      <color rgb="FFFFFFFF"/>
      <name val="Calibri"/>
    </font>
    <font>
      <b/>
      <sz val="12.0"/>
      <color rgb="FFFF000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b/>
      <u/>
      <sz val="12.0"/>
      <color rgb="FFFFFFFF"/>
      <name val="Calibri"/>
    </font>
    <font>
      <sz val="12.0"/>
      <color theme="4"/>
      <name val="Calibri"/>
    </font>
    <font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  <fill>
      <patternFill patternType="solid">
        <fgColor rgb="FFF0F0DC"/>
        <bgColor rgb="FFF0F0DC"/>
      </patternFill>
    </fill>
    <fill>
      <patternFill patternType="solid">
        <fgColor rgb="FF0070C0"/>
        <bgColor rgb="FF0070C0"/>
      </patternFill>
    </fill>
    <fill>
      <patternFill patternType="solid">
        <fgColor rgb="FFB8CCE4"/>
        <bgColor rgb="FFB8CCE4"/>
      </patternFill>
    </fill>
    <fill>
      <patternFill patternType="solid">
        <fgColor rgb="FFD8D8D8"/>
        <bgColor rgb="FFD8D8D8"/>
      </patternFill>
    </fill>
  </fills>
  <borders count="41">
    <border/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</border>
    <border>
      <left style="thin">
        <color rgb="FFB2B2B2"/>
      </left>
      <top style="thin">
        <color rgb="FFB2B2B2"/>
      </top>
    </border>
    <border>
      <left/>
      <right/>
      <top/>
      <bottom/>
    </border>
    <border>
      <left/>
      <top/>
      <bottom style="thin">
        <color theme="0"/>
      </bottom>
    </border>
    <border>
      <top/>
      <bottom style="thin">
        <color theme="0"/>
      </bottom>
    </border>
    <border>
      <right style="thin">
        <color theme="0"/>
      </right>
      <top/>
      <bottom style="thin">
        <color theme="0"/>
      </bottom>
    </border>
    <border>
      <left/>
      <right style="thin">
        <color theme="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1" fillId="2" fontId="4" numFmtId="0" xfId="0" applyAlignment="1" applyBorder="1" applyFill="1" applyFont="1">
      <alignment horizontal="left"/>
    </xf>
    <xf borderId="1" fillId="2" fontId="5" numFmtId="0" xfId="0" applyAlignment="1" applyBorder="1" applyFont="1">
      <alignment horizontal="left"/>
    </xf>
    <xf borderId="0" fillId="0" fontId="6" numFmtId="0" xfId="0" applyFont="1"/>
    <xf borderId="2" fillId="3" fontId="7" numFmtId="49" xfId="0" applyAlignment="1" applyBorder="1" applyFill="1" applyFont="1" applyNumberFormat="1">
      <alignment horizontal="left"/>
    </xf>
    <xf borderId="3" fillId="0" fontId="7" numFmtId="49" xfId="0" applyAlignment="1" applyBorder="1" applyFont="1" applyNumberFormat="1">
      <alignment horizontal="left"/>
    </xf>
    <xf borderId="0" fillId="0" fontId="1" numFmtId="164" xfId="0" applyFont="1" applyNumberFormat="1"/>
    <xf borderId="2" fillId="3" fontId="7" numFmtId="165" xfId="0" applyAlignment="1" applyBorder="1" applyFont="1" applyNumberFormat="1">
      <alignment horizontal="center"/>
    </xf>
    <xf borderId="0" fillId="0" fontId="7" numFmtId="166" xfId="0" applyFont="1" applyNumberFormat="1"/>
    <xf borderId="2" fillId="3" fontId="7" numFmtId="49" xfId="0" applyAlignment="1" applyBorder="1" applyFont="1" applyNumberFormat="1">
      <alignment horizontal="center"/>
    </xf>
    <xf borderId="4" fillId="0" fontId="7" numFmtId="49" xfId="0" applyAlignment="1" applyBorder="1" applyFont="1" applyNumberFormat="1">
      <alignment horizontal="center"/>
    </xf>
    <xf borderId="0" fillId="0" fontId="1" numFmtId="167" xfId="0" applyFont="1" applyNumberFormat="1"/>
    <xf borderId="2" fillId="3" fontId="1" numFmtId="165" xfId="0" applyAlignment="1" applyBorder="1" applyFont="1" applyNumberFormat="1">
      <alignment horizontal="center"/>
    </xf>
    <xf borderId="2" fillId="3" fontId="7" numFmtId="37" xfId="0" applyAlignment="1" applyBorder="1" applyFont="1" applyNumberFormat="1">
      <alignment horizontal="center"/>
    </xf>
    <xf borderId="0" fillId="0" fontId="7" numFmtId="37" xfId="0" applyAlignment="1" applyFont="1" applyNumberFormat="1">
      <alignment horizontal="center"/>
    </xf>
    <xf borderId="0" fillId="0" fontId="7" numFmtId="167" xfId="0" applyFont="1" applyNumberFormat="1"/>
    <xf borderId="0" fillId="0" fontId="7" numFmtId="164" xfId="0" applyFont="1" applyNumberFormat="1"/>
    <xf borderId="2" fillId="3" fontId="7" numFmtId="168" xfId="0" applyBorder="1" applyFont="1" applyNumberFormat="1"/>
    <xf borderId="0" fillId="0" fontId="7" numFmtId="168" xfId="0" applyFont="1" applyNumberFormat="1"/>
    <xf borderId="2" fillId="3" fontId="7" numFmtId="169" xfId="0" applyAlignment="1" applyBorder="1" applyFont="1" applyNumberFormat="1">
      <alignment horizontal="center"/>
    </xf>
    <xf borderId="0" fillId="0" fontId="1" numFmtId="169" xfId="0" applyAlignment="1" applyFont="1" applyNumberFormat="1">
      <alignment horizontal="center"/>
    </xf>
    <xf borderId="0" fillId="0" fontId="2" numFmtId="169" xfId="0" applyFont="1" applyNumberFormat="1"/>
    <xf borderId="0" fillId="0" fontId="1" numFmtId="170" xfId="0" applyFont="1" applyNumberFormat="1"/>
    <xf borderId="2" fillId="3" fontId="7" numFmtId="171" xfId="0" applyAlignment="1" applyBorder="1" applyFont="1" applyNumberFormat="1">
      <alignment horizontal="center"/>
    </xf>
    <xf borderId="0" fillId="0" fontId="7" numFmtId="171" xfId="0" applyAlignment="1" applyFont="1" applyNumberFormat="1">
      <alignment horizontal="center"/>
    </xf>
    <xf borderId="2" fillId="3" fontId="1" numFmtId="169" xfId="0" applyAlignment="1" applyBorder="1" applyFont="1" applyNumberFormat="1">
      <alignment horizontal="center"/>
    </xf>
    <xf borderId="5" fillId="2" fontId="8" numFmtId="0" xfId="0" applyBorder="1" applyFont="1"/>
    <xf borderId="5" fillId="2" fontId="9" numFmtId="0" xfId="0" applyBorder="1" applyFont="1"/>
    <xf borderId="6" fillId="2" fontId="10" numFmtId="0" xfId="0" applyAlignment="1" applyBorder="1" applyFont="1">
      <alignment horizontal="center"/>
    </xf>
    <xf borderId="7" fillId="0" fontId="11" numFmtId="0" xfId="0" applyBorder="1" applyFont="1"/>
    <xf borderId="8" fillId="0" fontId="11" numFmtId="0" xfId="0" applyBorder="1" applyFont="1"/>
    <xf borderId="1" fillId="2" fontId="10" numFmtId="0" xfId="0" applyBorder="1" applyFont="1"/>
    <xf borderId="1" fillId="2" fontId="12" numFmtId="0" xfId="0" applyAlignment="1" applyBorder="1" applyFont="1">
      <alignment horizontal="center"/>
    </xf>
    <xf borderId="1" fillId="2" fontId="10" numFmtId="172" xfId="0" applyAlignment="1" applyBorder="1" applyFont="1" applyNumberFormat="1">
      <alignment horizontal="center"/>
    </xf>
    <xf borderId="9" fillId="2" fontId="10" numFmtId="172" xfId="0" applyAlignment="1" applyBorder="1" applyFont="1" applyNumberFormat="1">
      <alignment horizontal="center"/>
    </xf>
    <xf borderId="1" fillId="4" fontId="6" numFmtId="0" xfId="0" applyBorder="1" applyFill="1" applyFont="1"/>
    <xf borderId="1" fillId="4" fontId="2" numFmtId="0" xfId="0" applyBorder="1" applyFont="1"/>
    <xf borderId="1" fillId="4" fontId="6" numFmtId="172" xfId="0" applyAlignment="1" applyBorder="1" applyFont="1" applyNumberFormat="1">
      <alignment horizontal="center"/>
    </xf>
    <xf borderId="10" fillId="4" fontId="6" numFmtId="172" xfId="0" applyAlignment="1" applyBorder="1" applyFont="1" applyNumberFormat="1">
      <alignment horizontal="center"/>
    </xf>
    <xf borderId="0" fillId="0" fontId="13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7" numFmtId="173" xfId="0" applyFont="1" applyNumberFormat="1"/>
    <xf borderId="0" fillId="0" fontId="1" numFmtId="173" xfId="0" applyFont="1" applyNumberFormat="1"/>
    <xf borderId="0" fillId="0" fontId="14" numFmtId="0" xfId="0" applyAlignment="1" applyFont="1">
      <alignment horizontal="left"/>
    </xf>
    <xf borderId="0" fillId="0" fontId="2" numFmtId="174" xfId="0" applyFont="1" applyNumberFormat="1"/>
    <xf borderId="0" fillId="0" fontId="13" numFmtId="174" xfId="0" applyFont="1" applyNumberFormat="1"/>
    <xf borderId="0" fillId="0" fontId="14" numFmtId="174" xfId="0" applyFont="1" applyNumberFormat="1"/>
    <xf borderId="0" fillId="0" fontId="13" numFmtId="170" xfId="0" applyFont="1" applyNumberFormat="1"/>
    <xf borderId="2" fillId="3" fontId="1" numFmtId="175" xfId="0" applyBorder="1" applyFont="1" applyNumberFormat="1"/>
    <xf borderId="0" fillId="0" fontId="7" numFmtId="9" xfId="0" applyFont="1" applyNumberFormat="1"/>
    <xf borderId="0" fillId="0" fontId="1" numFmtId="176" xfId="0" applyFont="1" applyNumberFormat="1"/>
    <xf borderId="0" fillId="0" fontId="1" numFmtId="171" xfId="0" applyFont="1" applyNumberFormat="1"/>
    <xf borderId="0" fillId="0" fontId="1" numFmtId="174" xfId="0" applyFont="1" applyNumberFormat="1"/>
    <xf borderId="0" fillId="0" fontId="7" numFmtId="169" xfId="0" applyFont="1" applyNumberFormat="1"/>
    <xf borderId="2" fillId="3" fontId="7" numFmtId="174" xfId="0" applyBorder="1" applyFont="1" applyNumberFormat="1"/>
    <xf borderId="2" fillId="3" fontId="7" numFmtId="175" xfId="0" applyBorder="1" applyFont="1" applyNumberFormat="1"/>
    <xf borderId="0" fillId="0" fontId="1" numFmtId="0" xfId="0" applyAlignment="1" applyFont="1">
      <alignment horizontal="left"/>
    </xf>
    <xf borderId="0" fillId="0" fontId="7" numFmtId="170" xfId="0" applyFont="1" applyNumberFormat="1"/>
    <xf borderId="0" fillId="0" fontId="7" numFmtId="176" xfId="0" applyFont="1" applyNumberFormat="1"/>
    <xf borderId="2" fillId="3" fontId="7" numFmtId="173" xfId="0" applyBorder="1" applyFont="1" applyNumberFormat="1"/>
    <xf borderId="2" fillId="3" fontId="1" numFmtId="173" xfId="0" applyBorder="1" applyFont="1" applyNumberFormat="1"/>
    <xf borderId="2" fillId="3" fontId="7" numFmtId="170" xfId="0" applyBorder="1" applyFont="1" applyNumberFormat="1"/>
    <xf borderId="0" fillId="0" fontId="13" numFmtId="9" xfId="0" applyFont="1" applyNumberFormat="1"/>
    <xf borderId="2" fillId="3" fontId="7" numFmtId="164" xfId="0" applyBorder="1" applyFont="1" applyNumberFormat="1"/>
    <xf borderId="2" fillId="3" fontId="1" numFmtId="164" xfId="0" applyBorder="1" applyFont="1" applyNumberFormat="1"/>
    <xf borderId="11" fillId="0" fontId="2" numFmtId="0" xfId="0" applyAlignment="1" applyBorder="1" applyFont="1">
      <alignment horizontal="center"/>
    </xf>
    <xf borderId="12" fillId="0" fontId="6" numFmtId="0" xfId="0" applyAlignment="1" applyBorder="1" applyFont="1">
      <alignment horizontal="left"/>
    </xf>
    <xf borderId="12" fillId="0" fontId="6" numFmtId="164" xfId="0" applyBorder="1" applyFont="1" applyNumberFormat="1"/>
    <xf borderId="0" fillId="0" fontId="1" numFmtId="0" xfId="0" applyAlignment="1" applyFont="1">
      <alignment horizontal="center"/>
    </xf>
    <xf borderId="0" fillId="0" fontId="7" numFmtId="174" xfId="0" applyFont="1" applyNumberFormat="1"/>
    <xf borderId="0" fillId="0" fontId="1" numFmtId="3" xfId="0" applyFont="1" applyNumberFormat="1"/>
    <xf borderId="0" fillId="0" fontId="6" numFmtId="176" xfId="0" applyFont="1" applyNumberFormat="1"/>
    <xf borderId="0" fillId="0" fontId="15" numFmtId="0" xfId="0" applyFont="1"/>
    <xf borderId="0" fillId="0" fontId="6" numFmtId="172" xfId="0" applyAlignment="1" applyFont="1" applyNumberFormat="1">
      <alignment horizontal="center"/>
    </xf>
    <xf borderId="0" fillId="0" fontId="1" numFmtId="177" xfId="0" applyFont="1" applyNumberFormat="1"/>
    <xf borderId="0" fillId="0" fontId="7" numFmtId="37" xfId="0" applyFont="1" applyNumberFormat="1"/>
    <xf borderId="0" fillId="0" fontId="1" numFmtId="37" xfId="0" applyFont="1" applyNumberFormat="1"/>
    <xf borderId="0" fillId="0" fontId="1" numFmtId="178" xfId="0" applyFont="1" applyNumberFormat="1"/>
    <xf borderId="2" fillId="3" fontId="7" numFmtId="178" xfId="0" applyBorder="1" applyFont="1" applyNumberFormat="1"/>
    <xf borderId="0" fillId="0" fontId="1" numFmtId="169" xfId="0" applyFont="1" applyNumberFormat="1"/>
    <xf borderId="0" fillId="0" fontId="7" numFmtId="0" xfId="0" applyFont="1"/>
    <xf borderId="0" fillId="0" fontId="13" numFmtId="0" xfId="0" applyFont="1"/>
    <xf borderId="13" fillId="3" fontId="1" numFmtId="179" xfId="0" applyBorder="1" applyFont="1" applyNumberFormat="1"/>
    <xf borderId="13" fillId="3" fontId="7" numFmtId="179" xfId="0" applyBorder="1" applyFont="1" applyNumberFormat="1"/>
    <xf borderId="2" fillId="3" fontId="7" numFmtId="37" xfId="0" applyBorder="1" applyFont="1" applyNumberFormat="1"/>
    <xf borderId="0" fillId="0" fontId="1" numFmtId="179" xfId="0" applyFont="1" applyNumberFormat="1"/>
    <xf borderId="0" fillId="0" fontId="7" numFmtId="179" xfId="0" applyFont="1" applyNumberFormat="1"/>
    <xf borderId="0" fillId="0" fontId="1" numFmtId="9" xfId="0" applyFont="1" applyNumberFormat="1"/>
    <xf borderId="2" fillId="3" fontId="7" numFmtId="164" xfId="0" applyAlignment="1" applyBorder="1" applyFont="1" applyNumberFormat="1">
      <alignment horizontal="center"/>
    </xf>
    <xf borderId="2" fillId="3" fontId="1" numFmtId="164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left"/>
    </xf>
    <xf borderId="12" fillId="0" fontId="6" numFmtId="0" xfId="0" applyBorder="1" applyFont="1"/>
    <xf borderId="0" fillId="0" fontId="7" numFmtId="171" xfId="0" applyFont="1" applyNumberFormat="1"/>
    <xf borderId="0" fillId="0" fontId="6" numFmtId="0" xfId="0" applyAlignment="1" applyFont="1">
      <alignment horizontal="left"/>
    </xf>
    <xf borderId="12" fillId="0" fontId="16" numFmtId="164" xfId="0" applyBorder="1" applyFont="1" applyNumberFormat="1"/>
    <xf borderId="0" fillId="0" fontId="2" numFmtId="0" xfId="0" applyAlignment="1" applyFont="1">
      <alignment horizontal="left"/>
    </xf>
    <xf borderId="0" fillId="0" fontId="15" numFmtId="180" xfId="0" applyFont="1" applyNumberFormat="1"/>
    <xf borderId="0" fillId="0" fontId="15" numFmtId="176" xfId="0" applyFont="1" applyNumberFormat="1"/>
    <xf borderId="0" fillId="0" fontId="6" numFmtId="181" xfId="0" applyFont="1" applyNumberFormat="1"/>
    <xf borderId="0" fillId="0" fontId="6" numFmtId="174" xfId="0" applyFont="1" applyNumberFormat="1"/>
    <xf borderId="0" fillId="0" fontId="6" numFmtId="182" xfId="0" applyFont="1" applyNumberFormat="1"/>
    <xf borderId="0" fillId="0" fontId="6" numFmtId="164" xfId="0" applyFont="1" applyNumberFormat="1"/>
    <xf borderId="0" fillId="0" fontId="2" numFmtId="183" xfId="0" applyFont="1" applyNumberFormat="1"/>
    <xf borderId="0" fillId="0" fontId="2" numFmtId="184" xfId="0" applyFont="1" applyNumberFormat="1"/>
    <xf borderId="0" fillId="0" fontId="13" numFmtId="164" xfId="0" applyFont="1" applyNumberFormat="1"/>
    <xf borderId="0" fillId="0" fontId="16" numFmtId="164" xfId="0" applyFont="1" applyNumberFormat="1"/>
    <xf borderId="12" fillId="0" fontId="2" numFmtId="0" xfId="0" applyAlignment="1" applyBorder="1" applyFont="1">
      <alignment horizontal="center"/>
    </xf>
    <xf borderId="0" fillId="0" fontId="17" numFmtId="164" xfId="0" applyFont="1" applyNumberFormat="1"/>
    <xf borderId="5" fillId="5" fontId="6" numFmtId="0" xfId="0" applyBorder="1" applyFill="1" applyFont="1"/>
    <xf borderId="5" fillId="5" fontId="2" numFmtId="0" xfId="0" applyAlignment="1" applyBorder="1" applyFont="1">
      <alignment horizontal="center"/>
    </xf>
    <xf borderId="5" fillId="5" fontId="6" numFmtId="164" xfId="0" applyAlignment="1" applyBorder="1" applyFont="1" applyNumberFormat="1">
      <alignment horizontal="center"/>
    </xf>
    <xf borderId="5" fillId="5" fontId="16" numFmtId="164" xfId="0" applyBorder="1" applyFont="1" applyNumberFormat="1"/>
    <xf borderId="5" fillId="6" fontId="6" numFmtId="0" xfId="0" applyBorder="1" applyFill="1" applyFont="1"/>
    <xf borderId="5" fillId="6" fontId="2" numFmtId="0" xfId="0" applyAlignment="1" applyBorder="1" applyFont="1">
      <alignment horizontal="center"/>
    </xf>
    <xf borderId="5" fillId="6" fontId="6" numFmtId="164" xfId="0" applyBorder="1" applyFont="1" applyNumberFormat="1"/>
    <xf borderId="0" fillId="0" fontId="18" numFmtId="0" xfId="0" applyAlignment="1" applyFont="1">
      <alignment vertical="bottom"/>
    </xf>
    <xf borderId="0" fillId="0" fontId="19" numFmtId="0" xfId="0" applyAlignment="1" applyFont="1">
      <alignment vertical="bottom"/>
    </xf>
    <xf borderId="5" fillId="7" fontId="20" numFmtId="0" xfId="0" applyAlignment="1" applyBorder="1" applyFill="1" applyFont="1">
      <alignment shrinkToFit="0" vertical="bottom" wrapText="1"/>
    </xf>
    <xf borderId="5" fillId="7" fontId="21" numFmtId="0" xfId="0" applyAlignment="1" applyBorder="1" applyFont="1">
      <alignment horizontal="right" shrinkToFit="0" vertical="bottom" wrapText="1"/>
    </xf>
    <xf borderId="0" fillId="0" fontId="19" numFmtId="0" xfId="0" applyAlignment="1" applyFont="1">
      <alignment shrinkToFit="0" vertical="top" wrapText="1"/>
    </xf>
    <xf borderId="0" fillId="0" fontId="19" numFmtId="49" xfId="0" applyAlignment="1" applyFont="1" applyNumberFormat="1">
      <alignment shrinkToFit="0" vertical="top" wrapText="1"/>
    </xf>
    <xf borderId="0" fillId="0" fontId="19" numFmtId="49" xfId="0" applyAlignment="1" applyFont="1" applyNumberFormat="1">
      <alignment vertical="top"/>
    </xf>
    <xf borderId="0" fillId="0" fontId="19" numFmtId="185" xfId="0" applyAlignment="1" applyFont="1" applyNumberFormat="1">
      <alignment horizontal="right" shrinkToFit="0" vertical="top" wrapText="1"/>
    </xf>
    <xf borderId="0" fillId="0" fontId="3" numFmtId="0" xfId="0" applyFont="1"/>
    <xf borderId="0" fillId="0" fontId="22" numFmtId="0" xfId="0" applyFont="1"/>
    <xf borderId="0" fillId="0" fontId="22" numFmtId="1" xfId="0" applyFont="1" applyNumberFormat="1"/>
    <xf borderId="5" fillId="2" fontId="4" numFmtId="0" xfId="0" applyAlignment="1" applyBorder="1" applyFont="1">
      <alignment horizontal="left"/>
    </xf>
    <xf borderId="5" fillId="2" fontId="4" numFmtId="0" xfId="0" applyBorder="1" applyFont="1"/>
    <xf borderId="14" fillId="2" fontId="23" numFmtId="0" xfId="0" applyAlignment="1" applyBorder="1" applyFont="1">
      <alignment horizontal="center"/>
    </xf>
    <xf borderId="15" fillId="0" fontId="11" numFmtId="0" xfId="0" applyBorder="1" applyFont="1"/>
    <xf borderId="5" fillId="2" fontId="24" numFmtId="0" xfId="0" applyBorder="1" applyFont="1"/>
    <xf borderId="5" fillId="2" fontId="4" numFmtId="0" xfId="0" applyAlignment="1" applyBorder="1" applyFont="1">
      <alignment horizontal="center"/>
    </xf>
    <xf borderId="5" fillId="2" fontId="25" numFmtId="0" xfId="0" applyAlignment="1" applyBorder="1" applyFont="1">
      <alignment horizontal="center"/>
    </xf>
    <xf borderId="5" fillId="2" fontId="24" numFmtId="0" xfId="0" applyAlignment="1" applyBorder="1" applyFont="1">
      <alignment horizontal="center"/>
    </xf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2" fontId="4" numFmtId="165" xfId="0" applyAlignment="1" applyBorder="1" applyFont="1" applyNumberFormat="1">
      <alignment horizontal="center"/>
    </xf>
    <xf borderId="0" fillId="0" fontId="1" numFmtId="168" xfId="0" applyFont="1" applyNumberFormat="1"/>
    <xf borderId="0" fillId="0" fontId="1" numFmtId="183" xfId="0" applyFont="1" applyNumberFormat="1"/>
    <xf borderId="16" fillId="0" fontId="1" numFmtId="0" xfId="0" applyBorder="1" applyFont="1"/>
    <xf borderId="12" fillId="0" fontId="1" numFmtId="0" xfId="0" applyBorder="1" applyFont="1"/>
    <xf borderId="12" fillId="0" fontId="1" numFmtId="168" xfId="0" applyBorder="1" applyFont="1" applyNumberFormat="1"/>
    <xf borderId="12" fillId="0" fontId="1" numFmtId="176" xfId="0" applyBorder="1" applyFont="1" applyNumberFormat="1"/>
    <xf borderId="12" fillId="0" fontId="1" numFmtId="169" xfId="0" applyBorder="1" applyFont="1" applyNumberFormat="1"/>
    <xf borderId="17" fillId="0" fontId="1" numFmtId="169" xfId="0" applyBorder="1" applyFont="1" applyNumberFormat="1"/>
    <xf borderId="18" fillId="0" fontId="1" numFmtId="0" xfId="0" applyBorder="1" applyFont="1"/>
    <xf borderId="19" fillId="0" fontId="1" numFmtId="169" xfId="0" applyBorder="1" applyFont="1" applyNumberFormat="1"/>
    <xf borderId="20" fillId="6" fontId="6" numFmtId="0" xfId="0" applyBorder="1" applyFont="1"/>
    <xf borderId="21" fillId="6" fontId="6" numFmtId="0" xfId="0" applyBorder="1" applyFont="1"/>
    <xf borderId="21" fillId="6" fontId="6" numFmtId="183" xfId="0" applyBorder="1" applyFont="1" applyNumberFormat="1"/>
    <xf borderId="21" fillId="6" fontId="6" numFmtId="164" xfId="0" applyBorder="1" applyFont="1" applyNumberFormat="1"/>
    <xf borderId="21" fillId="6" fontId="6" numFmtId="169" xfId="0" applyBorder="1" applyFont="1" applyNumberFormat="1"/>
    <xf borderId="22" fillId="6" fontId="6" numFmtId="169" xfId="0" applyBorder="1" applyFont="1" applyNumberFormat="1"/>
    <xf borderId="23" fillId="0" fontId="1" numFmtId="0" xfId="0" applyBorder="1" applyFont="1"/>
    <xf borderId="11" fillId="0" fontId="6" numFmtId="0" xfId="0" applyBorder="1" applyFont="1"/>
    <xf borderId="11" fillId="0" fontId="1" numFmtId="183" xfId="0" applyBorder="1" applyFont="1" applyNumberFormat="1"/>
    <xf borderId="11" fillId="0" fontId="1" numFmtId="164" xfId="0" applyBorder="1" applyFont="1" applyNumberFormat="1"/>
    <xf borderId="11" fillId="0" fontId="1" numFmtId="169" xfId="0" applyBorder="1" applyFont="1" applyNumberFormat="1"/>
    <xf borderId="24" fillId="0" fontId="1" numFmtId="169" xfId="0" applyBorder="1" applyFont="1" applyNumberFormat="1"/>
    <xf borderId="20" fillId="8" fontId="10" numFmtId="0" xfId="0" applyBorder="1" applyFill="1" applyFont="1"/>
    <xf borderId="21" fillId="8" fontId="10" numFmtId="49" xfId="0" applyBorder="1" applyFont="1" applyNumberFormat="1"/>
    <xf borderId="21" fillId="8" fontId="10" numFmtId="168" xfId="0" applyBorder="1" applyFont="1" applyNumberFormat="1"/>
    <xf borderId="21" fillId="8" fontId="10" numFmtId="176" xfId="0" applyBorder="1" applyFont="1" applyNumberFormat="1"/>
    <xf borderId="21" fillId="8" fontId="10" numFmtId="169" xfId="0" applyBorder="1" applyFont="1" applyNumberFormat="1"/>
    <xf borderId="22" fillId="8" fontId="10" numFmtId="169" xfId="0" applyBorder="1" applyFont="1" applyNumberFormat="1"/>
    <xf borderId="0" fillId="0" fontId="6" numFmtId="0" xfId="0" applyAlignment="1" applyFont="1">
      <alignment horizontal="center"/>
    </xf>
    <xf borderId="12" fillId="0" fontId="1" numFmtId="167" xfId="0" applyBorder="1" applyFont="1" applyNumberFormat="1"/>
    <xf borderId="17" fillId="0" fontId="1" numFmtId="167" xfId="0" applyBorder="1" applyFont="1" applyNumberFormat="1"/>
    <xf borderId="19" fillId="0" fontId="1" numFmtId="167" xfId="0" applyBorder="1" applyFont="1" applyNumberFormat="1"/>
    <xf borderId="21" fillId="6" fontId="6" numFmtId="167" xfId="0" applyBorder="1" applyFont="1" applyNumberFormat="1"/>
    <xf borderId="22" fillId="6" fontId="6" numFmtId="167" xfId="0" applyBorder="1" applyFont="1" applyNumberFormat="1"/>
    <xf borderId="11" fillId="0" fontId="1" numFmtId="167" xfId="0" applyBorder="1" applyFont="1" applyNumberFormat="1"/>
    <xf borderId="24" fillId="0" fontId="1" numFmtId="167" xfId="0" applyBorder="1" applyFont="1" applyNumberFormat="1"/>
    <xf borderId="21" fillId="8" fontId="10" numFmtId="0" xfId="0" applyBorder="1" applyFont="1"/>
    <xf borderId="21" fillId="8" fontId="10" numFmtId="167" xfId="0" applyBorder="1" applyFont="1" applyNumberFormat="1"/>
    <xf borderId="22" fillId="8" fontId="10" numFmtId="167" xfId="0" applyBorder="1" applyFont="1" applyNumberFormat="1"/>
    <xf borderId="0" fillId="0" fontId="1" numFmtId="186" xfId="0" applyFont="1" applyNumberFormat="1"/>
    <xf borderId="0" fillId="0" fontId="26" numFmtId="0" xfId="0" applyAlignment="1" applyFont="1">
      <alignment horizontal="center"/>
    </xf>
    <xf borderId="0" fillId="0" fontId="26" numFmtId="0" xfId="0" applyFont="1"/>
    <xf borderId="25" fillId="2" fontId="4" numFmtId="0" xfId="0" applyAlignment="1" applyBorder="1" applyFont="1">
      <alignment horizontal="left"/>
    </xf>
    <xf borderId="26" fillId="2" fontId="27" numFmtId="0" xfId="0" applyAlignment="1" applyBorder="1" applyFont="1">
      <alignment horizontal="left"/>
    </xf>
    <xf borderId="26" fillId="2" fontId="28" numFmtId="0" xfId="0" applyAlignment="1" applyBorder="1" applyFont="1">
      <alignment horizontal="left"/>
    </xf>
    <xf borderId="27" fillId="2" fontId="4" numFmtId="0" xfId="0" applyAlignment="1" applyBorder="1" applyFont="1">
      <alignment horizontal="right"/>
    </xf>
    <xf borderId="28" fillId="2" fontId="4" numFmtId="0" xfId="0" applyAlignment="1" applyBorder="1" applyFont="1">
      <alignment horizontal="left"/>
    </xf>
    <xf borderId="5" fillId="2" fontId="29" numFmtId="0" xfId="0" applyAlignment="1" applyBorder="1" applyFont="1">
      <alignment horizontal="left"/>
    </xf>
    <xf borderId="5" fillId="2" fontId="30" numFmtId="0" xfId="0" applyAlignment="1" applyBorder="1" applyFont="1">
      <alignment horizontal="left"/>
    </xf>
    <xf borderId="29" fillId="2" fontId="4" numFmtId="0" xfId="0" applyAlignment="1" applyBorder="1" applyFont="1">
      <alignment horizontal="right"/>
    </xf>
    <xf borderId="28" fillId="9" fontId="6" numFmtId="0" xfId="0" applyAlignment="1" applyBorder="1" applyFill="1" applyFont="1">
      <alignment horizontal="center"/>
    </xf>
    <xf borderId="5" fillId="9" fontId="1" numFmtId="0" xfId="0" applyAlignment="1" applyBorder="1" applyFont="1">
      <alignment horizontal="center"/>
    </xf>
    <xf borderId="29" fillId="9" fontId="1" numFmtId="0" xfId="0" applyAlignment="1" applyBorder="1" applyFont="1">
      <alignment horizontal="center"/>
    </xf>
    <xf borderId="30" fillId="9" fontId="6" numFmtId="0" xfId="0" applyAlignment="1" applyBorder="1" applyFont="1">
      <alignment horizontal="center"/>
    </xf>
    <xf borderId="31" fillId="0" fontId="11" numFmtId="0" xfId="0" applyBorder="1" applyFont="1"/>
    <xf borderId="20" fillId="9" fontId="1" numFmtId="165" xfId="0" applyAlignment="1" applyBorder="1" applyFont="1" applyNumberFormat="1">
      <alignment horizontal="center"/>
    </xf>
    <xf borderId="21" fillId="9" fontId="1" numFmtId="165" xfId="0" applyAlignment="1" applyBorder="1" applyFont="1" applyNumberFormat="1">
      <alignment horizontal="center"/>
    </xf>
    <xf borderId="22" fillId="9" fontId="1" numFmtId="165" xfId="0" applyAlignment="1" applyBorder="1" applyFont="1" applyNumberFormat="1">
      <alignment horizontal="center"/>
    </xf>
    <xf borderId="32" fillId="9" fontId="1" numFmtId="165" xfId="0" applyAlignment="1" applyBorder="1" applyFont="1" applyNumberFormat="1">
      <alignment horizontal="center"/>
    </xf>
    <xf borderId="33" fillId="0" fontId="13" numFmtId="165" xfId="0" applyAlignment="1" applyBorder="1" applyFont="1" applyNumberFormat="1">
      <alignment horizontal="center"/>
    </xf>
    <xf borderId="34" fillId="0" fontId="13" numFmtId="165" xfId="0" applyAlignment="1" applyBorder="1" applyFont="1" applyNumberFormat="1">
      <alignment horizontal="center"/>
    </xf>
    <xf borderId="35" fillId="0" fontId="13" numFmtId="165" xfId="0" applyAlignment="1" applyBorder="1" applyFont="1" applyNumberFormat="1">
      <alignment horizontal="center"/>
    </xf>
    <xf borderId="32" fillId="0" fontId="13" numFmtId="165" xfId="0" applyAlignment="1" applyBorder="1" applyFont="1" applyNumberFormat="1">
      <alignment horizontal="center"/>
    </xf>
    <xf borderId="33" fillId="0" fontId="1" numFmtId="165" xfId="0" applyAlignment="1" applyBorder="1" applyFont="1" applyNumberFormat="1">
      <alignment horizontal="center"/>
    </xf>
    <xf borderId="34" fillId="0" fontId="1" numFmtId="165" xfId="0" applyAlignment="1" applyBorder="1" applyFont="1" applyNumberFormat="1">
      <alignment horizontal="center"/>
    </xf>
    <xf borderId="35" fillId="0" fontId="1" numFmtId="165" xfId="0" applyAlignment="1" applyBorder="1" applyFont="1" applyNumberFormat="1">
      <alignment horizontal="center"/>
    </xf>
    <xf borderId="32" fillId="0" fontId="1" numFmtId="165" xfId="0" applyAlignment="1" applyBorder="1" applyFont="1" applyNumberFormat="1">
      <alignment horizontal="center"/>
    </xf>
    <xf borderId="18" fillId="0" fontId="7" numFmtId="170" xfId="0" applyBorder="1" applyFont="1" applyNumberFormat="1"/>
    <xf borderId="0" fillId="0" fontId="7" numFmtId="187" xfId="0" applyFont="1" applyNumberFormat="1"/>
    <xf borderId="19" fillId="0" fontId="1" numFmtId="187" xfId="0" applyBorder="1" applyFont="1" applyNumberFormat="1"/>
    <xf borderId="18" fillId="0" fontId="7" numFmtId="187" xfId="0" applyBorder="1" applyFont="1" applyNumberFormat="1"/>
    <xf borderId="18" fillId="0" fontId="26" numFmtId="188" xfId="0" applyBorder="1" applyFont="1" applyNumberFormat="1"/>
    <xf borderId="0" fillId="0" fontId="26" numFmtId="188" xfId="0" applyFont="1" applyNumberFormat="1"/>
    <xf borderId="19" fillId="0" fontId="26" numFmtId="188" xfId="0" applyBorder="1" applyFont="1" applyNumberFormat="1"/>
    <xf borderId="18" fillId="0" fontId="7" numFmtId="188" xfId="0" applyBorder="1" applyFont="1" applyNumberFormat="1"/>
    <xf borderId="0" fillId="0" fontId="7" numFmtId="188" xfId="0" applyFont="1" applyNumberFormat="1"/>
    <xf borderId="19" fillId="0" fontId="1" numFmtId="188" xfId="0" applyBorder="1" applyFont="1" applyNumberFormat="1"/>
    <xf borderId="19" fillId="0" fontId="13" numFmtId="164" xfId="0" applyBorder="1" applyFont="1" applyNumberFormat="1"/>
    <xf borderId="18" fillId="0" fontId="7" numFmtId="189" xfId="0" applyBorder="1" applyFont="1" applyNumberFormat="1"/>
    <xf borderId="0" fillId="0" fontId="1" numFmtId="189" xfId="0" applyFont="1" applyNumberFormat="1"/>
    <xf borderId="0" fillId="0" fontId="7" numFmtId="189" xfId="0" applyFont="1" applyNumberFormat="1"/>
    <xf borderId="19" fillId="0" fontId="1" numFmtId="189" xfId="0" applyBorder="1" applyFont="1" applyNumberFormat="1"/>
    <xf borderId="19" fillId="0" fontId="1" numFmtId="164" xfId="0" applyBorder="1" applyFont="1" applyNumberFormat="1"/>
    <xf borderId="0" fillId="0" fontId="26" numFmtId="0" xfId="0" applyAlignment="1" applyFont="1">
      <alignment horizontal="left"/>
    </xf>
    <xf borderId="18" fillId="0" fontId="1" numFmtId="189" xfId="0" applyBorder="1" applyFont="1" applyNumberFormat="1"/>
    <xf borderId="12" fillId="0" fontId="16" numFmtId="0" xfId="0" applyAlignment="1" applyBorder="1" applyFont="1">
      <alignment horizontal="left"/>
    </xf>
    <xf borderId="12" fillId="0" fontId="26" numFmtId="0" xfId="0" applyAlignment="1" applyBorder="1" applyFont="1">
      <alignment horizontal="left"/>
    </xf>
    <xf borderId="16" fillId="0" fontId="31" numFmtId="0" xfId="0" applyBorder="1" applyFont="1"/>
    <xf borderId="12" fillId="0" fontId="31" numFmtId="0" xfId="0" applyBorder="1" applyFont="1"/>
    <xf borderId="12" fillId="0" fontId="6" numFmtId="189" xfId="0" applyBorder="1" applyFont="1" applyNumberFormat="1"/>
    <xf borderId="17" fillId="0" fontId="6" numFmtId="189" xfId="0" applyBorder="1" applyFont="1" applyNumberFormat="1"/>
    <xf borderId="16" fillId="0" fontId="6" numFmtId="189" xfId="0" applyBorder="1" applyFont="1" applyNumberFormat="1"/>
    <xf borderId="17" fillId="0" fontId="6" numFmtId="187" xfId="0" applyBorder="1" applyFont="1" applyNumberFormat="1"/>
    <xf borderId="18" fillId="0" fontId="26" numFmtId="164" xfId="0" applyBorder="1" applyFont="1" applyNumberFormat="1"/>
    <xf borderId="0" fillId="0" fontId="26" numFmtId="164" xfId="0" applyFont="1" applyNumberFormat="1"/>
    <xf borderId="19" fillId="0" fontId="26" numFmtId="164" xfId="0" applyBorder="1" applyFont="1" applyNumberFormat="1"/>
    <xf borderId="18" fillId="0" fontId="7" numFmtId="164" xfId="0" applyBorder="1" applyFont="1" applyNumberFormat="1"/>
    <xf borderId="18" fillId="0" fontId="7" numFmtId="175" xfId="0" applyBorder="1" applyFont="1" applyNumberFormat="1"/>
    <xf borderId="0" fillId="0" fontId="7" numFmtId="175" xfId="0" applyFont="1" applyNumberFormat="1"/>
    <xf borderId="36" fillId="0" fontId="1" numFmtId="0" xfId="0" applyBorder="1" applyFont="1"/>
    <xf borderId="16" fillId="0" fontId="7" numFmtId="175" xfId="0" applyBorder="1" applyFont="1" applyNumberFormat="1"/>
    <xf borderId="12" fillId="0" fontId="7" numFmtId="175" xfId="0" applyBorder="1" applyFont="1" applyNumberFormat="1"/>
    <xf borderId="36" fillId="0" fontId="1" numFmtId="183" xfId="0" applyBorder="1" applyFont="1" applyNumberFormat="1"/>
    <xf borderId="16" fillId="0" fontId="1" numFmtId="164" xfId="0" applyBorder="1" applyFont="1" applyNumberFormat="1"/>
    <xf borderId="12" fillId="0" fontId="1" numFmtId="164" xfId="0" applyBorder="1" applyFont="1" applyNumberFormat="1"/>
    <xf borderId="18" fillId="0" fontId="26" numFmtId="9" xfId="0" applyBorder="1" applyFont="1" applyNumberFormat="1"/>
    <xf borderId="0" fillId="0" fontId="26" numFmtId="9" xfId="0" applyFont="1" applyNumberFormat="1"/>
    <xf borderId="19" fillId="0" fontId="1" numFmtId="174" xfId="0" applyBorder="1" applyFont="1" applyNumberFormat="1"/>
    <xf borderId="18" fillId="0" fontId="22" numFmtId="9" xfId="0" applyBorder="1" applyFont="1" applyNumberFormat="1"/>
    <xf borderId="0" fillId="0" fontId="22" numFmtId="9" xfId="0" applyFont="1" applyNumberFormat="1"/>
    <xf borderId="0" fillId="0" fontId="1" numFmtId="184" xfId="0" applyFont="1" applyNumberFormat="1"/>
    <xf borderId="19" fillId="0" fontId="7" numFmtId="174" xfId="0" applyBorder="1" applyFont="1" applyNumberFormat="1"/>
    <xf borderId="18" fillId="0" fontId="26" numFmtId="0" xfId="0" applyBorder="1" applyFont="1"/>
    <xf borderId="0" fillId="0" fontId="26" numFmtId="190" xfId="0" applyFont="1" applyNumberFormat="1"/>
    <xf borderId="19" fillId="0" fontId="1" numFmtId="191" xfId="0" applyBorder="1" applyFont="1" applyNumberFormat="1"/>
    <xf borderId="0" fillId="0" fontId="1" numFmtId="190" xfId="0" applyFont="1" applyNumberFormat="1"/>
    <xf borderId="19" fillId="0" fontId="7" numFmtId="191" xfId="0" applyBorder="1" applyFont="1" applyNumberFormat="1"/>
    <xf borderId="23" fillId="0" fontId="26" numFmtId="0" xfId="0" applyBorder="1" applyFont="1"/>
    <xf borderId="19" fillId="0" fontId="26" numFmtId="9" xfId="0" applyBorder="1" applyFont="1" applyNumberFormat="1"/>
    <xf borderId="19" fillId="0" fontId="1" numFmtId="9" xfId="0" applyBorder="1" applyFont="1" applyNumberFormat="1"/>
    <xf borderId="20" fillId="2" fontId="10" numFmtId="0" xfId="0" applyAlignment="1" applyBorder="1" applyFont="1">
      <alignment horizontal="center"/>
    </xf>
    <xf borderId="21" fillId="2" fontId="26" numFmtId="0" xfId="0" applyAlignment="1" applyBorder="1" applyFont="1">
      <alignment horizontal="center"/>
    </xf>
    <xf borderId="22" fillId="2" fontId="26" numFmtId="0" xfId="0" applyAlignment="1" applyBorder="1" applyFont="1">
      <alignment horizontal="center"/>
    </xf>
    <xf borderId="21" fillId="2" fontId="8" numFmtId="0" xfId="0" applyAlignment="1" applyBorder="1" applyFont="1">
      <alignment horizontal="center"/>
    </xf>
    <xf borderId="22" fillId="2" fontId="8" numFmtId="0" xfId="0" applyAlignment="1" applyBorder="1" applyFont="1">
      <alignment horizontal="center"/>
    </xf>
    <xf borderId="33" fillId="2" fontId="10" numFmtId="0" xfId="0" applyAlignment="1" applyBorder="1" applyFont="1">
      <alignment horizontal="center"/>
    </xf>
    <xf borderId="34" fillId="0" fontId="11" numFmtId="0" xfId="0" applyBorder="1" applyFont="1"/>
    <xf borderId="35" fillId="0" fontId="11" numFmtId="0" xfId="0" applyBorder="1" applyFont="1"/>
    <xf borderId="28" fillId="10" fontId="31" numFmtId="0" xfId="0" applyAlignment="1" applyBorder="1" applyFill="1" applyFont="1">
      <alignment horizontal="center"/>
    </xf>
    <xf borderId="5" fillId="10" fontId="26" numFmtId="0" xfId="0" applyAlignment="1" applyBorder="1" applyFont="1">
      <alignment horizontal="center"/>
    </xf>
    <xf borderId="32" fillId="0" fontId="1" numFmtId="187" xfId="0" applyBorder="1" applyFont="1" applyNumberFormat="1"/>
    <xf borderId="28" fillId="10" fontId="6" numFmtId="0" xfId="0" applyAlignment="1" applyBorder="1" applyFont="1">
      <alignment horizontal="center"/>
    </xf>
    <xf borderId="5" fillId="10" fontId="1" numFmtId="0" xfId="0" applyAlignment="1" applyBorder="1" applyFont="1">
      <alignment horizontal="center"/>
    </xf>
    <xf borderId="32" fillId="0" fontId="7" numFmtId="189" xfId="0" applyBorder="1" applyFont="1" applyNumberFormat="1"/>
    <xf borderId="32" fillId="0" fontId="1" numFmtId="189" xfId="0" applyBorder="1" applyFont="1" applyNumberFormat="1"/>
    <xf borderId="29" fillId="10" fontId="26" numFmtId="0" xfId="0" applyAlignment="1" applyBorder="1" applyFont="1">
      <alignment horizontal="center"/>
    </xf>
    <xf borderId="29" fillId="10" fontId="1" numFmtId="0" xfId="0" applyAlignment="1" applyBorder="1" applyFont="1">
      <alignment horizontal="center"/>
    </xf>
    <xf borderId="37" fillId="10" fontId="31" numFmtId="0" xfId="0" applyAlignment="1" applyBorder="1" applyFont="1">
      <alignment horizontal="center"/>
    </xf>
    <xf borderId="1" fillId="10" fontId="26" numFmtId="0" xfId="0" applyAlignment="1" applyBorder="1" applyFont="1">
      <alignment horizontal="center"/>
    </xf>
    <xf borderId="37" fillId="10" fontId="6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9" fillId="0" fontId="26" numFmtId="0" xfId="0" applyBorder="1" applyFont="1"/>
    <xf borderId="19" fillId="0" fontId="1" numFmtId="0" xfId="0" applyBorder="1" applyFont="1"/>
    <xf borderId="38" fillId="10" fontId="26" numFmtId="0" xfId="0" applyAlignment="1" applyBorder="1" applyFont="1">
      <alignment horizontal="center"/>
    </xf>
    <xf borderId="38" fillId="10" fontId="1" numFmtId="0" xfId="0" applyAlignment="1" applyBorder="1" applyFont="1">
      <alignment horizontal="center"/>
    </xf>
    <xf borderId="32" fillId="0" fontId="13" numFmtId="187" xfId="0" applyBorder="1" applyFont="1" applyNumberFormat="1"/>
    <xf borderId="32" fillId="0" fontId="7" numFmtId="187" xfId="0" applyBorder="1" applyFont="1" applyNumberFormat="1"/>
    <xf borderId="32" fillId="0" fontId="13" numFmtId="189" xfId="0" applyBorder="1" applyFont="1" applyNumberFormat="1"/>
    <xf borderId="39" fillId="10" fontId="26" numFmtId="0" xfId="0" applyAlignment="1" applyBorder="1" applyFont="1">
      <alignment horizontal="center"/>
    </xf>
    <xf borderId="39" fillId="10" fontId="1" numFmtId="0" xfId="0" applyAlignment="1" applyBorder="1" applyFont="1">
      <alignment horizontal="center"/>
    </xf>
    <xf borderId="25" fillId="10" fontId="6" numFmtId="0" xfId="0" applyAlignment="1" applyBorder="1" applyFont="1">
      <alignment horizontal="center"/>
    </xf>
    <xf borderId="26" fillId="10" fontId="1" numFmtId="0" xfId="0" applyAlignment="1" applyBorder="1" applyFont="1">
      <alignment horizontal="center"/>
    </xf>
    <xf borderId="32" fillId="0" fontId="7" numFmtId="168" xfId="0" applyBorder="1" applyFont="1" applyNumberFormat="1"/>
    <xf borderId="32" fillId="0" fontId="7" numFmtId="4" xfId="0" applyAlignment="1" applyBorder="1" applyFont="1" applyNumberFormat="1">
      <alignment horizontal="right"/>
    </xf>
    <xf borderId="28" fillId="10" fontId="1" numFmtId="0" xfId="0" applyBorder="1" applyFont="1"/>
    <xf borderId="5" fillId="10" fontId="1" numFmtId="0" xfId="0" applyBorder="1" applyFont="1"/>
    <xf borderId="29" fillId="10" fontId="1" numFmtId="0" xfId="0" applyBorder="1" applyFont="1"/>
    <xf borderId="20" fillId="9" fontId="6" numFmtId="0" xfId="0" applyAlignment="1" applyBorder="1" applyFont="1">
      <alignment horizontal="center"/>
    </xf>
    <xf borderId="21" fillId="9" fontId="6" numFmtId="0" xfId="0" applyAlignment="1" applyBorder="1" applyFont="1">
      <alignment horizontal="center"/>
    </xf>
    <xf borderId="22" fillId="9" fontId="6" numFmtId="0" xfId="0" applyAlignment="1" applyBorder="1" applyFont="1">
      <alignment horizontal="center"/>
    </xf>
    <xf borderId="32" fillId="0" fontId="7" numFmtId="192" xfId="0" applyBorder="1" applyFont="1" applyNumberFormat="1"/>
    <xf borderId="32" fillId="0" fontId="7" numFmtId="168" xfId="0" applyAlignment="1" applyBorder="1" applyFont="1" applyNumberFormat="1">
      <alignment horizontal="right"/>
    </xf>
    <xf borderId="32" fillId="0" fontId="1" numFmtId="192" xfId="0" applyBorder="1" applyFont="1" applyNumberFormat="1"/>
    <xf borderId="0" fillId="0" fontId="1" numFmtId="192" xfId="0" applyFont="1" applyNumberFormat="1"/>
    <xf borderId="21" fillId="10" fontId="7" numFmtId="192" xfId="0" applyBorder="1" applyFont="1" applyNumberFormat="1"/>
    <xf borderId="21" fillId="10" fontId="7" numFmtId="168" xfId="0" applyAlignment="1" applyBorder="1" applyFont="1" applyNumberFormat="1">
      <alignment horizontal="right"/>
    </xf>
    <xf borderId="22" fillId="10" fontId="1" numFmtId="4" xfId="0" applyBorder="1" applyFont="1" applyNumberFormat="1"/>
    <xf borderId="32" fillId="0" fontId="7" numFmtId="176" xfId="0" applyBorder="1" applyFont="1" applyNumberFormat="1"/>
    <xf borderId="34" fillId="0" fontId="7" numFmtId="176" xfId="0" applyBorder="1" applyFont="1" applyNumberFormat="1"/>
    <xf borderId="34" fillId="0" fontId="7" numFmtId="178" xfId="0" applyBorder="1" applyFont="1" applyNumberFormat="1"/>
    <xf borderId="32" fillId="0" fontId="7" numFmtId="164" xfId="0" applyBorder="1" applyFont="1" applyNumberFormat="1"/>
    <xf borderId="34" fillId="0" fontId="7" numFmtId="164" xfId="0" applyBorder="1" applyFont="1" applyNumberFormat="1"/>
    <xf borderId="26" fillId="10" fontId="7" numFmtId="192" xfId="0" applyBorder="1" applyFont="1" applyNumberFormat="1"/>
    <xf borderId="26" fillId="10" fontId="7" numFmtId="168" xfId="0" applyAlignment="1" applyBorder="1" applyFont="1" applyNumberFormat="1">
      <alignment horizontal="right"/>
    </xf>
    <xf borderId="27" fillId="10" fontId="1" numFmtId="4" xfId="0" applyBorder="1" applyFont="1" applyNumberFormat="1"/>
    <xf borderId="5" fillId="10" fontId="7" numFmtId="168" xfId="0" applyAlignment="1" applyBorder="1" applyFont="1" applyNumberFormat="1">
      <alignment horizontal="right"/>
    </xf>
    <xf borderId="29" fillId="10" fontId="1" numFmtId="4" xfId="0" applyBorder="1" applyFont="1" applyNumberFormat="1"/>
    <xf borderId="40" fillId="9" fontId="6" numFmtId="0" xfId="0" applyAlignment="1" applyBorder="1" applyFont="1">
      <alignment horizontal="center"/>
    </xf>
    <xf borderId="32" fillId="0" fontId="7" numFmtId="193" xfId="0" applyBorder="1" applyFont="1" applyNumberFormat="1"/>
    <xf borderId="32" fillId="0" fontId="1" numFmtId="176" xfId="0" applyBorder="1" applyFont="1" applyNumberFormat="1"/>
    <xf borderId="28" fillId="10" fontId="7" numFmtId="168" xfId="0" applyAlignment="1" applyBorder="1" applyFont="1" applyNumberFormat="1">
      <alignment horizontal="right"/>
    </xf>
    <xf borderId="5" fillId="10" fontId="7" numFmtId="192" xfId="0" applyBorder="1" applyFont="1" applyNumberFormat="1"/>
    <xf borderId="29" fillId="10" fontId="7" numFmtId="192" xfId="0" applyBorder="1" applyFont="1" applyNumberFormat="1"/>
    <xf borderId="32" fillId="9" fontId="6" numFmtId="0" xfId="0" applyAlignment="1" applyBorder="1" applyFont="1">
      <alignment horizontal="center"/>
    </xf>
    <xf borderId="22" fillId="10" fontId="7" numFmtId="192" xfId="0" applyBorder="1" applyFont="1" applyNumberFormat="1"/>
    <xf borderId="37" fillId="10" fontId="1" numFmtId="0" xfId="0" applyBorder="1" applyFont="1"/>
    <xf borderId="1" fillId="10" fontId="1" numFmtId="0" xfId="0" applyBorder="1" applyFont="1"/>
    <xf borderId="32" fillId="0" fontId="6" numFmtId="4" xfId="0" applyBorder="1" applyFont="1" applyNumberFormat="1"/>
    <xf borderId="17" fillId="0" fontId="1" numFmtId="0" xfId="0" applyBorder="1" applyFont="1"/>
    <xf borderId="27" fillId="10" fontId="1" numFmtId="0" xfId="0" applyAlignment="1" applyBorder="1" applyFont="1">
      <alignment horizontal="center"/>
    </xf>
    <xf borderId="32" fillId="0" fontId="7" numFmtId="4" xfId="0" applyBorder="1" applyFont="1" applyNumberFormat="1"/>
    <xf borderId="16" fillId="0" fontId="1" numFmtId="194" xfId="0" applyBorder="1" applyFont="1" applyNumberFormat="1"/>
    <xf borderId="12" fillId="0" fontId="1" numFmtId="194" xfId="0" applyBorder="1" applyFont="1" applyNumberFormat="1"/>
    <xf borderId="17" fillId="0" fontId="1" numFmtId="194" xfId="0" applyBorder="1" applyFont="1" applyNumberFormat="1"/>
    <xf borderId="18" fillId="0" fontId="1" numFmtId="194" xfId="0" applyBorder="1" applyFont="1" applyNumberFormat="1"/>
    <xf borderId="0" fillId="0" fontId="1" numFmtId="194" xfId="0" applyFont="1" applyNumberFormat="1"/>
    <xf borderId="19" fillId="0" fontId="1" numFmtId="194" xfId="0" applyBorder="1" applyFont="1" applyNumberFormat="1"/>
    <xf borderId="23" fillId="0" fontId="1" numFmtId="194" xfId="0" applyBorder="1" applyFont="1" applyNumberFormat="1"/>
    <xf borderId="11" fillId="0" fontId="1" numFmtId="194" xfId="0" applyBorder="1" applyFont="1" applyNumberFormat="1"/>
    <xf borderId="24" fillId="0" fontId="1" numFmtId="194" xfId="0" applyBorder="1" applyFont="1" applyNumberFormat="1"/>
    <xf borderId="27" fillId="10" fontId="1" numFmtId="0" xfId="0" applyBorder="1" applyFont="1"/>
    <xf borderId="32" fillId="0" fontId="1" numFmtId="164" xfId="0" applyBorder="1" applyFont="1" applyNumberFormat="1"/>
    <xf borderId="32" fillId="0" fontId="1" numFmtId="174" xfId="0" applyBorder="1" applyFont="1" applyNumberFormat="1"/>
    <xf borderId="32" fillId="0" fontId="1" numFmtId="194" xfId="0" applyBorder="1" applyFont="1" applyNumberFormat="1"/>
    <xf borderId="0" fillId="0" fontId="32" numFmtId="0" xfId="0" applyFont="1"/>
    <xf borderId="0" fillId="0" fontId="33" numFmtId="0" xfId="0" applyAlignment="1" applyFont="1">
      <alignment horizontal="right"/>
    </xf>
    <xf borderId="5" fillId="2" fontId="34" numFmtId="0" xfId="0" applyBorder="1" applyFont="1"/>
    <xf borderId="0" fillId="0" fontId="13" numFmtId="0" xfId="0" applyAlignment="1" applyFont="1">
      <alignment horizontal="left" shrinkToFit="0" vertical="top" wrapText="1"/>
    </xf>
    <xf borderId="0" fillId="0" fontId="13" numFmtId="165" xfId="0" applyAlignment="1" applyFont="1" applyNumberFormat="1">
      <alignment horizontal="left" vertical="top"/>
    </xf>
    <xf borderId="0" fillId="0" fontId="7" numFmtId="176" xfId="0" applyAlignment="1" applyFont="1" applyNumberFormat="1">
      <alignment shrinkToFit="0" vertical="top" wrapText="1"/>
    </xf>
    <xf borderId="0" fillId="0" fontId="1" numFmtId="194" xfId="0" applyAlignment="1" applyFont="1" applyNumberFormat="1">
      <alignment shrinkToFit="0" vertical="top" wrapText="1"/>
    </xf>
    <xf borderId="0" fillId="0" fontId="7" numFmtId="168" xfId="0" applyAlignment="1" applyFont="1" applyNumberFormat="1">
      <alignment shrinkToFit="0" vertical="top" wrapText="1"/>
    </xf>
    <xf borderId="0" fillId="0" fontId="1" numFmtId="195" xfId="0" applyAlignment="1" applyFont="1" applyNumberFormat="1">
      <alignment shrinkToFit="0" vertical="top" wrapText="1"/>
    </xf>
    <xf borderId="0" fillId="0" fontId="7" numFmtId="164" xfId="0" applyAlignment="1" applyFont="1" applyNumberFormat="1">
      <alignment shrinkToFit="0" vertical="top" wrapText="1"/>
    </xf>
    <xf borderId="0" fillId="0" fontId="7" numFmtId="183" xfId="0" applyAlignment="1" applyFont="1" applyNumberFormat="1">
      <alignment shrinkToFit="0" vertical="top" wrapText="1"/>
    </xf>
    <xf borderId="0" fillId="0" fontId="1" numFmtId="196" xfId="0" applyAlignment="1" applyFont="1" applyNumberFormat="1">
      <alignment horizontal="right"/>
    </xf>
    <xf borderId="0" fillId="0" fontId="35" numFmtId="197" xfId="0" applyFont="1" applyNumberFormat="1"/>
    <xf borderId="0" fillId="0" fontId="1" numFmtId="194" xfId="0" applyAlignment="1" applyFont="1" applyNumberFormat="1">
      <alignment horizontal="right"/>
    </xf>
    <xf borderId="16" fillId="0" fontId="1" numFmtId="0" xfId="0" applyAlignment="1" applyBorder="1" applyFont="1">
      <alignment horizontal="right"/>
    </xf>
    <xf borderId="12" fillId="0" fontId="1" numFmtId="0" xfId="0" applyAlignment="1" applyBorder="1" applyFont="1">
      <alignment horizontal="right"/>
    </xf>
    <xf borderId="12" fillId="0" fontId="1" numFmtId="187" xfId="0" applyBorder="1" applyFont="1" applyNumberFormat="1"/>
    <xf borderId="12" fillId="0" fontId="1" numFmtId="195" xfId="0" applyBorder="1" applyFont="1" applyNumberFormat="1"/>
    <xf borderId="17" fillId="0" fontId="1" numFmtId="195" xfId="0" applyBorder="1" applyFont="1" applyNumberFormat="1"/>
    <xf borderId="18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195" xfId="0" applyFont="1" applyNumberFormat="1"/>
    <xf borderId="19" fillId="0" fontId="1" numFmtId="195" xfId="0" applyBorder="1" applyFont="1" applyNumberFormat="1"/>
    <xf borderId="20" fillId="6" fontId="6" numFmtId="0" xfId="0" applyAlignment="1" applyBorder="1" applyFont="1">
      <alignment horizontal="right"/>
    </xf>
    <xf borderId="21" fillId="6" fontId="6" numFmtId="0" xfId="0" applyAlignment="1" applyBorder="1" applyFont="1">
      <alignment horizontal="right"/>
    </xf>
    <xf borderId="21" fillId="6" fontId="6" numFmtId="194" xfId="0" applyBorder="1" applyFont="1" applyNumberFormat="1"/>
    <xf borderId="21" fillId="6" fontId="6" numFmtId="195" xfId="0" applyBorder="1" applyFont="1" applyNumberFormat="1"/>
    <xf borderId="22" fillId="6" fontId="6" numFmtId="195" xfId="0" applyBorder="1" applyFont="1" applyNumberFormat="1"/>
    <xf borderId="23" fillId="0" fontId="1" numFmtId="0" xfId="0" applyAlignment="1" applyBorder="1" applyFont="1">
      <alignment horizontal="right"/>
    </xf>
    <xf borderId="11" fillId="0" fontId="1" numFmtId="0" xfId="0" applyAlignment="1" applyBorder="1" applyFont="1">
      <alignment horizontal="right"/>
    </xf>
    <xf borderId="11" fillId="0" fontId="1" numFmtId="189" xfId="0" applyBorder="1" applyFont="1" applyNumberFormat="1"/>
    <xf borderId="11" fillId="0" fontId="1" numFmtId="195" xfId="0" applyBorder="1" applyFont="1" applyNumberFormat="1"/>
    <xf borderId="24" fillId="0" fontId="1" numFmtId="195" xfId="0" applyBorder="1" applyFont="1" applyNumberFormat="1"/>
    <xf borderId="0" fillId="0" fontId="36" numFmtId="0" xfId="0" applyFont="1"/>
    <xf borderId="1" fillId="2" fontId="24" numFmtId="0" xfId="0" applyBorder="1" applyFont="1"/>
    <xf borderId="0" fillId="0" fontId="24" numFmtId="0" xfId="0" applyFont="1"/>
    <xf borderId="13" fillId="3" fontId="7" numFmtId="191" xfId="0" applyAlignment="1" applyBorder="1" applyFont="1" applyNumberFormat="1">
      <alignment horizontal="center"/>
    </xf>
    <xf borderId="0" fillId="0" fontId="7" numFmtId="191" xfId="0" applyFont="1" applyNumberFormat="1"/>
    <xf borderId="0" fillId="0" fontId="1" numFmtId="191" xfId="0" applyAlignment="1" applyFont="1" applyNumberFormat="1">
      <alignment horizontal="center"/>
    </xf>
    <xf borderId="0" fillId="0" fontId="1" numFmtId="198" xfId="0" applyFont="1" applyNumberFormat="1"/>
    <xf borderId="0" fillId="0" fontId="1" numFmtId="199" xfId="0" applyFont="1" applyNumberFormat="1"/>
    <xf borderId="20" fillId="6" fontId="6" numFmtId="0" xfId="0" applyAlignment="1" applyBorder="1" applyFont="1">
      <alignment horizontal="left"/>
    </xf>
    <xf borderId="21" fillId="6" fontId="6" numFmtId="198" xfId="0" applyBorder="1" applyFont="1" applyNumberFormat="1"/>
    <xf borderId="21" fillId="6" fontId="6" numFmtId="176" xfId="0" applyBorder="1" applyFont="1" applyNumberFormat="1"/>
    <xf borderId="21" fillId="6" fontId="6" numFmtId="174" xfId="0" applyBorder="1" applyFont="1" applyNumberFormat="1"/>
    <xf borderId="22" fillId="6" fontId="6" numFmtId="174" xfId="0" applyBorder="1" applyFont="1" applyNumberFormat="1"/>
    <xf borderId="21" fillId="8" fontId="10" numFmtId="198" xfId="0" applyBorder="1" applyFont="1" applyNumberFormat="1"/>
    <xf borderId="21" fillId="8" fontId="10" numFmtId="187" xfId="0" applyBorder="1" applyFont="1" applyNumberFormat="1"/>
    <xf borderId="21" fillId="8" fontId="10" numFmtId="170" xfId="0" applyBorder="1" applyFont="1" applyNumberFormat="1"/>
    <xf borderId="21" fillId="8" fontId="10" numFmtId="9" xfId="0" applyBorder="1" applyFont="1" applyNumberFormat="1"/>
    <xf borderId="21" fillId="8" fontId="10" numFmtId="183" xfId="0" applyBorder="1" applyFont="1" applyNumberFormat="1"/>
    <xf borderId="22" fillId="8" fontId="10" numFmtId="183" xfId="0" applyBorder="1" applyFont="1" applyNumberFormat="1"/>
    <xf borderId="0" fillId="0" fontId="4" numFmtId="0" xfId="0" applyFont="1"/>
    <xf borderId="0" fillId="0" fontId="4" numFmtId="0" xfId="0" applyAlignment="1" applyFont="1">
      <alignment horizontal="center"/>
    </xf>
    <xf borderId="12" fillId="0" fontId="1" numFmtId="49" xfId="0" applyBorder="1" applyFont="1" applyNumberFormat="1"/>
    <xf borderId="12" fillId="0" fontId="1" numFmtId="198" xfId="0" applyBorder="1" applyFont="1" applyNumberFormat="1"/>
    <xf borderId="12" fillId="0" fontId="1" numFmtId="174" xfId="0" applyBorder="1" applyFont="1" applyNumberFormat="1"/>
    <xf borderId="12" fillId="0" fontId="1" numFmtId="184" xfId="0" applyBorder="1" applyFont="1" applyNumberFormat="1"/>
    <xf borderId="12" fillId="0" fontId="1" numFmtId="183" xfId="0" applyBorder="1" applyFont="1" applyNumberFormat="1"/>
    <xf borderId="0" fillId="0" fontId="1" numFmtId="49" xfId="0" applyFont="1" applyNumberFormat="1"/>
    <xf borderId="25" fillId="8" fontId="10" numFmtId="0" xfId="0" applyBorder="1" applyFont="1"/>
    <xf borderId="26" fillId="8" fontId="10" numFmtId="0" xfId="0" applyBorder="1" applyFont="1"/>
    <xf borderId="27" fillId="8" fontId="10" numFmtId="191" xfId="0" applyBorder="1" applyFont="1" applyNumberFormat="1"/>
    <xf borderId="0" fillId="0" fontId="10" numFmtId="191" xfId="0" applyFont="1" applyNumberFormat="1"/>
    <xf borderId="0" fillId="0" fontId="10" numFmtId="166" xfId="0" applyFont="1" applyNumberFormat="1"/>
    <xf borderId="28" fillId="8" fontId="10" numFmtId="0" xfId="0" applyBorder="1" applyFont="1"/>
    <xf borderId="5" fillId="8" fontId="10" numFmtId="0" xfId="0" applyBorder="1" applyFont="1"/>
    <xf borderId="29" fillId="8" fontId="10" numFmtId="191" xfId="0" applyBorder="1" applyFont="1" applyNumberFormat="1"/>
    <xf borderId="37" fillId="8" fontId="10" numFmtId="0" xfId="0" applyBorder="1" applyFont="1"/>
    <xf borderId="1" fillId="8" fontId="10" numFmtId="0" xfId="0" applyBorder="1" applyFont="1"/>
    <xf borderId="10" fillId="8" fontId="10" numFmtId="191" xfId="0" applyBorder="1" applyFont="1" applyNumberFormat="1"/>
    <xf borderId="22" fillId="8" fontId="10" numFmtId="191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investors.biomarin.com/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 outlineLevelCol="1" outlineLevelRow="1"/>
  <cols>
    <col customWidth="1" min="1" max="2" width="2.71"/>
    <col customWidth="1" min="3" max="3" width="47.71"/>
    <col customWidth="1" min="4" max="4" width="12.71"/>
    <col customWidth="1" min="5" max="9" width="12.71" outlineLevel="1"/>
    <col customWidth="1" min="10" max="19" width="12.71"/>
    <col customWidth="1" min="20" max="21" width="2.71"/>
    <col customWidth="1" min="22" max="32" width="12.71"/>
    <col customWidth="1" min="33" max="34" width="8.86"/>
  </cols>
  <sheetData>
    <row r="1" ht="15.75" customHeight="1">
      <c r="A1" s="1"/>
      <c r="B1" s="1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5.75" customHeight="1">
      <c r="A2" s="1"/>
      <c r="B2" s="3" t="str">
        <f>Company_Name</f>
        <v>Jazz Pharmaceuticals plc</v>
      </c>
      <c r="C2" s="1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5.75" customHeight="1">
      <c r="A3" s="1"/>
      <c r="B3" s="1" t="s">
        <v>0</v>
      </c>
      <c r="C3" s="1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5.75" customHeight="1">
      <c r="A4" s="1"/>
      <c r="B4" s="1"/>
      <c r="C4" s="1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5.75" customHeight="1">
      <c r="A5" s="1"/>
      <c r="B5" s="4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5.75" customHeight="1" outlineLevel="1">
      <c r="A6" s="1"/>
      <c r="B6" s="6"/>
      <c r="C6" s="1"/>
      <c r="D6" s="2"/>
      <c r="E6" s="2"/>
      <c r="F6" s="2"/>
      <c r="G6" s="2"/>
      <c r="H6" s="1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5.75" customHeight="1" outlineLevel="1">
      <c r="A7" s="1"/>
      <c r="B7" s="1"/>
      <c r="C7" s="1" t="s">
        <v>2</v>
      </c>
      <c r="D7" s="7" t="s">
        <v>3</v>
      </c>
      <c r="E7" s="7"/>
      <c r="F7" s="8"/>
      <c r="G7" s="2"/>
      <c r="H7" s="1" t="s">
        <v>4</v>
      </c>
      <c r="I7" s="1"/>
      <c r="J7" s="9"/>
      <c r="K7" s="10">
        <v>44196.0</v>
      </c>
      <c r="L7" s="1"/>
      <c r="M7" s="1"/>
      <c r="N7" s="1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5.75" customHeight="1" outlineLevel="1">
      <c r="A8" s="1"/>
      <c r="B8" s="1"/>
      <c r="C8" s="1" t="s">
        <v>5</v>
      </c>
      <c r="D8" s="12" t="s">
        <v>6</v>
      </c>
      <c r="E8" s="13"/>
      <c r="F8" s="2"/>
      <c r="G8" s="2"/>
      <c r="H8" s="1" t="s">
        <v>7</v>
      </c>
      <c r="I8" s="1"/>
      <c r="J8" s="14"/>
      <c r="K8" s="15">
        <f>EOMONTH(Hist_Year,12)</f>
        <v>44561</v>
      </c>
      <c r="L8" s="1"/>
      <c r="M8" s="1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5.75" customHeight="1" outlineLevel="1">
      <c r="A9" s="1"/>
      <c r="B9" s="1"/>
      <c r="C9" s="1" t="s">
        <v>8</v>
      </c>
      <c r="D9" s="16">
        <v>1000000.0</v>
      </c>
      <c r="E9" s="17"/>
      <c r="F9" s="2"/>
      <c r="G9" s="1"/>
      <c r="H9" s="1" t="s">
        <v>9</v>
      </c>
      <c r="I9" s="1"/>
      <c r="J9" s="14"/>
      <c r="K9" s="10">
        <v>44377.0</v>
      </c>
      <c r="L9" s="1"/>
      <c r="M9" s="1"/>
      <c r="N9" s="1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15.75" customHeight="1" outlineLevel="1">
      <c r="A10" s="1"/>
      <c r="B10" s="1"/>
      <c r="C10" s="1"/>
      <c r="D10" s="2"/>
      <c r="E10" s="2"/>
      <c r="F10" s="2"/>
      <c r="G10" s="1"/>
      <c r="H10" s="1" t="s">
        <v>10</v>
      </c>
      <c r="I10" s="1"/>
      <c r="J10" s="18"/>
      <c r="K10" s="10">
        <v>44439.0</v>
      </c>
      <c r="L10" s="1"/>
      <c r="M10" s="1"/>
      <c r="N10" s="1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15.75" customHeight="1" outlineLevel="1">
      <c r="A11" s="1"/>
      <c r="B11" s="1"/>
      <c r="C11" s="1" t="s">
        <v>11</v>
      </c>
      <c r="D11" s="20">
        <v>131.71</v>
      </c>
      <c r="E11" s="21"/>
      <c r="F11" s="2"/>
      <c r="G11" s="1"/>
      <c r="H11" s="1"/>
      <c r="I11" s="1"/>
      <c r="J11" s="1"/>
      <c r="K11" s="1"/>
      <c r="L11" s="1"/>
      <c r="M11" s="1"/>
      <c r="N11" s="1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5.75" customHeight="1" outlineLevel="1">
      <c r="A12" s="1"/>
      <c r="B12" s="1"/>
      <c r="C12" s="1" t="s">
        <v>12</v>
      </c>
      <c r="D12" s="22">
        <v>0.15</v>
      </c>
      <c r="E12" s="23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5.75" customHeight="1" outlineLevel="1">
      <c r="A13" s="1"/>
      <c r="B13" s="1"/>
      <c r="C13" s="1"/>
      <c r="D13" s="24"/>
      <c r="E13" s="24"/>
      <c r="F13" s="25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5.75" customHeight="1" outlineLevel="1">
      <c r="A14" s="1"/>
      <c r="B14" s="1"/>
      <c r="C14" s="1" t="s">
        <v>13</v>
      </c>
      <c r="D14" s="26" t="s">
        <v>14</v>
      </c>
      <c r="E14" s="27"/>
      <c r="F14" s="25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5.75" customHeight="1" outlineLevel="1">
      <c r="A15" s="1"/>
      <c r="B15" s="1"/>
      <c r="C15" s="1" t="s">
        <v>15</v>
      </c>
      <c r="D15" s="22">
        <v>0.005</v>
      </c>
      <c r="E15" s="24"/>
      <c r="F15" s="25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5.75" customHeight="1" outlineLevel="1">
      <c r="A16" s="1"/>
      <c r="B16" s="1"/>
      <c r="C16" s="1" t="s">
        <v>16</v>
      </c>
      <c r="D16" s="28">
        <f>51.9%*51.1%</f>
        <v>0.265209</v>
      </c>
      <c r="E16" s="24"/>
      <c r="F16" s="25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5.75" customHeight="1">
      <c r="A17" s="1"/>
      <c r="B17" s="1"/>
      <c r="C17" s="1"/>
      <c r="D17" s="24"/>
      <c r="E17" s="24"/>
      <c r="F17" s="25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5.75" customHeight="1">
      <c r="A18" s="1"/>
      <c r="B18" s="29"/>
      <c r="C18" s="29"/>
      <c r="D18" s="30"/>
      <c r="E18" s="31" t="str">
        <f>$E$198</f>
        <v>Historical</v>
      </c>
      <c r="F18" s="32"/>
      <c r="G18" s="32"/>
      <c r="H18" s="32"/>
      <c r="I18" s="33"/>
      <c r="J18" s="31" t="str">
        <f>$J$198</f>
        <v>Projected</v>
      </c>
      <c r="K18" s="32"/>
      <c r="L18" s="32"/>
      <c r="M18" s="32"/>
      <c r="N18" s="32"/>
      <c r="O18" s="32"/>
      <c r="P18" s="32"/>
      <c r="Q18" s="32"/>
      <c r="R18" s="32"/>
      <c r="S18" s="3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5.75" customHeight="1">
      <c r="A19" s="1"/>
      <c r="B19" s="34" t="s">
        <v>17</v>
      </c>
      <c r="C19" s="34"/>
      <c r="D19" s="35" t="str">
        <f>$D$199</f>
        <v>Units:</v>
      </c>
      <c r="E19" s="36">
        <f>$E$199</f>
        <v>42735</v>
      </c>
      <c r="F19" s="36">
        <f>$F$199</f>
        <v>43100</v>
      </c>
      <c r="G19" s="36">
        <f>$G$199</f>
        <v>43465</v>
      </c>
      <c r="H19" s="36">
        <f>$H$199</f>
        <v>43830</v>
      </c>
      <c r="I19" s="37">
        <f>$I$199</f>
        <v>44196</v>
      </c>
      <c r="J19" s="36">
        <f>$J$199</f>
        <v>44561</v>
      </c>
      <c r="K19" s="36">
        <f>$K$199</f>
        <v>44926</v>
      </c>
      <c r="L19" s="36">
        <f>$L$199</f>
        <v>45291</v>
      </c>
      <c r="M19" s="36">
        <f>$M$199</f>
        <v>45657</v>
      </c>
      <c r="N19" s="36">
        <f>$N$199</f>
        <v>46022</v>
      </c>
      <c r="O19" s="36">
        <f>$O$199</f>
        <v>46387</v>
      </c>
      <c r="P19" s="36">
        <f>$P$199</f>
        <v>46752</v>
      </c>
      <c r="Q19" s="36">
        <f>$Q$199</f>
        <v>47118</v>
      </c>
      <c r="R19" s="36">
        <f>$R$199</f>
        <v>47483</v>
      </c>
      <c r="S19" s="36">
        <f>$S$199</f>
        <v>47848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5.75" customHeight="1">
      <c r="A20" s="1"/>
      <c r="B20" s="1"/>
      <c r="C20" s="1"/>
      <c r="D20" s="24"/>
      <c r="E20" s="24"/>
      <c r="F20" s="25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5.75" customHeight="1">
      <c r="A21" s="1"/>
      <c r="B21" s="1"/>
      <c r="C21" s="38" t="s">
        <v>18</v>
      </c>
      <c r="D21" s="39"/>
      <c r="E21" s="40">
        <f>$E$19</f>
        <v>42735</v>
      </c>
      <c r="F21" s="40">
        <f>$F$19</f>
        <v>43100</v>
      </c>
      <c r="G21" s="40">
        <f>$G$19</f>
        <v>43465</v>
      </c>
      <c r="H21" s="40">
        <f>$H$19</f>
        <v>43830</v>
      </c>
      <c r="I21" s="41">
        <f>$I$19</f>
        <v>44196</v>
      </c>
      <c r="J21" s="40">
        <f>$J$19</f>
        <v>44561</v>
      </c>
      <c r="K21" s="40">
        <f>$K$19</f>
        <v>44926</v>
      </c>
      <c r="L21" s="40">
        <f>$L$19</f>
        <v>45291</v>
      </c>
      <c r="M21" s="40">
        <f>$M$19</f>
        <v>45657</v>
      </c>
      <c r="N21" s="40">
        <f>$N$19</f>
        <v>46022</v>
      </c>
      <c r="O21" s="40">
        <f>$O$19</f>
        <v>46387</v>
      </c>
      <c r="P21" s="40">
        <f>$P$19</f>
        <v>46752</v>
      </c>
      <c r="Q21" s="40">
        <f>$Q$19</f>
        <v>47118</v>
      </c>
      <c r="R21" s="40">
        <f>$R$19</f>
        <v>47483</v>
      </c>
      <c r="S21" s="40">
        <f>$S$19</f>
        <v>47848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5.75" customHeight="1" outlineLevel="1">
      <c r="A22" s="1"/>
      <c r="B22" s="1"/>
      <c r="C22" s="1"/>
      <c r="D22" s="24"/>
      <c r="E22" s="24"/>
      <c r="F22" s="25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5.75" customHeight="1" outlineLevel="1">
      <c r="A23" s="1"/>
      <c r="B23" s="1"/>
      <c r="C23" s="42" t="s">
        <v>19</v>
      </c>
      <c r="D23" s="43" t="s">
        <v>20</v>
      </c>
      <c r="E23" s="44">
        <v>161470.0</v>
      </c>
      <c r="F23" s="44">
        <v>162495.0</v>
      </c>
      <c r="G23" s="44">
        <v>163345.0</v>
      </c>
      <c r="H23" s="44">
        <v>164120.0</v>
      </c>
      <c r="I23" s="44">
        <v>165330.0</v>
      </c>
      <c r="J23" s="45">
        <f>I23*(1+US_Pop_Growth_Rate)</f>
        <v>166156.65</v>
      </c>
      <c r="K23" s="45">
        <f>J23*(1+US_Pop_Growth_Rate)</f>
        <v>166987.4333</v>
      </c>
      <c r="L23" s="45">
        <f>K23*(1+US_Pop_Growth_Rate)</f>
        <v>167822.3704</v>
      </c>
      <c r="M23" s="45">
        <f>L23*(1+US_Pop_Growth_Rate)</f>
        <v>168661.4823</v>
      </c>
      <c r="N23" s="45">
        <f>M23*(1+US_Pop_Growth_Rate)</f>
        <v>169504.7897</v>
      </c>
      <c r="O23" s="45">
        <f>N23*(1+US_Pop_Growth_Rate)</f>
        <v>170352.3136</v>
      </c>
      <c r="P23" s="45">
        <f>O23*(1+US_Pop_Growth_Rate)</f>
        <v>171204.0752</v>
      </c>
      <c r="Q23" s="45">
        <f>P23*(1+US_Pop_Growth_Rate)</f>
        <v>172060.0956</v>
      </c>
      <c r="R23" s="45">
        <f>Q23*(1+US_Pop_Growth_Rate)</f>
        <v>172920.3961</v>
      </c>
      <c r="S23" s="45">
        <f>R23*(1+US_Pop_Growth_Rate)</f>
        <v>173784.998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5.75" customHeight="1" outlineLevel="1">
      <c r="A24" s="1"/>
      <c r="B24" s="1"/>
      <c r="C24" s="42" t="s">
        <v>21</v>
      </c>
      <c r="D24" s="43" t="s">
        <v>20</v>
      </c>
      <c r="E24" s="44">
        <v>12900.0</v>
      </c>
      <c r="F24" s="44">
        <v>13525.0</v>
      </c>
      <c r="G24" s="44">
        <v>14300.0</v>
      </c>
      <c r="H24" s="44">
        <v>14950.0</v>
      </c>
      <c r="I24" s="44">
        <v>13400.0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5.75" customHeight="1" outlineLevel="1">
      <c r="A25" s="1"/>
      <c r="B25" s="1"/>
      <c r="C25" s="42" t="s">
        <v>22</v>
      </c>
      <c r="D25" s="43" t="s">
        <v>20</v>
      </c>
      <c r="E25" s="45">
        <f>AVERAGE(12550,E24)</f>
        <v>12725</v>
      </c>
      <c r="F25" s="45">
        <f t="shared" ref="F25:I25" si="1">AVERAGE(E24,F24)</f>
        <v>13212.5</v>
      </c>
      <c r="G25" s="45">
        <f t="shared" si="1"/>
        <v>13912.5</v>
      </c>
      <c r="H25" s="45">
        <f t="shared" si="1"/>
        <v>14625</v>
      </c>
      <c r="I25" s="45">
        <f t="shared" si="1"/>
        <v>14175</v>
      </c>
      <c r="J25" s="45">
        <f t="shared" ref="J25:S25" si="2">J23*J28</f>
        <v>10467.86895</v>
      </c>
      <c r="K25" s="45">
        <f t="shared" si="2"/>
        <v>9184.308829</v>
      </c>
      <c r="L25" s="45">
        <f t="shared" si="2"/>
        <v>8055.47378</v>
      </c>
      <c r="M25" s="45">
        <f t="shared" si="2"/>
        <v>6746.459291</v>
      </c>
      <c r="N25" s="45">
        <f t="shared" si="2"/>
        <v>5085.14369</v>
      </c>
      <c r="O25" s="45">
        <f t="shared" si="2"/>
        <v>3407.046273</v>
      </c>
      <c r="P25" s="45">
        <f t="shared" si="2"/>
        <v>3424.081504</v>
      </c>
      <c r="Q25" s="45">
        <f t="shared" si="2"/>
        <v>3441.201911</v>
      </c>
      <c r="R25" s="45">
        <f t="shared" si="2"/>
        <v>3458.407921</v>
      </c>
      <c r="S25" s="45">
        <f t="shared" si="2"/>
        <v>3475.699961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5.75" customHeight="1" outlineLevel="1">
      <c r="A26" s="1"/>
      <c r="B26" s="1"/>
      <c r="C26" s="46" t="s">
        <v>23</v>
      </c>
      <c r="D26" s="43" t="s">
        <v>24</v>
      </c>
      <c r="E26" s="47">
        <f>E25/12400-1</f>
        <v>0.02620967742</v>
      </c>
      <c r="F26" s="47">
        <f t="shared" ref="F26:S26" si="3">F25/E25-1</f>
        <v>0.03831041257</v>
      </c>
      <c r="G26" s="47">
        <f t="shared" si="3"/>
        <v>0.05298013245</v>
      </c>
      <c r="H26" s="47">
        <f t="shared" si="3"/>
        <v>0.05121293801</v>
      </c>
      <c r="I26" s="47">
        <f t="shared" si="3"/>
        <v>-0.03076923077</v>
      </c>
      <c r="J26" s="47">
        <f t="shared" si="3"/>
        <v>-0.261526</v>
      </c>
      <c r="K26" s="47">
        <f t="shared" si="3"/>
        <v>-0.1226190476</v>
      </c>
      <c r="L26" s="47">
        <f t="shared" si="3"/>
        <v>-0.1229090909</v>
      </c>
      <c r="M26" s="47">
        <f t="shared" si="3"/>
        <v>-0.1625</v>
      </c>
      <c r="N26" s="47">
        <f t="shared" si="3"/>
        <v>-0.24625</v>
      </c>
      <c r="O26" s="47">
        <f t="shared" si="3"/>
        <v>-0.33</v>
      </c>
      <c r="P26" s="47">
        <f t="shared" si="3"/>
        <v>0.005</v>
      </c>
      <c r="Q26" s="47">
        <f t="shared" si="3"/>
        <v>0.005</v>
      </c>
      <c r="R26" s="47">
        <f t="shared" si="3"/>
        <v>0.005</v>
      </c>
      <c r="S26" s="47">
        <f t="shared" si="3"/>
        <v>0.005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5.75" customHeight="1" outlineLevel="1">
      <c r="A27" s="1"/>
      <c r="B27" s="1"/>
      <c r="C27" s="42"/>
      <c r="D27" s="1"/>
      <c r="E27" s="44"/>
      <c r="F27" s="44"/>
      <c r="G27" s="44"/>
      <c r="H27" s="44"/>
      <c r="I27" s="4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5.75" customHeight="1" outlineLevel="1">
      <c r="A28" s="1"/>
      <c r="B28" s="1"/>
      <c r="C28" s="42" t="s">
        <v>25</v>
      </c>
      <c r="D28" s="43" t="s">
        <v>24</v>
      </c>
      <c r="E28" s="48">
        <f t="shared" ref="E28:I28" si="4">E25/E23</f>
        <v>0.07880720877</v>
      </c>
      <c r="F28" s="48">
        <f t="shared" si="4"/>
        <v>0.08131019416</v>
      </c>
      <c r="G28" s="48">
        <f t="shared" si="4"/>
        <v>0.08517248768</v>
      </c>
      <c r="H28" s="48">
        <f t="shared" si="4"/>
        <v>0.08911162564</v>
      </c>
      <c r="I28" s="48">
        <f t="shared" si="4"/>
        <v>0.08573761568</v>
      </c>
      <c r="J28" s="22">
        <v>0.063</v>
      </c>
      <c r="K28" s="22">
        <v>0.055</v>
      </c>
      <c r="L28" s="22">
        <v>0.048</v>
      </c>
      <c r="M28" s="22">
        <v>0.04</v>
      </c>
      <c r="N28" s="22">
        <v>0.03</v>
      </c>
      <c r="O28" s="22">
        <v>0.02</v>
      </c>
      <c r="P28" s="22">
        <v>0.02</v>
      </c>
      <c r="Q28" s="22">
        <v>0.02</v>
      </c>
      <c r="R28" s="22">
        <v>0.02</v>
      </c>
      <c r="S28" s="22">
        <v>0.02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5.75" customHeight="1" outlineLevel="1">
      <c r="A29" s="1"/>
      <c r="B29" s="1"/>
      <c r="C29" s="42"/>
      <c r="D29" s="2"/>
      <c r="E29" s="49"/>
      <c r="F29" s="49"/>
      <c r="G29" s="49"/>
      <c r="H29" s="49"/>
      <c r="I29" s="4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5.75" customHeight="1" outlineLevel="1">
      <c r="A30" s="1"/>
      <c r="B30" s="1"/>
      <c r="C30" s="1" t="s">
        <v>26</v>
      </c>
      <c r="D30" s="43" t="s">
        <v>24</v>
      </c>
      <c r="E30" s="24"/>
      <c r="F30" s="25"/>
      <c r="G30" s="2"/>
      <c r="H30" s="1"/>
      <c r="I30" s="22">
        <v>0.06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5.75" customHeight="1" outlineLevel="1">
      <c r="A31" s="1"/>
      <c r="B31" s="1"/>
      <c r="C31" s="1" t="s">
        <v>27</v>
      </c>
      <c r="D31" s="43" t="s">
        <v>24</v>
      </c>
      <c r="E31" s="24"/>
      <c r="F31" s="25"/>
      <c r="G31" s="2"/>
      <c r="H31" s="1"/>
      <c r="I31" s="22">
        <v>0.8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5.75" customHeight="1" outlineLevel="1">
      <c r="A32" s="1"/>
      <c r="B32" s="1"/>
      <c r="C32" s="1" t="s">
        <v>28</v>
      </c>
      <c r="D32" s="43" t="s">
        <v>24</v>
      </c>
      <c r="E32" s="24"/>
      <c r="F32" s="25"/>
      <c r="G32" s="2"/>
      <c r="H32" s="1"/>
      <c r="I32" s="22">
        <v>0.03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5.75" customHeight="1" outlineLevel="1">
      <c r="A33" s="1"/>
      <c r="B33" s="1"/>
      <c r="C33" s="42"/>
      <c r="D33" s="2"/>
      <c r="E33" s="49"/>
      <c r="F33" s="49"/>
      <c r="G33" s="49"/>
      <c r="H33" s="49"/>
      <c r="I33" s="4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5.75" customHeight="1" outlineLevel="1">
      <c r="A34" s="1"/>
      <c r="B34" s="1"/>
      <c r="C34" s="42" t="s">
        <v>29</v>
      </c>
      <c r="D34" s="43" t="s">
        <v>30</v>
      </c>
      <c r="E34" s="50">
        <f>E41/E25*Units</f>
        <v>87042.51473</v>
      </c>
      <c r="F34" s="50">
        <f>F41/F25*Units</f>
        <v>89816.386</v>
      </c>
      <c r="G34" s="50">
        <f>G41/G25*Units</f>
        <v>100978.6882</v>
      </c>
      <c r="H34" s="50">
        <f>H41/H25*Units</f>
        <v>112309.4017</v>
      </c>
      <c r="I34" s="50">
        <f>I41/I25*Units</f>
        <v>122875.3439</v>
      </c>
      <c r="J34" s="50">
        <f t="array" ref="J34">INDEX(J35:J37,MATCH(Scenario,$C35:$C37,0),1)</f>
        <v>130247.8646</v>
      </c>
      <c r="K34" s="50">
        <f t="array" ref="K34">INDEX(K35:K37,MATCH(Scenario,$C35:$C37,0),1)</f>
        <v>138062.7364</v>
      </c>
      <c r="L34" s="50">
        <f t="array" ref="L34">INDEX(L35:L37,MATCH(Scenario,$C35:$C37,0),1)</f>
        <v>146346.5006</v>
      </c>
      <c r="M34" s="50">
        <f t="array" ref="M34">INDEX(M35:M37,MATCH(Scenario,$C35:$C37,0),1)</f>
        <v>29269.30012</v>
      </c>
      <c r="N34" s="50">
        <f t="array" ref="N34">INDEX(N35:N37,MATCH(Scenario,$C35:$C37,0),1)</f>
        <v>30147.37913</v>
      </c>
      <c r="O34" s="50">
        <f t="array" ref="O34">INDEX(O35:O37,MATCH(Scenario,$C35:$C37,0),1)</f>
        <v>31051.8005</v>
      </c>
      <c r="P34" s="50">
        <f t="array" ref="P34">INDEX(P35:P37,MATCH(Scenario,$C35:$C37,0),1)</f>
        <v>31983.35451</v>
      </c>
      <c r="Q34" s="50">
        <f t="array" ref="Q34">INDEX(Q35:Q37,MATCH(Scenario,$C35:$C37,0),1)</f>
        <v>32942.85515</v>
      </c>
      <c r="R34" s="50">
        <f t="array" ref="R34">INDEX(R35:R37,MATCH(Scenario,$C35:$C37,0),1)</f>
        <v>33931.1408</v>
      </c>
      <c r="S34" s="50">
        <f t="array" ref="S34">INDEX(S35:S37,MATCH(Scenario,$C35:$C37,0),1)</f>
        <v>34949.07503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5.75" customHeight="1" outlineLevel="1">
      <c r="A35" s="1"/>
      <c r="B35" s="1"/>
      <c r="C35" s="42" t="s">
        <v>31</v>
      </c>
      <c r="D35" s="43" t="s">
        <v>30</v>
      </c>
      <c r="E35" s="50"/>
      <c r="F35" s="50"/>
      <c r="G35" s="50"/>
      <c r="H35" s="50"/>
      <c r="I35" s="50"/>
      <c r="J35" s="51">
        <f>I34*(1+I30)</f>
        <v>130247.8646</v>
      </c>
      <c r="K35" s="51">
        <f t="shared" ref="K35:M35" si="5">J35*(1+$I$30)</f>
        <v>138062.7364</v>
      </c>
      <c r="L35" s="51">
        <f t="shared" si="5"/>
        <v>146346.5006</v>
      </c>
      <c r="M35" s="51">
        <f t="shared" si="5"/>
        <v>155127.2906</v>
      </c>
      <c r="N35" s="51">
        <f>M35*(1-$I$31)</f>
        <v>31025.45813</v>
      </c>
      <c r="O35" s="51">
        <f t="shared" ref="O35:S35" si="6">N35*(1+$I$32)</f>
        <v>31956.22187</v>
      </c>
      <c r="P35" s="51">
        <f t="shared" si="6"/>
        <v>32914.90853</v>
      </c>
      <c r="Q35" s="51">
        <f t="shared" si="6"/>
        <v>33902.35578</v>
      </c>
      <c r="R35" s="51">
        <f t="shared" si="6"/>
        <v>34919.42646</v>
      </c>
      <c r="S35" s="51">
        <f t="shared" si="6"/>
        <v>35967.00925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5.75" customHeight="1" outlineLevel="1">
      <c r="A36" s="1"/>
      <c r="B36" s="1"/>
      <c r="C36" s="42" t="s">
        <v>14</v>
      </c>
      <c r="D36" s="43" t="s">
        <v>30</v>
      </c>
      <c r="E36" s="48"/>
      <c r="F36" s="48"/>
      <c r="G36" s="50"/>
      <c r="H36" s="50"/>
      <c r="I36" s="50"/>
      <c r="J36" s="51">
        <f>I34*(1+I30)</f>
        <v>130247.8646</v>
      </c>
      <c r="K36" s="51">
        <f t="shared" ref="K36:L36" si="7">J36*(1+$I$30)</f>
        <v>138062.7364</v>
      </c>
      <c r="L36" s="51">
        <f t="shared" si="7"/>
        <v>146346.5006</v>
      </c>
      <c r="M36" s="51">
        <f>L36*(1-$I$31)</f>
        <v>29269.30012</v>
      </c>
      <c r="N36" s="51">
        <f t="shared" ref="N36:S36" si="8">M36*(1+$I$32)</f>
        <v>30147.37913</v>
      </c>
      <c r="O36" s="51">
        <f t="shared" si="8"/>
        <v>31051.8005</v>
      </c>
      <c r="P36" s="51">
        <f t="shared" si="8"/>
        <v>31983.35451</v>
      </c>
      <c r="Q36" s="51">
        <f t="shared" si="8"/>
        <v>32942.85515</v>
      </c>
      <c r="R36" s="51">
        <f t="shared" si="8"/>
        <v>33931.1408</v>
      </c>
      <c r="S36" s="51">
        <f t="shared" si="8"/>
        <v>34949.07503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5.75" customHeight="1" outlineLevel="1">
      <c r="A37" s="1"/>
      <c r="B37" s="1"/>
      <c r="C37" s="42" t="s">
        <v>32</v>
      </c>
      <c r="D37" s="43" t="s">
        <v>30</v>
      </c>
      <c r="E37" s="50"/>
      <c r="F37" s="50"/>
      <c r="G37" s="50"/>
      <c r="H37" s="50"/>
      <c r="I37" s="50"/>
      <c r="J37" s="51">
        <f>I34*(1+$I$30)</f>
        <v>130247.8646</v>
      </c>
      <c r="K37" s="51">
        <f>J37*(1+$I$30)</f>
        <v>138062.7364</v>
      </c>
      <c r="L37" s="51">
        <f>K37*(1-$I$31)</f>
        <v>27612.54728</v>
      </c>
      <c r="M37" s="51">
        <f t="shared" ref="M37:S37" si="9">L37*(1+$I$32)</f>
        <v>28440.9237</v>
      </c>
      <c r="N37" s="51">
        <f t="shared" si="9"/>
        <v>29294.15141</v>
      </c>
      <c r="O37" s="51">
        <f t="shared" si="9"/>
        <v>30172.97596</v>
      </c>
      <c r="P37" s="51">
        <f t="shared" si="9"/>
        <v>31078.16524</v>
      </c>
      <c r="Q37" s="51">
        <f t="shared" si="9"/>
        <v>32010.51019</v>
      </c>
      <c r="R37" s="51">
        <f t="shared" si="9"/>
        <v>32970.8255</v>
      </c>
      <c r="S37" s="51">
        <f t="shared" si="9"/>
        <v>33959.95026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5.75" customHeight="1" outlineLevel="1">
      <c r="A38" s="1"/>
      <c r="B38" s="1"/>
      <c r="C38" s="42"/>
      <c r="D38" s="43"/>
      <c r="E38" s="50"/>
      <c r="F38" s="50"/>
      <c r="G38" s="50"/>
      <c r="H38" s="50"/>
      <c r="I38" s="5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5.75" customHeight="1" outlineLevel="1">
      <c r="A39" s="1"/>
      <c r="B39" s="1"/>
      <c r="C39" s="46" t="s">
        <v>33</v>
      </c>
      <c r="D39" s="43" t="s">
        <v>24</v>
      </c>
      <c r="E39" s="47">
        <f>E34/77031-1</f>
        <v>0.1299673474</v>
      </c>
      <c r="F39" s="47">
        <f t="shared" ref="F39:S39" si="10">F34/E34-1</f>
        <v>0.03186800464</v>
      </c>
      <c r="G39" s="47">
        <f t="shared" si="10"/>
        <v>0.1242791291</v>
      </c>
      <c r="H39" s="47">
        <f t="shared" si="10"/>
        <v>0.1122089589</v>
      </c>
      <c r="I39" s="47">
        <f t="shared" si="10"/>
        <v>0.09407887537</v>
      </c>
      <c r="J39" s="47">
        <f t="shared" si="10"/>
        <v>0.06</v>
      </c>
      <c r="K39" s="47">
        <f t="shared" si="10"/>
        <v>0.06</v>
      </c>
      <c r="L39" s="47">
        <f t="shared" si="10"/>
        <v>0.06</v>
      </c>
      <c r="M39" s="47">
        <f t="shared" si="10"/>
        <v>-0.8</v>
      </c>
      <c r="N39" s="47">
        <f t="shared" si="10"/>
        <v>0.03</v>
      </c>
      <c r="O39" s="47">
        <f t="shared" si="10"/>
        <v>0.03</v>
      </c>
      <c r="P39" s="47">
        <f t="shared" si="10"/>
        <v>0.03</v>
      </c>
      <c r="Q39" s="47">
        <f t="shared" si="10"/>
        <v>0.03</v>
      </c>
      <c r="R39" s="47">
        <f t="shared" si="10"/>
        <v>0.03</v>
      </c>
      <c r="S39" s="47">
        <f t="shared" si="10"/>
        <v>0.03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5.75" customHeight="1" outlineLevel="1">
      <c r="A40" s="1"/>
      <c r="B40" s="1"/>
      <c r="C40" s="42"/>
      <c r="D40" s="1"/>
      <c r="E40" s="52"/>
      <c r="F40" s="44"/>
      <c r="G40" s="44"/>
      <c r="H40" s="44"/>
      <c r="I40" s="4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5.75" customHeight="1" outlineLevel="1">
      <c r="A41" s="1"/>
      <c r="B41" s="1"/>
      <c r="C41" s="42" t="s">
        <v>34</v>
      </c>
      <c r="D41" s="43" t="s">
        <v>35</v>
      </c>
      <c r="E41" s="53">
        <f t="shared" ref="E41:I41" si="11">E202</f>
        <v>1107.616</v>
      </c>
      <c r="F41" s="53">
        <f t="shared" si="11"/>
        <v>1186.699</v>
      </c>
      <c r="G41" s="53">
        <f t="shared" si="11"/>
        <v>1404.866</v>
      </c>
      <c r="H41" s="53">
        <f t="shared" si="11"/>
        <v>1642.525</v>
      </c>
      <c r="I41" s="53">
        <f t="shared" si="11"/>
        <v>1741.758</v>
      </c>
      <c r="J41" s="53">
        <f>J25*J34/Units</f>
        <v>1363.417577</v>
      </c>
      <c r="K41" s="53">
        <f>K25*K34/Units</f>
        <v>1268.010809</v>
      </c>
      <c r="L41" s="53">
        <f>L25*L34/Units</f>
        <v>1178.890398</v>
      </c>
      <c r="M41" s="53">
        <f>M25*M34/Units</f>
        <v>197.4641417</v>
      </c>
      <c r="N41" s="53">
        <f>N25*N34/Units</f>
        <v>153.3037547</v>
      </c>
      <c r="O41" s="53">
        <f>O25*O34/Units</f>
        <v>105.7949211</v>
      </c>
      <c r="P41" s="53">
        <f>P25*P34/Units</f>
        <v>109.5136126</v>
      </c>
      <c r="Q41" s="53">
        <f>Q25*Q34/Units</f>
        <v>113.3630161</v>
      </c>
      <c r="R41" s="53">
        <f>R25*R34/Units</f>
        <v>117.3477261</v>
      </c>
      <c r="S41" s="53">
        <f>S25*S34/Units</f>
        <v>121.4724987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5.75" customHeight="1" outlineLevel="1">
      <c r="A42" s="1"/>
      <c r="B42" s="1"/>
      <c r="C42" s="46" t="s">
        <v>36</v>
      </c>
      <c r="D42" s="43" t="s">
        <v>24</v>
      </c>
      <c r="E42" s="47">
        <f>E41/955.187-1</f>
        <v>0.1595802707</v>
      </c>
      <c r="F42" s="47">
        <f t="shared" ref="F42:S42" si="12">F41/E41-1</f>
        <v>0.07139929362</v>
      </c>
      <c r="G42" s="47">
        <f t="shared" si="12"/>
        <v>0.1838435863</v>
      </c>
      <c r="H42" s="47">
        <f t="shared" si="12"/>
        <v>0.1691684474</v>
      </c>
      <c r="I42" s="47">
        <f t="shared" si="12"/>
        <v>0.06041490997</v>
      </c>
      <c r="J42" s="47">
        <f t="shared" si="12"/>
        <v>-0.21721756</v>
      </c>
      <c r="K42" s="47">
        <f t="shared" si="12"/>
        <v>-0.06997619048</v>
      </c>
      <c r="L42" s="47">
        <f t="shared" si="12"/>
        <v>-0.07028363636</v>
      </c>
      <c r="M42" s="47">
        <f t="shared" si="12"/>
        <v>-0.8325</v>
      </c>
      <c r="N42" s="47">
        <f t="shared" si="12"/>
        <v>-0.2236375</v>
      </c>
      <c r="O42" s="47">
        <f t="shared" si="12"/>
        <v>-0.3099</v>
      </c>
      <c r="P42" s="47">
        <f t="shared" si="12"/>
        <v>0.03515</v>
      </c>
      <c r="Q42" s="47">
        <f t="shared" si="12"/>
        <v>0.03515</v>
      </c>
      <c r="R42" s="47">
        <f t="shared" si="12"/>
        <v>0.03515</v>
      </c>
      <c r="S42" s="47">
        <f t="shared" si="12"/>
        <v>0.03515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5.75" customHeight="1" outlineLevel="1">
      <c r="A43" s="1"/>
      <c r="B43" s="1"/>
      <c r="C43" s="1"/>
      <c r="D43" s="24"/>
      <c r="E43" s="24"/>
      <c r="F43" s="25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5.75" customHeight="1" outlineLevel="1">
      <c r="A44" s="1"/>
      <c r="B44" s="1"/>
      <c r="C44" s="1" t="s">
        <v>37</v>
      </c>
      <c r="D44" s="43" t="s">
        <v>20</v>
      </c>
      <c r="E44" s="44">
        <v>0.0</v>
      </c>
      <c r="F44" s="44">
        <v>0.0</v>
      </c>
      <c r="G44" s="44">
        <v>0.0</v>
      </c>
      <c r="H44" s="44">
        <v>0.0</v>
      </c>
      <c r="I44" s="45">
        <f>1900/2</f>
        <v>950</v>
      </c>
      <c r="J44" s="45">
        <f t="shared" ref="J44:S44" si="13">J47*J23</f>
        <v>4153.91625</v>
      </c>
      <c r="K44" s="45">
        <f t="shared" si="13"/>
        <v>5510.585297</v>
      </c>
      <c r="L44" s="45">
        <f t="shared" si="13"/>
        <v>6712.894817</v>
      </c>
      <c r="M44" s="45">
        <f t="shared" si="13"/>
        <v>7589.766702</v>
      </c>
      <c r="N44" s="45">
        <f t="shared" si="13"/>
        <v>8475.239484</v>
      </c>
      <c r="O44" s="45">
        <f t="shared" si="13"/>
        <v>8006.558741</v>
      </c>
      <c r="P44" s="45">
        <f t="shared" si="13"/>
        <v>7704.183384</v>
      </c>
      <c r="Q44" s="45">
        <f t="shared" si="13"/>
        <v>7398.58411</v>
      </c>
      <c r="R44" s="45">
        <f t="shared" si="13"/>
        <v>7089.736238</v>
      </c>
      <c r="S44" s="45">
        <f t="shared" si="13"/>
        <v>6777.614923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5.75" customHeight="1" outlineLevel="1">
      <c r="A45" s="1"/>
      <c r="B45" s="1"/>
      <c r="C45" s="46" t="s">
        <v>23</v>
      </c>
      <c r="D45" s="43" t="s">
        <v>24</v>
      </c>
      <c r="E45" s="47"/>
      <c r="F45" s="47" t="str">
        <f t="shared" ref="F45:S45" si="14">IFERROR(+F44/E44-1,"N/A")</f>
        <v>N/A</v>
      </c>
      <c r="G45" s="47" t="str">
        <f t="shared" si="14"/>
        <v>N/A</v>
      </c>
      <c r="H45" s="47" t="str">
        <f t="shared" si="14"/>
        <v>N/A</v>
      </c>
      <c r="I45" s="47" t="str">
        <f t="shared" si="14"/>
        <v>N/A</v>
      </c>
      <c r="J45" s="47">
        <f t="shared" si="14"/>
        <v>3.372543421</v>
      </c>
      <c r="K45" s="47">
        <f t="shared" si="14"/>
        <v>0.3266</v>
      </c>
      <c r="L45" s="47">
        <f t="shared" si="14"/>
        <v>0.2181818182</v>
      </c>
      <c r="M45" s="47">
        <f t="shared" si="14"/>
        <v>0.130625</v>
      </c>
      <c r="N45" s="47">
        <f t="shared" si="14"/>
        <v>0.1166666667</v>
      </c>
      <c r="O45" s="47">
        <f t="shared" si="14"/>
        <v>-0.0553</v>
      </c>
      <c r="P45" s="47">
        <f t="shared" si="14"/>
        <v>-0.03776595745</v>
      </c>
      <c r="Q45" s="47">
        <f t="shared" si="14"/>
        <v>-0.03966666667</v>
      </c>
      <c r="R45" s="47">
        <f t="shared" si="14"/>
        <v>-0.04174418605</v>
      </c>
      <c r="S45" s="47">
        <f t="shared" si="14"/>
        <v>-0.04402439024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5.75" customHeight="1" outlineLevel="1">
      <c r="A46" s="1"/>
      <c r="B46" s="1"/>
      <c r="C46" s="1"/>
      <c r="D46" s="2"/>
      <c r="E46" s="2"/>
      <c r="F46" s="54"/>
      <c r="G46" s="55"/>
      <c r="H46" s="55"/>
      <c r="I46" s="55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5.75" customHeight="1" outlineLevel="1">
      <c r="A47" s="1"/>
      <c r="B47" s="1"/>
      <c r="C47" s="42" t="s">
        <v>38</v>
      </c>
      <c r="D47" s="43" t="s">
        <v>24</v>
      </c>
      <c r="E47" s="48"/>
      <c r="F47" s="48"/>
      <c r="G47" s="48"/>
      <c r="H47" s="48"/>
      <c r="I47" s="48">
        <f>I44/I23</f>
        <v>0.00574608359</v>
      </c>
      <c r="J47" s="48">
        <f t="array" ref="J47">INDEX(J48:J50,MATCH(Scenario,$C48:$C50,0),1)</f>
        <v>0.025</v>
      </c>
      <c r="K47" s="48">
        <f t="array" ref="K47">INDEX(K48:K50,MATCH(Scenario,$C48:$C50,0),1)</f>
        <v>0.033</v>
      </c>
      <c r="L47" s="48">
        <f t="array" ref="L47">INDEX(L48:L50,MATCH(Scenario,$C48:$C50,0),1)</f>
        <v>0.04</v>
      </c>
      <c r="M47" s="48">
        <f t="array" ref="M47">INDEX(M48:M50,MATCH(Scenario,$C48:$C50,0),1)</f>
        <v>0.045</v>
      </c>
      <c r="N47" s="48">
        <f t="array" ref="N47">INDEX(N48:N50,MATCH(Scenario,$C48:$C50,0),1)</f>
        <v>0.05</v>
      </c>
      <c r="O47" s="48">
        <f t="array" ref="O47">INDEX(O48:O50,MATCH(Scenario,$C48:$C50,0),1)</f>
        <v>0.047</v>
      </c>
      <c r="P47" s="48">
        <f t="array" ref="P47">INDEX(P48:P50,MATCH(Scenario,$C48:$C50,0),1)</f>
        <v>0.045</v>
      </c>
      <c r="Q47" s="48">
        <f t="array" ref="Q47">INDEX(Q48:Q50,MATCH(Scenario,$C48:$C50,0),1)</f>
        <v>0.043</v>
      </c>
      <c r="R47" s="48">
        <f t="array" ref="R47">INDEX(R48:R50,MATCH(Scenario,$C48:$C50,0),1)</f>
        <v>0.041</v>
      </c>
      <c r="S47" s="48">
        <f t="array" ref="S47">INDEX(S48:S50,MATCH(Scenario,$C48:$C50,0),1)</f>
        <v>0.039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5.75" customHeight="1" outlineLevel="1">
      <c r="A48" s="1"/>
      <c r="B48" s="1"/>
      <c r="C48" s="42" t="str">
        <f>$C$35</f>
        <v>Upside</v>
      </c>
      <c r="D48" s="43" t="s">
        <v>24</v>
      </c>
      <c r="E48" s="49"/>
      <c r="F48" s="49"/>
      <c r="G48" s="49"/>
      <c r="H48" s="49"/>
      <c r="I48" s="49"/>
      <c r="J48" s="57">
        <v>0.025</v>
      </c>
      <c r="K48" s="57">
        <v>0.035</v>
      </c>
      <c r="L48" s="57">
        <v>0.045</v>
      </c>
      <c r="M48" s="57">
        <v>0.055</v>
      </c>
      <c r="N48" s="57">
        <v>0.065</v>
      </c>
      <c r="O48" s="57">
        <v>0.063</v>
      </c>
      <c r="P48" s="57">
        <v>0.061</v>
      </c>
      <c r="Q48" s="57">
        <v>0.059</v>
      </c>
      <c r="R48" s="57">
        <v>0.057</v>
      </c>
      <c r="S48" s="57">
        <v>0.055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5.75" customHeight="1" outlineLevel="1">
      <c r="A49" s="1"/>
      <c r="B49" s="1"/>
      <c r="C49" s="42" t="str">
        <f>$C$36</f>
        <v>Base</v>
      </c>
      <c r="D49" s="43" t="s">
        <v>24</v>
      </c>
      <c r="E49" s="49"/>
      <c r="F49" s="49"/>
      <c r="G49" s="49"/>
      <c r="H49" s="49"/>
      <c r="I49" s="49"/>
      <c r="J49" s="57">
        <v>0.025</v>
      </c>
      <c r="K49" s="57">
        <v>0.033</v>
      </c>
      <c r="L49" s="57">
        <v>0.04</v>
      </c>
      <c r="M49" s="57">
        <v>0.045</v>
      </c>
      <c r="N49" s="57">
        <v>0.05</v>
      </c>
      <c r="O49" s="57">
        <v>0.047</v>
      </c>
      <c r="P49" s="57">
        <v>0.045</v>
      </c>
      <c r="Q49" s="57">
        <v>0.043</v>
      </c>
      <c r="R49" s="57">
        <v>0.041</v>
      </c>
      <c r="S49" s="57">
        <v>0.039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5.75" customHeight="1" outlineLevel="1">
      <c r="A50" s="1"/>
      <c r="B50" s="1"/>
      <c r="C50" s="42" t="str">
        <f>$C$37</f>
        <v>Downside</v>
      </c>
      <c r="D50" s="43" t="s">
        <v>24</v>
      </c>
      <c r="E50" s="49"/>
      <c r="F50" s="49"/>
      <c r="G50" s="49"/>
      <c r="H50" s="49"/>
      <c r="I50" s="49"/>
      <c r="J50" s="57">
        <v>0.02</v>
      </c>
      <c r="K50" s="57">
        <v>0.03</v>
      </c>
      <c r="L50" s="57">
        <v>0.033</v>
      </c>
      <c r="M50" s="57">
        <v>0.035</v>
      </c>
      <c r="N50" s="57">
        <v>0.037</v>
      </c>
      <c r="O50" s="57">
        <v>0.035</v>
      </c>
      <c r="P50" s="57">
        <v>0.033</v>
      </c>
      <c r="Q50" s="57">
        <v>0.031</v>
      </c>
      <c r="R50" s="57">
        <v>0.029</v>
      </c>
      <c r="S50" s="57">
        <v>0.027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5.75" customHeight="1" outlineLevel="1">
      <c r="A51" s="1"/>
      <c r="B51" s="1"/>
      <c r="C51" s="1"/>
      <c r="D51" s="2"/>
      <c r="E51" s="2"/>
      <c r="F51" s="54"/>
      <c r="G51" s="55"/>
      <c r="H51" s="55"/>
      <c r="I51" s="55"/>
      <c r="J51" s="56"/>
      <c r="K51" s="56"/>
      <c r="L51" s="56"/>
      <c r="M51" s="56"/>
      <c r="N51" s="50"/>
      <c r="O51" s="56"/>
      <c r="P51" s="56"/>
      <c r="Q51" s="56"/>
      <c r="R51" s="56"/>
      <c r="S51" s="56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5.75" customHeight="1" outlineLevel="1">
      <c r="A52" s="1"/>
      <c r="B52" s="1"/>
      <c r="C52" s="42" t="s">
        <v>39</v>
      </c>
      <c r="D52" s="43" t="s">
        <v>30</v>
      </c>
      <c r="E52" s="50"/>
      <c r="F52" s="50"/>
      <c r="G52" s="50"/>
      <c r="H52" s="50"/>
      <c r="I52" s="50">
        <f>I56*Units/I44*4</f>
        <v>64269.47368</v>
      </c>
      <c r="J52" s="58">
        <v>110000.0</v>
      </c>
      <c r="K52" s="58">
        <v>112000.0</v>
      </c>
      <c r="L52" s="58">
        <f t="shared" ref="L52:P52" si="15">K52+2000</f>
        <v>114000</v>
      </c>
      <c r="M52" s="58">
        <f t="shared" si="15"/>
        <v>116000</v>
      </c>
      <c r="N52" s="58">
        <f t="shared" si="15"/>
        <v>118000</v>
      </c>
      <c r="O52" s="58">
        <f t="shared" si="15"/>
        <v>120000</v>
      </c>
      <c r="P52" s="58">
        <f t="shared" si="15"/>
        <v>122000</v>
      </c>
      <c r="Q52" s="51">
        <f>P52*(1-I31)</f>
        <v>24400</v>
      </c>
      <c r="R52" s="58">
        <v>12500.0</v>
      </c>
      <c r="S52" s="58">
        <v>12750.0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5.75" customHeight="1" outlineLevel="1">
      <c r="A53" s="1"/>
      <c r="B53" s="1"/>
      <c r="C53" s="1"/>
      <c r="D53" s="2"/>
      <c r="E53" s="2"/>
      <c r="F53" s="54"/>
      <c r="G53" s="55"/>
      <c r="H53" s="55"/>
      <c r="I53" s="55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5.75" customHeight="1" outlineLevel="1">
      <c r="A54" s="1"/>
      <c r="B54" s="1"/>
      <c r="C54" s="46" t="s">
        <v>33</v>
      </c>
      <c r="D54" s="43" t="s">
        <v>24</v>
      </c>
      <c r="E54" s="47"/>
      <c r="F54" s="47"/>
      <c r="G54" s="47"/>
      <c r="H54" s="47"/>
      <c r="I54" s="47"/>
      <c r="J54" s="47">
        <f t="shared" ref="J54:S54" si="16">J52/I52-1</f>
        <v>0.711543501</v>
      </c>
      <c r="K54" s="47">
        <f t="shared" si="16"/>
        <v>0.01818181818</v>
      </c>
      <c r="L54" s="47">
        <f t="shared" si="16"/>
        <v>0.01785714286</v>
      </c>
      <c r="M54" s="47">
        <f t="shared" si="16"/>
        <v>0.01754385965</v>
      </c>
      <c r="N54" s="47">
        <f t="shared" si="16"/>
        <v>0.01724137931</v>
      </c>
      <c r="O54" s="47">
        <f t="shared" si="16"/>
        <v>0.01694915254</v>
      </c>
      <c r="P54" s="47">
        <f t="shared" si="16"/>
        <v>0.01666666667</v>
      </c>
      <c r="Q54" s="47">
        <f t="shared" si="16"/>
        <v>-0.8</v>
      </c>
      <c r="R54" s="47">
        <f t="shared" si="16"/>
        <v>-0.487704918</v>
      </c>
      <c r="S54" s="47">
        <f t="shared" si="16"/>
        <v>0.02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5.75" customHeight="1" outlineLevel="1">
      <c r="A55" s="1"/>
      <c r="B55" s="1"/>
      <c r="C55" s="42"/>
      <c r="D55" s="1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5.75" customHeight="1" outlineLevel="1">
      <c r="A56" s="1"/>
      <c r="B56" s="1"/>
      <c r="C56" s="42" t="s">
        <v>40</v>
      </c>
      <c r="D56" s="43" t="s">
        <v>35</v>
      </c>
      <c r="E56" s="53">
        <f t="shared" ref="E56:I56" si="17">E203</f>
        <v>0</v>
      </c>
      <c r="F56" s="53">
        <f t="shared" si="17"/>
        <v>0</v>
      </c>
      <c r="G56" s="53">
        <f t="shared" si="17"/>
        <v>0</v>
      </c>
      <c r="H56" s="53">
        <f t="shared" si="17"/>
        <v>0</v>
      </c>
      <c r="I56" s="53">
        <f t="shared" si="17"/>
        <v>15.264</v>
      </c>
      <c r="J56" s="53">
        <f>J44*J52/Units</f>
        <v>456.9307875</v>
      </c>
      <c r="K56" s="53">
        <f>K44*K52/Units</f>
        <v>617.1855533</v>
      </c>
      <c r="L56" s="53">
        <f>L44*L52/Units</f>
        <v>765.2700091</v>
      </c>
      <c r="M56" s="53">
        <f>M44*M52/Units</f>
        <v>880.4129374</v>
      </c>
      <c r="N56" s="53">
        <f>N44*N52/Units</f>
        <v>1000.078259</v>
      </c>
      <c r="O56" s="53">
        <f>O44*O52/Units</f>
        <v>960.7870489</v>
      </c>
      <c r="P56" s="53">
        <f>P44*P52/Units</f>
        <v>939.9103728</v>
      </c>
      <c r="Q56" s="53">
        <f>Q44*Q52/Units</f>
        <v>180.5254523</v>
      </c>
      <c r="R56" s="53">
        <f>R44*R52/Units</f>
        <v>88.62170298</v>
      </c>
      <c r="S56" s="53">
        <f>S44*S52/Units</f>
        <v>86.41459027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5.75" customHeight="1" outlineLevel="1">
      <c r="A57" s="1"/>
      <c r="B57" s="1"/>
      <c r="C57" s="46" t="s">
        <v>36</v>
      </c>
      <c r="D57" s="43" t="s">
        <v>24</v>
      </c>
      <c r="E57" s="47"/>
      <c r="F57" s="47"/>
      <c r="G57" s="47"/>
      <c r="H57" s="47"/>
      <c r="I57" s="47"/>
      <c r="J57" s="47">
        <f t="shared" ref="J57:S57" si="18">J56/I56-1</f>
        <v>28.9351931</v>
      </c>
      <c r="K57" s="47">
        <f t="shared" si="18"/>
        <v>0.35072</v>
      </c>
      <c r="L57" s="47">
        <f t="shared" si="18"/>
        <v>0.2399350649</v>
      </c>
      <c r="M57" s="47">
        <f t="shared" si="18"/>
        <v>0.1504605263</v>
      </c>
      <c r="N57" s="47">
        <f t="shared" si="18"/>
        <v>0.1359195402</v>
      </c>
      <c r="O57" s="47">
        <f t="shared" si="18"/>
        <v>-0.03928813559</v>
      </c>
      <c r="P57" s="47">
        <f t="shared" si="18"/>
        <v>-0.0217287234</v>
      </c>
      <c r="Q57" s="47">
        <f t="shared" si="18"/>
        <v>-0.8079333333</v>
      </c>
      <c r="R57" s="47">
        <f t="shared" si="18"/>
        <v>-0.5090902592</v>
      </c>
      <c r="S57" s="47">
        <f t="shared" si="18"/>
        <v>-0.02490487805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5.75" customHeight="1">
      <c r="A58" s="1"/>
      <c r="B58" s="1"/>
      <c r="C58" s="1"/>
      <c r="D58" s="24"/>
      <c r="E58" s="24"/>
      <c r="F58" s="25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5.75" customHeight="1">
      <c r="A59" s="1"/>
      <c r="B59" s="1"/>
      <c r="C59" s="38" t="s">
        <v>41</v>
      </c>
      <c r="D59" s="39"/>
      <c r="E59" s="40">
        <f>$E$21</f>
        <v>42735</v>
      </c>
      <c r="F59" s="40">
        <f>$F$21</f>
        <v>43100</v>
      </c>
      <c r="G59" s="40">
        <f>$G$21</f>
        <v>43465</v>
      </c>
      <c r="H59" s="40">
        <f>$H$21</f>
        <v>43830</v>
      </c>
      <c r="I59" s="41">
        <f>$I$21</f>
        <v>44196</v>
      </c>
      <c r="J59" s="40">
        <f>$J$21</f>
        <v>44561</v>
      </c>
      <c r="K59" s="40">
        <f>$K$21</f>
        <v>44926</v>
      </c>
      <c r="L59" s="40">
        <f>$L$21</f>
        <v>45291</v>
      </c>
      <c r="M59" s="40">
        <f>$M$21</f>
        <v>45657</v>
      </c>
      <c r="N59" s="40">
        <f>$N$21</f>
        <v>46022</v>
      </c>
      <c r="O59" s="40">
        <f>$O$21</f>
        <v>46387</v>
      </c>
      <c r="P59" s="40">
        <f>$P$21</f>
        <v>46752</v>
      </c>
      <c r="Q59" s="40">
        <f>$Q$21</f>
        <v>47118</v>
      </c>
      <c r="R59" s="40">
        <f>$R$21</f>
        <v>47483</v>
      </c>
      <c r="S59" s="40">
        <f>$S$21</f>
        <v>47848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5.75" customHeight="1" outlineLevel="1">
      <c r="A60" s="1"/>
      <c r="B60" s="1"/>
      <c r="C60" s="1"/>
      <c r="D60" s="24"/>
      <c r="E60" s="24"/>
      <c r="F60" s="25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5.75" customHeight="1" outlineLevel="1">
      <c r="A61" s="1"/>
      <c r="B61" s="1"/>
      <c r="C61" s="59" t="s">
        <v>19</v>
      </c>
      <c r="D61" s="43" t="s">
        <v>20</v>
      </c>
      <c r="E61" s="43"/>
      <c r="F61" s="45"/>
      <c r="G61" s="45">
        <f t="shared" ref="G61:I61" si="19">10000+40000+45000</f>
        <v>95000</v>
      </c>
      <c r="H61" s="45">
        <f t="shared" si="19"/>
        <v>95000</v>
      </c>
      <c r="I61" s="45">
        <f t="shared" si="19"/>
        <v>95000</v>
      </c>
      <c r="J61" s="45">
        <f>I61*(1+US_Pop_Growth_Rate)</f>
        <v>95475</v>
      </c>
      <c r="K61" s="45">
        <f>J61*(1+US_Pop_Growth_Rate)</f>
        <v>95952.375</v>
      </c>
      <c r="L61" s="45">
        <f>K61*(1+US_Pop_Growth_Rate)</f>
        <v>96432.13688</v>
      </c>
      <c r="M61" s="45">
        <f>L61*(1+US_Pop_Growth_Rate)</f>
        <v>96914.29756</v>
      </c>
      <c r="N61" s="45">
        <f>M61*(1+US_Pop_Growth_Rate)</f>
        <v>97398.86905</v>
      </c>
      <c r="O61" s="45">
        <f>N61*(1+US_Pop_Growth_Rate)</f>
        <v>97885.86339</v>
      </c>
      <c r="P61" s="45">
        <f>O61*(1+US_Pop_Growth_Rate)</f>
        <v>98375.29271</v>
      </c>
      <c r="Q61" s="45">
        <f>P61*(1+US_Pop_Growth_Rate)</f>
        <v>98867.16917</v>
      </c>
      <c r="R61" s="45">
        <f>Q61*(1+US_Pop_Growth_Rate)</f>
        <v>99361.50502</v>
      </c>
      <c r="S61" s="45">
        <f>R61*(1+US_Pop_Growth_Rate)</f>
        <v>99858.31254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5.75" customHeight="1" outlineLevel="1">
      <c r="A62" s="1"/>
      <c r="B62" s="1"/>
      <c r="C62" s="59" t="s">
        <v>42</v>
      </c>
      <c r="D62" s="43" t="s">
        <v>20</v>
      </c>
      <c r="E62" s="43"/>
      <c r="F62" s="44"/>
      <c r="G62" s="45">
        <f>G73*Units/G71</f>
        <v>322.1230769</v>
      </c>
      <c r="H62" s="45">
        <f>H73*Units/H71</f>
        <v>9107.692308</v>
      </c>
      <c r="I62" s="45">
        <f>I73*Units/I71</f>
        <v>15692.30769</v>
      </c>
      <c r="J62" s="45">
        <f t="shared" ref="J62:S62" si="20">J65*J61</f>
        <v>19095</v>
      </c>
      <c r="K62" s="45">
        <f t="shared" si="20"/>
        <v>23988.09375</v>
      </c>
      <c r="L62" s="45">
        <f t="shared" si="20"/>
        <v>27000.99833</v>
      </c>
      <c r="M62" s="45">
        <f t="shared" si="20"/>
        <v>30043.43224</v>
      </c>
      <c r="N62" s="45">
        <f t="shared" si="20"/>
        <v>33115.61548</v>
      </c>
      <c r="O62" s="45">
        <f t="shared" si="20"/>
        <v>36217.76946</v>
      </c>
      <c r="P62" s="45">
        <f t="shared" si="20"/>
        <v>39350.11708</v>
      </c>
      <c r="Q62" s="45">
        <f t="shared" si="20"/>
        <v>36580.85259</v>
      </c>
      <c r="R62" s="45">
        <f t="shared" si="20"/>
        <v>33782.91171</v>
      </c>
      <c r="S62" s="45">
        <f t="shared" si="20"/>
        <v>30956.07689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5.75" customHeight="1" outlineLevel="1">
      <c r="A63" s="1"/>
      <c r="B63" s="1"/>
      <c r="C63" s="46" t="s">
        <v>23</v>
      </c>
      <c r="D63" s="43" t="s">
        <v>24</v>
      </c>
      <c r="E63" s="43"/>
      <c r="F63" s="47"/>
      <c r="G63" s="47"/>
      <c r="H63" s="47">
        <f t="shared" ref="H63:S63" si="21">H62/G62-1</f>
        <v>27.27395167</v>
      </c>
      <c r="I63" s="47">
        <f t="shared" si="21"/>
        <v>0.722972973</v>
      </c>
      <c r="J63" s="47">
        <f t="shared" si="21"/>
        <v>0.2168382353</v>
      </c>
      <c r="K63" s="47">
        <f t="shared" si="21"/>
        <v>0.25625</v>
      </c>
      <c r="L63" s="47">
        <f t="shared" si="21"/>
        <v>0.1256</v>
      </c>
      <c r="M63" s="47">
        <f t="shared" si="21"/>
        <v>0.1126785714</v>
      </c>
      <c r="N63" s="47">
        <f t="shared" si="21"/>
        <v>0.1022580645</v>
      </c>
      <c r="O63" s="47">
        <f t="shared" si="21"/>
        <v>0.09367647059</v>
      </c>
      <c r="P63" s="47">
        <f t="shared" si="21"/>
        <v>0.08648648649</v>
      </c>
      <c r="Q63" s="47">
        <f t="shared" si="21"/>
        <v>-0.070375</v>
      </c>
      <c r="R63" s="47">
        <f t="shared" si="21"/>
        <v>-0.07648648649</v>
      </c>
      <c r="S63" s="47">
        <f t="shared" si="21"/>
        <v>-0.08367647059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5.75" customHeight="1" outlineLevel="1">
      <c r="A64" s="1"/>
      <c r="B64" s="1"/>
      <c r="C64" s="59"/>
      <c r="D64" s="1"/>
      <c r="E64" s="1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5.75" customHeight="1" outlineLevel="1">
      <c r="A65" s="1"/>
      <c r="B65" s="1"/>
      <c r="C65" s="42" t="s">
        <v>43</v>
      </c>
      <c r="D65" s="43" t="s">
        <v>24</v>
      </c>
      <c r="E65" s="43"/>
      <c r="F65" s="55"/>
      <c r="G65" s="55">
        <f t="shared" ref="G65:I65" si="22">G62/G61</f>
        <v>0.003390769231</v>
      </c>
      <c r="H65" s="55">
        <f t="shared" si="22"/>
        <v>0.09587044534</v>
      </c>
      <c r="I65" s="55">
        <f t="shared" si="22"/>
        <v>0.1651821862</v>
      </c>
      <c r="J65" s="48">
        <f t="array" ref="J65">INDEX(J66:J68,MATCH(Scenario,$C66:$C68,0),1)</f>
        <v>0.2</v>
      </c>
      <c r="K65" s="48">
        <f t="array" ref="K65">INDEX(K66:K68,MATCH(Scenario,$C66:$C68,0),1)</f>
        <v>0.25</v>
      </c>
      <c r="L65" s="48">
        <f t="array" ref="L65">INDEX(L66:L68,MATCH(Scenario,$C66:$C68,0),1)</f>
        <v>0.28</v>
      </c>
      <c r="M65" s="48">
        <f t="array" ref="M65">INDEX(M66:M68,MATCH(Scenario,$C66:$C68,0),1)</f>
        <v>0.31</v>
      </c>
      <c r="N65" s="48">
        <f t="array" ref="N65">INDEX(N66:N68,MATCH(Scenario,$C66:$C68,0),1)</f>
        <v>0.34</v>
      </c>
      <c r="O65" s="48">
        <f t="array" ref="O65">INDEX(O66:O68,MATCH(Scenario,$C66:$C68,0),1)</f>
        <v>0.37</v>
      </c>
      <c r="P65" s="48">
        <f t="array" ref="P65">INDEX(P66:P68,MATCH(Scenario,$C66:$C68,0),1)</f>
        <v>0.4</v>
      </c>
      <c r="Q65" s="48">
        <f t="array" ref="Q65">INDEX(Q66:Q68,MATCH(Scenario,$C66:$C68,0),1)</f>
        <v>0.37</v>
      </c>
      <c r="R65" s="48">
        <f t="array" ref="R65">INDEX(R66:R68,MATCH(Scenario,$C66:$C68,0),1)</f>
        <v>0.34</v>
      </c>
      <c r="S65" s="48">
        <f t="array" ref="S65">INDEX(S66:S68,MATCH(Scenario,$C66:$C68,0),1)</f>
        <v>0.31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5.75" customHeight="1" outlineLevel="1">
      <c r="A66" s="1"/>
      <c r="B66" s="1"/>
      <c r="C66" s="42" t="str">
        <f>$C$35</f>
        <v>Upside</v>
      </c>
      <c r="D66" s="43" t="s">
        <v>24</v>
      </c>
      <c r="E66" s="43"/>
      <c r="F66" s="44"/>
      <c r="G66" s="44"/>
      <c r="H66" s="44"/>
      <c r="I66" s="44"/>
      <c r="J66" s="57">
        <v>0.21</v>
      </c>
      <c r="K66" s="57">
        <v>0.3</v>
      </c>
      <c r="L66" s="57">
        <v>0.35</v>
      </c>
      <c r="M66" s="57">
        <v>0.4</v>
      </c>
      <c r="N66" s="57">
        <v>0.45</v>
      </c>
      <c r="O66" s="57">
        <v>0.5</v>
      </c>
      <c r="P66" s="57">
        <v>0.55</v>
      </c>
      <c r="Q66" s="57">
        <v>0.5</v>
      </c>
      <c r="R66" s="57">
        <v>0.45</v>
      </c>
      <c r="S66" s="57">
        <v>0.4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5.75" customHeight="1" outlineLevel="1">
      <c r="A67" s="1"/>
      <c r="B67" s="1"/>
      <c r="C67" s="42" t="str">
        <f>$C$36</f>
        <v>Base</v>
      </c>
      <c r="D67" s="43" t="s">
        <v>24</v>
      </c>
      <c r="E67" s="43"/>
      <c r="F67" s="44"/>
      <c r="G67" s="44"/>
      <c r="H67" s="44"/>
      <c r="I67" s="44"/>
      <c r="J67" s="57">
        <v>0.2</v>
      </c>
      <c r="K67" s="57">
        <v>0.25</v>
      </c>
      <c r="L67" s="57">
        <v>0.28</v>
      </c>
      <c r="M67" s="57">
        <v>0.31</v>
      </c>
      <c r="N67" s="57">
        <v>0.34</v>
      </c>
      <c r="O67" s="57">
        <v>0.37</v>
      </c>
      <c r="P67" s="57">
        <v>0.4</v>
      </c>
      <c r="Q67" s="57">
        <v>0.37</v>
      </c>
      <c r="R67" s="57">
        <v>0.34</v>
      </c>
      <c r="S67" s="57">
        <v>0.31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15.75" customHeight="1" outlineLevel="1">
      <c r="A68" s="1"/>
      <c r="B68" s="1"/>
      <c r="C68" s="42" t="str">
        <f>$C$37</f>
        <v>Downside</v>
      </c>
      <c r="D68" s="43" t="s">
        <v>24</v>
      </c>
      <c r="E68" s="43"/>
      <c r="F68" s="44"/>
      <c r="G68" s="44"/>
      <c r="H68" s="44"/>
      <c r="I68" s="44"/>
      <c r="J68" s="57">
        <v>0.2</v>
      </c>
      <c r="K68" s="57">
        <v>0.22</v>
      </c>
      <c r="L68" s="57">
        <v>0.235</v>
      </c>
      <c r="M68" s="57">
        <v>0.25</v>
      </c>
      <c r="N68" s="57">
        <v>0.265</v>
      </c>
      <c r="O68" s="57">
        <v>0.28</v>
      </c>
      <c r="P68" s="57">
        <v>0.3</v>
      </c>
      <c r="Q68" s="57">
        <v>0.27</v>
      </c>
      <c r="R68" s="57">
        <v>0.25</v>
      </c>
      <c r="S68" s="57">
        <v>0.23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5.75" customHeight="1" outlineLevel="1">
      <c r="A69" s="1"/>
      <c r="B69" s="1"/>
      <c r="C69" s="59"/>
      <c r="D69" s="1"/>
      <c r="E69" s="1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5.75" customHeight="1" outlineLevel="1">
      <c r="A70" s="1"/>
      <c r="B70" s="1"/>
      <c r="C70" s="1" t="s">
        <v>44</v>
      </c>
      <c r="D70" s="43" t="s">
        <v>24</v>
      </c>
      <c r="E70" s="1"/>
      <c r="F70" s="1"/>
      <c r="G70" s="44"/>
      <c r="H70" s="44"/>
      <c r="I70" s="22">
        <v>0.05</v>
      </c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5.75" customHeight="1" outlineLevel="1">
      <c r="A71" s="1"/>
      <c r="B71" s="1"/>
      <c r="C71" s="42" t="s">
        <v>45</v>
      </c>
      <c r="D71" s="43" t="s">
        <v>30</v>
      </c>
      <c r="E71" s="43"/>
      <c r="F71" s="60"/>
      <c r="G71" s="60">
        <v>32500.0</v>
      </c>
      <c r="H71" s="60">
        <v>32500.0</v>
      </c>
      <c r="I71" s="60">
        <v>32500.0</v>
      </c>
      <c r="J71" s="25">
        <f t="shared" ref="J71:S71" si="23">I71*(1+$I$70)</f>
        <v>34125</v>
      </c>
      <c r="K71" s="25">
        <f t="shared" si="23"/>
        <v>35831.25</v>
      </c>
      <c r="L71" s="25">
        <f t="shared" si="23"/>
        <v>37622.8125</v>
      </c>
      <c r="M71" s="25">
        <f t="shared" si="23"/>
        <v>39503.95313</v>
      </c>
      <c r="N71" s="25">
        <f t="shared" si="23"/>
        <v>41479.15078</v>
      </c>
      <c r="O71" s="25">
        <f t="shared" si="23"/>
        <v>43553.10832</v>
      </c>
      <c r="P71" s="25">
        <f t="shared" si="23"/>
        <v>45730.76374</v>
      </c>
      <c r="Q71" s="25">
        <f t="shared" si="23"/>
        <v>48017.30192</v>
      </c>
      <c r="R71" s="25">
        <f t="shared" si="23"/>
        <v>50418.16702</v>
      </c>
      <c r="S71" s="25">
        <f t="shared" si="23"/>
        <v>52939.07537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5.75" customHeight="1" outlineLevel="1">
      <c r="A72" s="1"/>
      <c r="B72" s="1"/>
      <c r="C72" s="42"/>
      <c r="D72" s="43"/>
      <c r="E72" s="4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5.75" customHeight="1" outlineLevel="1">
      <c r="A73" s="1"/>
      <c r="B73" s="1"/>
      <c r="C73" s="42" t="s">
        <v>46</v>
      </c>
      <c r="D73" s="43" t="s">
        <v>35</v>
      </c>
      <c r="E73" s="43"/>
      <c r="F73" s="61"/>
      <c r="G73" s="61">
        <v>10.469</v>
      </c>
      <c r="H73" s="61">
        <v>296.0</v>
      </c>
      <c r="I73" s="61">
        <v>510.0</v>
      </c>
      <c r="J73" s="53">
        <f>J62*J71/Units</f>
        <v>651.616875</v>
      </c>
      <c r="K73" s="53">
        <f>K62*K71/Units</f>
        <v>859.5233842</v>
      </c>
      <c r="L73" s="53">
        <f>L62*L71/Units</f>
        <v>1015.853497</v>
      </c>
      <c r="M73" s="53">
        <f>M62*M71/Units</f>
        <v>1186.834339</v>
      </c>
      <c r="N73" s="53">
        <f>N62*N71/Units</f>
        <v>1373.607608</v>
      </c>
      <c r="O73" s="53">
        <f>O62*O71/Units</f>
        <v>1577.396436</v>
      </c>
      <c r="P73" s="53">
        <f>P62*P71/Units</f>
        <v>1799.510907</v>
      </c>
      <c r="Q73" s="53">
        <f>Q62*Q71/Units</f>
        <v>1756.513844</v>
      </c>
      <c r="R73" s="53">
        <f>R62*R71/Units</f>
        <v>1703.272485</v>
      </c>
      <c r="S73" s="53">
        <f>S62*S71/Units</f>
        <v>1638.786088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5.75" customHeight="1" outlineLevel="1">
      <c r="A74" s="1"/>
      <c r="B74" s="1"/>
      <c r="C74" s="46" t="s">
        <v>36</v>
      </c>
      <c r="D74" s="43" t="s">
        <v>24</v>
      </c>
      <c r="E74" s="43"/>
      <c r="F74" s="47"/>
      <c r="G74" s="47"/>
      <c r="H74" s="47">
        <f t="shared" ref="H74:S74" si="24">H73/G73-1</f>
        <v>27.27395167</v>
      </c>
      <c r="I74" s="47">
        <f t="shared" si="24"/>
        <v>0.722972973</v>
      </c>
      <c r="J74" s="47">
        <f t="shared" si="24"/>
        <v>0.2776801471</v>
      </c>
      <c r="K74" s="47">
        <f t="shared" si="24"/>
        <v>0.3190625</v>
      </c>
      <c r="L74" s="47">
        <f t="shared" si="24"/>
        <v>0.18188</v>
      </c>
      <c r="M74" s="47">
        <f t="shared" si="24"/>
        <v>0.1683125</v>
      </c>
      <c r="N74" s="47">
        <f t="shared" si="24"/>
        <v>0.1573709677</v>
      </c>
      <c r="O74" s="47">
        <f t="shared" si="24"/>
        <v>0.1483602941</v>
      </c>
      <c r="P74" s="47">
        <f t="shared" si="24"/>
        <v>0.1408108108</v>
      </c>
      <c r="Q74" s="47">
        <f t="shared" si="24"/>
        <v>-0.02389375</v>
      </c>
      <c r="R74" s="47">
        <f t="shared" si="24"/>
        <v>-0.03031081081</v>
      </c>
      <c r="S74" s="47">
        <f t="shared" si="24"/>
        <v>-0.03786029412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5.75" customHeight="1">
      <c r="A75" s="1"/>
      <c r="B75" s="1"/>
      <c r="C75" s="1"/>
      <c r="D75" s="24"/>
      <c r="E75" s="24"/>
      <c r="F75" s="25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5.75" customHeight="1">
      <c r="A76" s="1"/>
      <c r="B76" s="1"/>
      <c r="C76" s="38" t="s">
        <v>47</v>
      </c>
      <c r="D76" s="39"/>
      <c r="E76" s="40">
        <f>$E$21</f>
        <v>42735</v>
      </c>
      <c r="F76" s="40">
        <f>$F$21</f>
        <v>43100</v>
      </c>
      <c r="G76" s="40">
        <f>$G$21</f>
        <v>43465</v>
      </c>
      <c r="H76" s="40">
        <f>$H$21</f>
        <v>43830</v>
      </c>
      <c r="I76" s="41">
        <f>$I$21</f>
        <v>44196</v>
      </c>
      <c r="J76" s="40">
        <f>$J$21</f>
        <v>44561</v>
      </c>
      <c r="K76" s="40">
        <f>$K$21</f>
        <v>44926</v>
      </c>
      <c r="L76" s="40">
        <f>$L$21</f>
        <v>45291</v>
      </c>
      <c r="M76" s="40">
        <f>$M$21</f>
        <v>45657</v>
      </c>
      <c r="N76" s="40">
        <f>$N$21</f>
        <v>46022</v>
      </c>
      <c r="O76" s="40">
        <f>$O$21</f>
        <v>46387</v>
      </c>
      <c r="P76" s="40">
        <f>$P$21</f>
        <v>46752</v>
      </c>
      <c r="Q76" s="40">
        <f>$Q$21</f>
        <v>47118</v>
      </c>
      <c r="R76" s="40">
        <f>$R$21</f>
        <v>47483</v>
      </c>
      <c r="S76" s="40">
        <f>$S$21</f>
        <v>47848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5.75" customHeight="1" outlineLevel="1">
      <c r="A77" s="1"/>
      <c r="B77" s="1"/>
      <c r="C77" s="59"/>
      <c r="D77" s="1"/>
      <c r="E77" s="1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5.75" customHeight="1" outlineLevel="1">
      <c r="A78" s="1"/>
      <c r="B78" s="1"/>
      <c r="C78" s="59" t="s">
        <v>48</v>
      </c>
      <c r="D78" s="43" t="s">
        <v>20</v>
      </c>
      <c r="E78" s="1"/>
      <c r="F78" s="45"/>
      <c r="G78" s="45"/>
      <c r="H78" s="45"/>
      <c r="I78" s="45"/>
      <c r="J78" s="62">
        <v>6000.0</v>
      </c>
      <c r="K78" s="63">
        <f t="shared" ref="K78:S78" si="25">J78</f>
        <v>6000</v>
      </c>
      <c r="L78" s="63">
        <f t="shared" si="25"/>
        <v>6000</v>
      </c>
      <c r="M78" s="63">
        <f t="shared" si="25"/>
        <v>6000</v>
      </c>
      <c r="N78" s="63">
        <f t="shared" si="25"/>
        <v>6000</v>
      </c>
      <c r="O78" s="63">
        <f t="shared" si="25"/>
        <v>6000</v>
      </c>
      <c r="P78" s="63">
        <f t="shared" si="25"/>
        <v>6000</v>
      </c>
      <c r="Q78" s="63">
        <f t="shared" si="25"/>
        <v>6000</v>
      </c>
      <c r="R78" s="63">
        <f t="shared" si="25"/>
        <v>6000</v>
      </c>
      <c r="S78" s="63">
        <f t="shared" si="25"/>
        <v>6000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5.75" customHeight="1" outlineLevel="1">
      <c r="A79" s="1"/>
      <c r="B79" s="1"/>
      <c r="C79" s="59" t="s">
        <v>42</v>
      </c>
      <c r="D79" s="43" t="s">
        <v>20</v>
      </c>
      <c r="E79" s="1"/>
      <c r="F79" s="44"/>
      <c r="G79" s="45"/>
      <c r="H79" s="45"/>
      <c r="I79" s="45"/>
      <c r="J79" s="45">
        <f t="shared" ref="J79:S79" si="26">J78*J82</f>
        <v>30</v>
      </c>
      <c r="K79" s="45">
        <f t="shared" si="26"/>
        <v>360</v>
      </c>
      <c r="L79" s="45">
        <f t="shared" si="26"/>
        <v>540</v>
      </c>
      <c r="M79" s="45">
        <f t="shared" si="26"/>
        <v>600</v>
      </c>
      <c r="N79" s="45">
        <f t="shared" si="26"/>
        <v>600</v>
      </c>
      <c r="O79" s="45">
        <f t="shared" si="26"/>
        <v>600</v>
      </c>
      <c r="P79" s="45">
        <f t="shared" si="26"/>
        <v>600</v>
      </c>
      <c r="Q79" s="45">
        <f t="shared" si="26"/>
        <v>570</v>
      </c>
      <c r="R79" s="45">
        <f t="shared" si="26"/>
        <v>540</v>
      </c>
      <c r="S79" s="45">
        <f t="shared" si="26"/>
        <v>510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5.75" customHeight="1" outlineLevel="1">
      <c r="A80" s="1"/>
      <c r="B80" s="1"/>
      <c r="C80" s="46" t="s">
        <v>23</v>
      </c>
      <c r="D80" s="43" t="s">
        <v>24</v>
      </c>
      <c r="E80" s="1"/>
      <c r="F80" s="47"/>
      <c r="G80" s="47"/>
      <c r="H80" s="47"/>
      <c r="I80" s="47"/>
      <c r="J80" s="47"/>
      <c r="K80" s="47">
        <f t="shared" ref="K80:S80" si="27">K79/J79-1</f>
        <v>11</v>
      </c>
      <c r="L80" s="47">
        <f t="shared" si="27"/>
        <v>0.5</v>
      </c>
      <c r="M80" s="47">
        <f t="shared" si="27"/>
        <v>0.1111111111</v>
      </c>
      <c r="N80" s="47">
        <f t="shared" si="27"/>
        <v>0</v>
      </c>
      <c r="O80" s="47">
        <f t="shared" si="27"/>
        <v>0</v>
      </c>
      <c r="P80" s="47">
        <f t="shared" si="27"/>
        <v>0</v>
      </c>
      <c r="Q80" s="47">
        <f t="shared" si="27"/>
        <v>-0.05</v>
      </c>
      <c r="R80" s="47">
        <f t="shared" si="27"/>
        <v>-0.05263157895</v>
      </c>
      <c r="S80" s="47">
        <f t="shared" si="27"/>
        <v>-0.05555555556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5.75" customHeight="1" outlineLevel="1">
      <c r="A81" s="1"/>
      <c r="B81" s="1"/>
      <c r="C81" s="59"/>
      <c r="D81" s="1"/>
      <c r="E81" s="1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5.75" customHeight="1" outlineLevel="1">
      <c r="A82" s="1"/>
      <c r="B82" s="1"/>
      <c r="C82" s="42" t="s">
        <v>49</v>
      </c>
      <c r="D82" s="43" t="s">
        <v>24</v>
      </c>
      <c r="E82" s="1"/>
      <c r="F82" s="55"/>
      <c r="G82" s="55"/>
      <c r="H82" s="55"/>
      <c r="I82" s="55"/>
      <c r="J82" s="57">
        <v>0.005</v>
      </c>
      <c r="K82" s="57">
        <v>0.06</v>
      </c>
      <c r="L82" s="57">
        <v>0.09</v>
      </c>
      <c r="M82" s="57">
        <v>0.1</v>
      </c>
      <c r="N82" s="57">
        <v>0.1</v>
      </c>
      <c r="O82" s="57">
        <v>0.1</v>
      </c>
      <c r="P82" s="57">
        <v>0.1</v>
      </c>
      <c r="Q82" s="57">
        <v>0.095</v>
      </c>
      <c r="R82" s="57">
        <v>0.09</v>
      </c>
      <c r="S82" s="57">
        <v>0.085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5.75" customHeight="1" outlineLevel="1">
      <c r="A83" s="1"/>
      <c r="B83" s="1"/>
      <c r="C83" s="59"/>
      <c r="D83" s="1"/>
      <c r="E83" s="1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5.75" customHeight="1" outlineLevel="1">
      <c r="A84" s="1"/>
      <c r="B84" s="1"/>
      <c r="C84" s="42" t="s">
        <v>45</v>
      </c>
      <c r="D84" s="43" t="s">
        <v>30</v>
      </c>
      <c r="E84" s="1"/>
      <c r="F84" s="60"/>
      <c r="G84" s="60"/>
      <c r="H84" s="60"/>
      <c r="I84" s="60"/>
      <c r="J84" s="64">
        <v>400000.0</v>
      </c>
      <c r="K84" s="64">
        <v>402000.0</v>
      </c>
      <c r="L84" s="64">
        <v>404000.0</v>
      </c>
      <c r="M84" s="64">
        <v>406000.0</v>
      </c>
      <c r="N84" s="64">
        <v>408000.0</v>
      </c>
      <c r="O84" s="64">
        <v>409000.0</v>
      </c>
      <c r="P84" s="64">
        <v>409500.0</v>
      </c>
      <c r="Q84" s="64">
        <v>410000.0</v>
      </c>
      <c r="R84" s="64">
        <v>410500.0</v>
      </c>
      <c r="S84" s="64">
        <v>411000.0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5.75" customHeight="1" outlineLevel="1">
      <c r="A85" s="1"/>
      <c r="B85" s="1"/>
      <c r="C85" s="42"/>
      <c r="D85" s="43"/>
      <c r="E85" s="1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5.75" customHeight="1" outlineLevel="1">
      <c r="A86" s="1"/>
      <c r="B86" s="1"/>
      <c r="C86" s="42" t="s">
        <v>46</v>
      </c>
      <c r="D86" s="43" t="s">
        <v>35</v>
      </c>
      <c r="E86" s="53">
        <f t="shared" ref="E86:I86" si="28">E205</f>
        <v>0</v>
      </c>
      <c r="F86" s="53">
        <f t="shared" si="28"/>
        <v>0</v>
      </c>
      <c r="G86" s="53">
        <f t="shared" si="28"/>
        <v>0</v>
      </c>
      <c r="H86" s="53">
        <f t="shared" si="28"/>
        <v>0</v>
      </c>
      <c r="I86" s="53">
        <f t="shared" si="28"/>
        <v>0</v>
      </c>
      <c r="J86" s="53">
        <f>J79*J84/Units</f>
        <v>12</v>
      </c>
      <c r="K86" s="53">
        <f>K79*K84/Units</f>
        <v>144.72</v>
      </c>
      <c r="L86" s="53">
        <f>L79*L84/Units</f>
        <v>218.16</v>
      </c>
      <c r="M86" s="53">
        <f>M79*M84/Units</f>
        <v>243.6</v>
      </c>
      <c r="N86" s="53">
        <f>N79*N84/Units</f>
        <v>244.8</v>
      </c>
      <c r="O86" s="53">
        <f>O79*O84/Units</f>
        <v>245.4</v>
      </c>
      <c r="P86" s="53">
        <f>P79*P84/Units</f>
        <v>245.7</v>
      </c>
      <c r="Q86" s="53">
        <f>Q79*Q84/Units</f>
        <v>233.7</v>
      </c>
      <c r="R86" s="53">
        <f>R79*R84/Units</f>
        <v>221.67</v>
      </c>
      <c r="S86" s="53">
        <f>S79*S84/Units</f>
        <v>209.61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5.75" customHeight="1" outlineLevel="1">
      <c r="A87" s="1"/>
      <c r="B87" s="1"/>
      <c r="C87" s="46" t="s">
        <v>36</v>
      </c>
      <c r="D87" s="43" t="s">
        <v>24</v>
      </c>
      <c r="E87" s="1"/>
      <c r="F87" s="47"/>
      <c r="G87" s="47"/>
      <c r="H87" s="47"/>
      <c r="I87" s="47"/>
      <c r="J87" s="47"/>
      <c r="K87" s="47">
        <f t="shared" ref="K87:S87" si="29">K86/J86-1</f>
        <v>11.06</v>
      </c>
      <c r="L87" s="47">
        <f t="shared" si="29"/>
        <v>0.5074626866</v>
      </c>
      <c r="M87" s="47">
        <f t="shared" si="29"/>
        <v>0.1166116612</v>
      </c>
      <c r="N87" s="47">
        <f t="shared" si="29"/>
        <v>0.004926108374</v>
      </c>
      <c r="O87" s="47">
        <f t="shared" si="29"/>
        <v>0.002450980392</v>
      </c>
      <c r="P87" s="47">
        <f t="shared" si="29"/>
        <v>0.001222493888</v>
      </c>
      <c r="Q87" s="47">
        <f t="shared" si="29"/>
        <v>-0.04884004884</v>
      </c>
      <c r="R87" s="47">
        <f t="shared" si="29"/>
        <v>-0.0514762516</v>
      </c>
      <c r="S87" s="47">
        <f t="shared" si="29"/>
        <v>-0.05440519691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5.75" customHeight="1">
      <c r="A88" s="1"/>
      <c r="B88" s="1"/>
      <c r="C88" s="59"/>
      <c r="D88" s="1"/>
      <c r="E88" s="1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5.75" customHeight="1">
      <c r="A89" s="1"/>
      <c r="B89" s="1"/>
      <c r="C89" s="38" t="s">
        <v>50</v>
      </c>
      <c r="D89" s="39"/>
      <c r="E89" s="40">
        <f>$E$21</f>
        <v>42735</v>
      </c>
      <c r="F89" s="40">
        <f>$F$21</f>
        <v>43100</v>
      </c>
      <c r="G89" s="40">
        <f>$G$21</f>
        <v>43465</v>
      </c>
      <c r="H89" s="40">
        <f>$H$21</f>
        <v>43830</v>
      </c>
      <c r="I89" s="41">
        <f>$I$21</f>
        <v>44196</v>
      </c>
      <c r="J89" s="40">
        <f>$J$21</f>
        <v>44561</v>
      </c>
      <c r="K89" s="40">
        <f>$K$21</f>
        <v>44926</v>
      </c>
      <c r="L89" s="40">
        <f>$L$21</f>
        <v>45291</v>
      </c>
      <c r="M89" s="40">
        <f>$M$21</f>
        <v>45657</v>
      </c>
      <c r="N89" s="40">
        <f>$N$21</f>
        <v>46022</v>
      </c>
      <c r="O89" s="40">
        <f>$O$21</f>
        <v>46387</v>
      </c>
      <c r="P89" s="40">
        <f>$P$21</f>
        <v>46752</v>
      </c>
      <c r="Q89" s="40">
        <f>$Q$21</f>
        <v>47118</v>
      </c>
      <c r="R89" s="40">
        <f>$R$21</f>
        <v>47483</v>
      </c>
      <c r="S89" s="40">
        <f>$S$21</f>
        <v>47848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5.75" customHeight="1" outlineLevel="1">
      <c r="A90" s="1"/>
      <c r="B90" s="1"/>
      <c r="C90" s="59"/>
      <c r="D90" s="1"/>
      <c r="E90" s="1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5.75" customHeight="1" outlineLevel="1">
      <c r="A91" s="1"/>
      <c r="B91" s="1"/>
      <c r="C91" s="59" t="s">
        <v>19</v>
      </c>
      <c r="D91" s="43" t="s">
        <v>20</v>
      </c>
      <c r="E91" s="45">
        <f t="shared" ref="E91:S91" si="30">E23</f>
        <v>161470</v>
      </c>
      <c r="F91" s="45">
        <f t="shared" si="30"/>
        <v>162495</v>
      </c>
      <c r="G91" s="45">
        <f t="shared" si="30"/>
        <v>163345</v>
      </c>
      <c r="H91" s="45">
        <f t="shared" si="30"/>
        <v>164120</v>
      </c>
      <c r="I91" s="45">
        <f t="shared" si="30"/>
        <v>165330</v>
      </c>
      <c r="J91" s="45">
        <f t="shared" si="30"/>
        <v>166156.65</v>
      </c>
      <c r="K91" s="45">
        <f t="shared" si="30"/>
        <v>166987.4333</v>
      </c>
      <c r="L91" s="45">
        <f t="shared" si="30"/>
        <v>167822.3704</v>
      </c>
      <c r="M91" s="45">
        <f t="shared" si="30"/>
        <v>168661.4823</v>
      </c>
      <c r="N91" s="45">
        <f t="shared" si="30"/>
        <v>169504.7897</v>
      </c>
      <c r="O91" s="45">
        <f t="shared" si="30"/>
        <v>170352.3136</v>
      </c>
      <c r="P91" s="45">
        <f t="shared" si="30"/>
        <v>171204.0752</v>
      </c>
      <c r="Q91" s="45">
        <f t="shared" si="30"/>
        <v>172060.0956</v>
      </c>
      <c r="R91" s="45">
        <f t="shared" si="30"/>
        <v>172920.3961</v>
      </c>
      <c r="S91" s="45">
        <f t="shared" si="30"/>
        <v>173784.998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5.75" customHeight="1" outlineLevel="1">
      <c r="A92" s="1"/>
      <c r="B92" s="1"/>
      <c r="C92" s="59" t="s">
        <v>42</v>
      </c>
      <c r="D92" s="43" t="s">
        <v>20</v>
      </c>
      <c r="E92" s="1"/>
      <c r="F92" s="44"/>
      <c r="G92" s="45"/>
      <c r="H92" s="45">
        <f>H99*Units/H97</f>
        <v>468.9393939</v>
      </c>
      <c r="I92" s="45">
        <f>I99*Units/I97</f>
        <v>3577.39899</v>
      </c>
      <c r="J92" s="45">
        <f t="shared" ref="J92:S92" si="31">J91*J95</f>
        <v>8307.8325</v>
      </c>
      <c r="K92" s="45">
        <f t="shared" si="31"/>
        <v>16698.74333</v>
      </c>
      <c r="L92" s="45">
        <f t="shared" si="31"/>
        <v>25173.35556</v>
      </c>
      <c r="M92" s="45">
        <f t="shared" si="31"/>
        <v>33732.29645</v>
      </c>
      <c r="N92" s="45">
        <f t="shared" si="31"/>
        <v>42376.19742</v>
      </c>
      <c r="O92" s="45">
        <f t="shared" si="31"/>
        <v>39181.03213</v>
      </c>
      <c r="P92" s="45">
        <f t="shared" si="31"/>
        <v>35952.85579</v>
      </c>
      <c r="Q92" s="45">
        <f t="shared" si="31"/>
        <v>32691.41816</v>
      </c>
      <c r="R92" s="45">
        <f t="shared" si="31"/>
        <v>31125.67129</v>
      </c>
      <c r="S92" s="45">
        <f t="shared" si="31"/>
        <v>29543.44967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5.75" customHeight="1" outlineLevel="1">
      <c r="A93" s="1"/>
      <c r="B93" s="1"/>
      <c r="C93" s="46" t="s">
        <v>23</v>
      </c>
      <c r="D93" s="43" t="s">
        <v>24</v>
      </c>
      <c r="E93" s="1"/>
      <c r="F93" s="47"/>
      <c r="G93" s="47"/>
      <c r="H93" s="47"/>
      <c r="I93" s="47">
        <f>I92/H92-1</f>
        <v>6.628702208</v>
      </c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5.75" customHeight="1" outlineLevel="1">
      <c r="A94" s="1"/>
      <c r="B94" s="1"/>
      <c r="C94" s="59"/>
      <c r="D94" s="1"/>
      <c r="E94" s="1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5.75" customHeight="1" outlineLevel="1">
      <c r="A95" s="1"/>
      <c r="B95" s="1"/>
      <c r="C95" s="42" t="s">
        <v>43</v>
      </c>
      <c r="D95" s="43" t="s">
        <v>24</v>
      </c>
      <c r="E95" s="1"/>
      <c r="F95" s="55"/>
      <c r="G95" s="55"/>
      <c r="H95" s="55">
        <f t="shared" ref="H95:I95" si="32">H92/H91</f>
        <v>0.002857295844</v>
      </c>
      <c r="I95" s="55">
        <f t="shared" si="32"/>
        <v>0.02163793014</v>
      </c>
      <c r="J95" s="57">
        <v>0.05</v>
      </c>
      <c r="K95" s="57">
        <v>0.1</v>
      </c>
      <c r="L95" s="57">
        <v>0.15</v>
      </c>
      <c r="M95" s="57">
        <v>0.2</v>
      </c>
      <c r="N95" s="57">
        <v>0.25</v>
      </c>
      <c r="O95" s="57">
        <v>0.23</v>
      </c>
      <c r="P95" s="57">
        <v>0.21</v>
      </c>
      <c r="Q95" s="57">
        <v>0.19</v>
      </c>
      <c r="R95" s="57">
        <v>0.18</v>
      </c>
      <c r="S95" s="57">
        <v>0.17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5.75" customHeight="1" outlineLevel="1">
      <c r="A96" s="1"/>
      <c r="B96" s="1"/>
      <c r="C96" s="59"/>
      <c r="D96" s="1"/>
      <c r="E96" s="1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5.75" customHeight="1" outlineLevel="1">
      <c r="A97" s="1"/>
      <c r="B97" s="1"/>
      <c r="C97" s="42" t="s">
        <v>45</v>
      </c>
      <c r="D97" s="43" t="s">
        <v>30</v>
      </c>
      <c r="E97" s="1"/>
      <c r="F97" s="60"/>
      <c r="G97" s="60"/>
      <c r="H97" s="25">
        <f t="shared" ref="H97:I97" si="33">660*12</f>
        <v>7920</v>
      </c>
      <c r="I97" s="25">
        <f t="shared" si="33"/>
        <v>7920</v>
      </c>
      <c r="J97" s="64">
        <v>8500.0</v>
      </c>
      <c r="K97" s="64">
        <v>9500.0</v>
      </c>
      <c r="L97" s="64">
        <v>10500.0</v>
      </c>
      <c r="M97" s="64">
        <v>11500.0</v>
      </c>
      <c r="N97" s="64">
        <v>12000.0</v>
      </c>
      <c r="O97" s="64">
        <v>12000.0</v>
      </c>
      <c r="P97" s="64">
        <v>12000.0</v>
      </c>
      <c r="Q97" s="64">
        <v>12000.0</v>
      </c>
      <c r="R97" s="64">
        <v>12000.0</v>
      </c>
      <c r="S97" s="64">
        <v>12000.0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5.75" customHeight="1" outlineLevel="1">
      <c r="A98" s="1"/>
      <c r="B98" s="1"/>
      <c r="C98" s="42"/>
      <c r="D98" s="43"/>
      <c r="E98" s="1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5.75" customHeight="1" outlineLevel="1">
      <c r="A99" s="1"/>
      <c r="B99" s="1"/>
      <c r="C99" s="42" t="s">
        <v>46</v>
      </c>
      <c r="D99" s="43" t="s">
        <v>35</v>
      </c>
      <c r="E99" s="53">
        <f t="shared" ref="E99:I99" si="34">E206</f>
        <v>0</v>
      </c>
      <c r="F99" s="53">
        <f t="shared" si="34"/>
        <v>0</v>
      </c>
      <c r="G99" s="53">
        <f t="shared" si="34"/>
        <v>0</v>
      </c>
      <c r="H99" s="53">
        <f t="shared" si="34"/>
        <v>3.714</v>
      </c>
      <c r="I99" s="53">
        <f t="shared" si="34"/>
        <v>28.333</v>
      </c>
      <c r="J99" s="53">
        <f>J92*J97/Units</f>
        <v>70.61657625</v>
      </c>
      <c r="K99" s="53">
        <f>K92*K97/Units</f>
        <v>158.6380616</v>
      </c>
      <c r="L99" s="53">
        <f>L92*L97/Units</f>
        <v>264.3202334</v>
      </c>
      <c r="M99" s="53">
        <f>M92*M97/Units</f>
        <v>387.9214092</v>
      </c>
      <c r="N99" s="53">
        <f>N92*N97/Units</f>
        <v>508.514369</v>
      </c>
      <c r="O99" s="53">
        <f>O92*O97/Units</f>
        <v>470.1723856</v>
      </c>
      <c r="P99" s="53">
        <f>P92*P97/Units</f>
        <v>431.4342695</v>
      </c>
      <c r="Q99" s="53">
        <f>Q92*Q97/Units</f>
        <v>392.2970179</v>
      </c>
      <c r="R99" s="53">
        <f>R92*R97/Units</f>
        <v>373.5080555</v>
      </c>
      <c r="S99" s="53">
        <f>S92*S97/Units</f>
        <v>354.521396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5.75" customHeight="1" outlineLevel="1">
      <c r="A100" s="1"/>
      <c r="B100" s="1"/>
      <c r="C100" s="46" t="s">
        <v>36</v>
      </c>
      <c r="D100" s="43" t="s">
        <v>24</v>
      </c>
      <c r="E100" s="1"/>
      <c r="F100" s="47"/>
      <c r="G100" s="47"/>
      <c r="H100" s="47"/>
      <c r="I100" s="47">
        <f t="shared" ref="I100:S100" si="35">I99/H99-1</f>
        <v>6.628702208</v>
      </c>
      <c r="J100" s="47">
        <f t="shared" si="35"/>
        <v>1.492379072</v>
      </c>
      <c r="K100" s="47">
        <f t="shared" si="35"/>
        <v>1.246470588</v>
      </c>
      <c r="L100" s="47">
        <f t="shared" si="35"/>
        <v>0.6661842105</v>
      </c>
      <c r="M100" s="47">
        <f t="shared" si="35"/>
        <v>0.4676190476</v>
      </c>
      <c r="N100" s="47">
        <f t="shared" si="35"/>
        <v>0.3108695652</v>
      </c>
      <c r="O100" s="47">
        <f t="shared" si="35"/>
        <v>-0.0754</v>
      </c>
      <c r="P100" s="47">
        <f t="shared" si="35"/>
        <v>-0.08239130435</v>
      </c>
      <c r="Q100" s="47">
        <f t="shared" si="35"/>
        <v>-0.09071428571</v>
      </c>
      <c r="R100" s="47">
        <f t="shared" si="35"/>
        <v>-0.04789473684</v>
      </c>
      <c r="S100" s="47">
        <f t="shared" si="35"/>
        <v>-0.05083333333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ht="15.75" customHeight="1">
      <c r="A101" s="1"/>
      <c r="B101" s="1"/>
      <c r="C101" s="1"/>
      <c r="D101" s="24"/>
      <c r="E101" s="24"/>
      <c r="F101" s="25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5.75" customHeight="1">
      <c r="A102" s="1"/>
      <c r="B102" s="1"/>
      <c r="C102" s="38" t="s">
        <v>51</v>
      </c>
      <c r="D102" s="39"/>
      <c r="E102" s="40">
        <f>$E$21</f>
        <v>42735</v>
      </c>
      <c r="F102" s="40">
        <f>$F$21</f>
        <v>43100</v>
      </c>
      <c r="G102" s="40">
        <f>$G$21</f>
        <v>43465</v>
      </c>
      <c r="H102" s="40">
        <f>$H$21</f>
        <v>43830</v>
      </c>
      <c r="I102" s="41">
        <f>$I$21</f>
        <v>44196</v>
      </c>
      <c r="J102" s="40">
        <f>$J$21</f>
        <v>44561</v>
      </c>
      <c r="K102" s="40">
        <f>$K$21</f>
        <v>44926</v>
      </c>
      <c r="L102" s="40">
        <f>$L$21</f>
        <v>45291</v>
      </c>
      <c r="M102" s="40">
        <f>$M$21</f>
        <v>45657</v>
      </c>
      <c r="N102" s="40">
        <f>$N$21</f>
        <v>46022</v>
      </c>
      <c r="O102" s="40">
        <f>$O$21</f>
        <v>46387</v>
      </c>
      <c r="P102" s="40">
        <f>$P$21</f>
        <v>46752</v>
      </c>
      <c r="Q102" s="40">
        <f>$Q$21</f>
        <v>47118</v>
      </c>
      <c r="R102" s="40">
        <f>$R$21</f>
        <v>47483</v>
      </c>
      <c r="S102" s="40">
        <f>$S$21</f>
        <v>47848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5.75" customHeight="1" outlineLevel="1">
      <c r="A103" s="1"/>
      <c r="B103" s="1"/>
      <c r="C103" s="59"/>
      <c r="D103" s="1"/>
      <c r="E103" s="1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5.75" customHeight="1" outlineLevel="1">
      <c r="A104" s="1"/>
      <c r="B104" s="1"/>
      <c r="C104" s="59" t="s">
        <v>52</v>
      </c>
      <c r="D104" s="43" t="s">
        <v>20</v>
      </c>
      <c r="E104" s="1"/>
      <c r="F104" s="45"/>
      <c r="G104" s="45"/>
      <c r="H104" s="45"/>
      <c r="I104" s="45">
        <f>235760*13%</f>
        <v>30648.8</v>
      </c>
      <c r="J104" s="63">
        <f t="shared" ref="J104:S104" si="36">I104*0.98</f>
        <v>30035.824</v>
      </c>
      <c r="K104" s="63">
        <f t="shared" si="36"/>
        <v>29435.10752</v>
      </c>
      <c r="L104" s="63">
        <f t="shared" si="36"/>
        <v>28846.40537</v>
      </c>
      <c r="M104" s="63">
        <f t="shared" si="36"/>
        <v>28269.47726</v>
      </c>
      <c r="N104" s="63">
        <f t="shared" si="36"/>
        <v>27704.08772</v>
      </c>
      <c r="O104" s="63">
        <f t="shared" si="36"/>
        <v>27150.00596</v>
      </c>
      <c r="P104" s="63">
        <f t="shared" si="36"/>
        <v>26607.00584</v>
      </c>
      <c r="Q104" s="63">
        <f t="shared" si="36"/>
        <v>26074.86573</v>
      </c>
      <c r="R104" s="63">
        <f t="shared" si="36"/>
        <v>25553.36841</v>
      </c>
      <c r="S104" s="63">
        <f t="shared" si="36"/>
        <v>25042.30104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5.75" customHeight="1" outlineLevel="1">
      <c r="A105" s="1"/>
      <c r="B105" s="1"/>
      <c r="C105" s="59" t="s">
        <v>42</v>
      </c>
      <c r="D105" s="43" t="s">
        <v>20</v>
      </c>
      <c r="E105" s="1"/>
      <c r="F105" s="44"/>
      <c r="G105" s="45"/>
      <c r="H105" s="45"/>
      <c r="I105" s="45">
        <f>I115*Units/I113</f>
        <v>1705.283019</v>
      </c>
      <c r="J105" s="45">
        <f t="shared" ref="J105:S105" si="37">J104*J108</f>
        <v>3904.65712</v>
      </c>
      <c r="K105" s="45">
        <f t="shared" si="37"/>
        <v>5003.968278</v>
      </c>
      <c r="L105" s="45">
        <f t="shared" si="37"/>
        <v>6057.745128</v>
      </c>
      <c r="M105" s="45">
        <f t="shared" si="37"/>
        <v>7067.369316</v>
      </c>
      <c r="N105" s="45">
        <f t="shared" si="37"/>
        <v>8311.226315</v>
      </c>
      <c r="O105" s="45">
        <f t="shared" si="37"/>
        <v>7737.751699</v>
      </c>
      <c r="P105" s="45">
        <f t="shared" si="37"/>
        <v>7183.891578</v>
      </c>
      <c r="Q105" s="45">
        <f t="shared" si="37"/>
        <v>6649.09076</v>
      </c>
      <c r="R105" s="45">
        <f t="shared" si="37"/>
        <v>6132.808419</v>
      </c>
      <c r="S105" s="45">
        <f t="shared" si="37"/>
        <v>5759.72924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5.75" customHeight="1" outlineLevel="1">
      <c r="A106" s="1"/>
      <c r="B106" s="1"/>
      <c r="C106" s="46" t="s">
        <v>23</v>
      </c>
      <c r="D106" s="43" t="s">
        <v>24</v>
      </c>
      <c r="E106" s="1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5.75" customHeight="1" outlineLevel="1">
      <c r="A107" s="1"/>
      <c r="B107" s="1"/>
      <c r="C107" s="59"/>
      <c r="D107" s="1"/>
      <c r="E107" s="1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5.75" customHeight="1" outlineLevel="1">
      <c r="A108" s="1"/>
      <c r="B108" s="1"/>
      <c r="C108" s="42" t="s">
        <v>43</v>
      </c>
      <c r="D108" s="43" t="s">
        <v>24</v>
      </c>
      <c r="E108" s="1"/>
      <c r="F108" s="55"/>
      <c r="G108" s="55"/>
      <c r="H108" s="55"/>
      <c r="I108" s="55">
        <f>I105/I104</f>
        <v>0.055639471</v>
      </c>
      <c r="J108" s="48">
        <f t="array" ref="J108">INDEX(J109:J111,MATCH(Scenario,$C109:$C111,0),1)</f>
        <v>0.13</v>
      </c>
      <c r="K108" s="48">
        <f t="array" ref="K108">INDEX(K109:K111,MATCH(Scenario,$C109:$C111,0),1)</f>
        <v>0.17</v>
      </c>
      <c r="L108" s="48">
        <f t="array" ref="L108">INDEX(L109:L111,MATCH(Scenario,$C109:$C111,0),1)</f>
        <v>0.21</v>
      </c>
      <c r="M108" s="48">
        <f t="array" ref="M108">INDEX(M109:M111,MATCH(Scenario,$C109:$C111,0),1)</f>
        <v>0.25</v>
      </c>
      <c r="N108" s="48">
        <f t="array" ref="N108">INDEX(N109:N111,MATCH(Scenario,$C109:$C111,0),1)</f>
        <v>0.3</v>
      </c>
      <c r="O108" s="48">
        <f t="array" ref="O108">INDEX(O109:O111,MATCH(Scenario,$C109:$C111,0),1)</f>
        <v>0.285</v>
      </c>
      <c r="P108" s="48">
        <f t="array" ref="P108">INDEX(P109:P111,MATCH(Scenario,$C109:$C111,0),1)</f>
        <v>0.27</v>
      </c>
      <c r="Q108" s="48">
        <f t="array" ref="Q108">INDEX(Q109:Q111,MATCH(Scenario,$C109:$C111,0),1)</f>
        <v>0.255</v>
      </c>
      <c r="R108" s="48">
        <f t="array" ref="R108">INDEX(R109:R111,MATCH(Scenario,$C109:$C111,0),1)</f>
        <v>0.24</v>
      </c>
      <c r="S108" s="48">
        <f t="array" ref="S108">INDEX(S109:S111,MATCH(Scenario,$C109:$C111,0),1)</f>
        <v>0.23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5.75" customHeight="1" outlineLevel="1">
      <c r="A109" s="1"/>
      <c r="B109" s="1"/>
      <c r="C109" s="42" t="str">
        <f>$C$35</f>
        <v>Upside</v>
      </c>
      <c r="D109" s="43" t="s">
        <v>24</v>
      </c>
      <c r="E109" s="1"/>
      <c r="F109" s="44"/>
      <c r="G109" s="44"/>
      <c r="H109" s="44"/>
      <c r="I109" s="44"/>
      <c r="J109" s="57">
        <v>0.135</v>
      </c>
      <c r="K109" s="57">
        <v>0.2</v>
      </c>
      <c r="L109" s="57">
        <v>0.26</v>
      </c>
      <c r="M109" s="57">
        <v>0.33</v>
      </c>
      <c r="N109" s="57">
        <v>0.4</v>
      </c>
      <c r="O109" s="57">
        <v>0.38</v>
      </c>
      <c r="P109" s="57">
        <v>0.36</v>
      </c>
      <c r="Q109" s="57">
        <v>0.34</v>
      </c>
      <c r="R109" s="57">
        <v>0.325</v>
      </c>
      <c r="S109" s="57">
        <v>0.31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5.75" customHeight="1" outlineLevel="1">
      <c r="A110" s="1"/>
      <c r="B110" s="1"/>
      <c r="C110" s="42" t="str">
        <f>$C$36</f>
        <v>Base</v>
      </c>
      <c r="D110" s="43" t="s">
        <v>24</v>
      </c>
      <c r="E110" s="1"/>
      <c r="F110" s="44"/>
      <c r="G110" s="44"/>
      <c r="H110" s="44"/>
      <c r="I110" s="44"/>
      <c r="J110" s="57">
        <v>0.13</v>
      </c>
      <c r="K110" s="57">
        <v>0.17</v>
      </c>
      <c r="L110" s="57">
        <v>0.21</v>
      </c>
      <c r="M110" s="57">
        <v>0.25</v>
      </c>
      <c r="N110" s="57">
        <v>0.3</v>
      </c>
      <c r="O110" s="57">
        <v>0.285</v>
      </c>
      <c r="P110" s="57">
        <v>0.27</v>
      </c>
      <c r="Q110" s="57">
        <v>0.255</v>
      </c>
      <c r="R110" s="57">
        <v>0.24</v>
      </c>
      <c r="S110" s="57">
        <v>0.23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5.75" customHeight="1" outlineLevel="1">
      <c r="A111" s="1"/>
      <c r="B111" s="1"/>
      <c r="C111" s="42" t="str">
        <f>$C$37</f>
        <v>Downside</v>
      </c>
      <c r="D111" s="43" t="s">
        <v>24</v>
      </c>
      <c r="E111" s="1"/>
      <c r="F111" s="44"/>
      <c r="G111" s="44"/>
      <c r="H111" s="44"/>
      <c r="I111" s="44"/>
      <c r="J111" s="57">
        <v>0.13</v>
      </c>
      <c r="K111" s="57">
        <v>0.15</v>
      </c>
      <c r="L111" s="57">
        <v>0.17</v>
      </c>
      <c r="M111" s="57">
        <v>0.19</v>
      </c>
      <c r="N111" s="57">
        <v>0.2</v>
      </c>
      <c r="O111" s="57">
        <v>0.19</v>
      </c>
      <c r="P111" s="57">
        <v>0.18</v>
      </c>
      <c r="Q111" s="57">
        <v>0.17</v>
      </c>
      <c r="R111" s="57">
        <v>0.16</v>
      </c>
      <c r="S111" s="57">
        <v>0.15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5.75" customHeight="1" outlineLevel="1">
      <c r="A112" s="1"/>
      <c r="B112" s="1"/>
      <c r="C112" s="59"/>
      <c r="D112" s="1"/>
      <c r="E112" s="1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5.75" customHeight="1" outlineLevel="1">
      <c r="A113" s="1"/>
      <c r="B113" s="1"/>
      <c r="C113" s="42" t="s">
        <v>45</v>
      </c>
      <c r="D113" s="43" t="s">
        <v>30</v>
      </c>
      <c r="E113" s="1"/>
      <c r="F113" s="60"/>
      <c r="G113" s="60"/>
      <c r="H113" s="60"/>
      <c r="I113" s="60">
        <v>53000.0</v>
      </c>
      <c r="J113" s="64">
        <v>55000.0</v>
      </c>
      <c r="K113" s="64">
        <v>57000.0</v>
      </c>
      <c r="L113" s="64">
        <v>59000.0</v>
      </c>
      <c r="M113" s="64">
        <v>61000.0</v>
      </c>
      <c r="N113" s="64">
        <v>62000.0</v>
      </c>
      <c r="O113" s="64">
        <v>63000.0</v>
      </c>
      <c r="P113" s="64">
        <v>64000.0</v>
      </c>
      <c r="Q113" s="64">
        <v>65000.0</v>
      </c>
      <c r="R113" s="64">
        <v>66000.0</v>
      </c>
      <c r="S113" s="64">
        <v>67000.0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5.75" customHeight="1" outlineLevel="1">
      <c r="A114" s="1"/>
      <c r="B114" s="1"/>
      <c r="C114" s="42"/>
      <c r="D114" s="43"/>
      <c r="E114" s="1"/>
      <c r="F114" s="50"/>
      <c r="G114" s="50"/>
      <c r="H114" s="50"/>
      <c r="I114" s="50"/>
      <c r="J114" s="65"/>
      <c r="K114" s="50"/>
      <c r="L114" s="50"/>
      <c r="M114" s="50"/>
      <c r="N114" s="50"/>
      <c r="O114" s="50"/>
      <c r="P114" s="50"/>
      <c r="Q114" s="50"/>
      <c r="R114" s="50"/>
      <c r="S114" s="6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5.75" customHeight="1" outlineLevel="1">
      <c r="A115" s="1"/>
      <c r="B115" s="1"/>
      <c r="C115" s="42" t="s">
        <v>46</v>
      </c>
      <c r="D115" s="43" t="s">
        <v>35</v>
      </c>
      <c r="E115" s="9">
        <f t="shared" ref="E115:I115" si="38">E207</f>
        <v>0</v>
      </c>
      <c r="F115" s="53">
        <f t="shared" si="38"/>
        <v>0</v>
      </c>
      <c r="G115" s="53">
        <f t="shared" si="38"/>
        <v>0</v>
      </c>
      <c r="H115" s="53">
        <f t="shared" si="38"/>
        <v>0</v>
      </c>
      <c r="I115" s="53">
        <f t="shared" si="38"/>
        <v>90.38</v>
      </c>
      <c r="J115" s="53">
        <f>J105*J113/Units</f>
        <v>214.7561416</v>
      </c>
      <c r="K115" s="53">
        <f>K105*K113/Units</f>
        <v>285.2261919</v>
      </c>
      <c r="L115" s="53">
        <f>L105*L113/Units</f>
        <v>357.4069625</v>
      </c>
      <c r="M115" s="53">
        <f>M105*M113/Units</f>
        <v>431.1095282</v>
      </c>
      <c r="N115" s="53">
        <f>N105*N113/Units</f>
        <v>515.2960315</v>
      </c>
      <c r="O115" s="53">
        <f>O105*O113/Units</f>
        <v>487.4783571</v>
      </c>
      <c r="P115" s="53">
        <f>P105*P113/Units</f>
        <v>459.769061</v>
      </c>
      <c r="Q115" s="53">
        <f>Q105*Q113/Units</f>
        <v>432.1908994</v>
      </c>
      <c r="R115" s="53">
        <f>R105*R113/Units</f>
        <v>404.7653556</v>
      </c>
      <c r="S115" s="53">
        <f>S105*S113/Units</f>
        <v>385.9018591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ht="15.75" customHeight="1" outlineLevel="1">
      <c r="A116" s="1"/>
      <c r="B116" s="1"/>
      <c r="C116" s="46" t="s">
        <v>36</v>
      </c>
      <c r="D116" s="43" t="s">
        <v>24</v>
      </c>
      <c r="E116" s="1"/>
      <c r="F116" s="47"/>
      <c r="G116" s="47"/>
      <c r="H116" s="47"/>
      <c r="I116" s="47"/>
      <c r="J116" s="47">
        <f t="shared" ref="J116:S116" si="39">J115/I115-1</f>
        <v>1.376146732</v>
      </c>
      <c r="K116" s="47">
        <f t="shared" si="39"/>
        <v>0.3281398601</v>
      </c>
      <c r="L116" s="47">
        <f t="shared" si="39"/>
        <v>0.2530650155</v>
      </c>
      <c r="M116" s="47">
        <f t="shared" si="39"/>
        <v>0.2062146893</v>
      </c>
      <c r="N116" s="47">
        <f t="shared" si="39"/>
        <v>0.1952786885</v>
      </c>
      <c r="O116" s="47">
        <f t="shared" si="39"/>
        <v>-0.05398387097</v>
      </c>
      <c r="P116" s="47">
        <f t="shared" si="39"/>
        <v>-0.05684210526</v>
      </c>
      <c r="Q116" s="47">
        <f t="shared" si="39"/>
        <v>-0.05998263889</v>
      </c>
      <c r="R116" s="47">
        <f t="shared" si="39"/>
        <v>-0.06345701357</v>
      </c>
      <c r="S116" s="47">
        <f t="shared" si="39"/>
        <v>-0.04660353535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ht="15.75" customHeight="1" outlineLevel="1">
      <c r="A117" s="1"/>
      <c r="B117" s="1"/>
      <c r="C117" s="59"/>
      <c r="D117" s="1"/>
      <c r="E117" s="1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5.75" customHeight="1" outlineLevel="1">
      <c r="A118" s="1"/>
      <c r="B118" s="1"/>
      <c r="C118" s="59" t="s">
        <v>53</v>
      </c>
      <c r="D118" s="43" t="s">
        <v>35</v>
      </c>
      <c r="E118" s="9"/>
      <c r="F118" s="19"/>
      <c r="G118" s="19"/>
      <c r="H118" s="19"/>
      <c r="I118" s="19"/>
      <c r="J118" s="66">
        <v>100.0</v>
      </c>
      <c r="K118" s="66">
        <v>100.0</v>
      </c>
      <c r="L118" s="66">
        <v>100.0</v>
      </c>
      <c r="M118" s="66">
        <v>100.0</v>
      </c>
      <c r="N118" s="66">
        <v>100.0</v>
      </c>
      <c r="O118" s="66">
        <v>100.0</v>
      </c>
      <c r="P118" s="66">
        <v>0.0</v>
      </c>
      <c r="Q118" s="67">
        <f t="shared" ref="Q118:S118" si="40">P118</f>
        <v>0</v>
      </c>
      <c r="R118" s="67">
        <f t="shared" si="40"/>
        <v>0</v>
      </c>
      <c r="S118" s="67">
        <f t="shared" si="40"/>
        <v>0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5.75" customHeight="1" outlineLevel="1">
      <c r="A119" s="1"/>
      <c r="B119" s="1"/>
      <c r="C119" s="59" t="s">
        <v>54</v>
      </c>
      <c r="D119" s="43" t="s">
        <v>24</v>
      </c>
      <c r="E119" s="1"/>
      <c r="F119" s="44"/>
      <c r="G119" s="44"/>
      <c r="H119" s="44"/>
      <c r="I119" s="57">
        <v>0.23</v>
      </c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5.75" customHeight="1" outlineLevel="1">
      <c r="A120" s="1"/>
      <c r="B120" s="1"/>
      <c r="C120" s="59" t="s">
        <v>55</v>
      </c>
      <c r="D120" s="43" t="s">
        <v>35</v>
      </c>
      <c r="E120" s="9"/>
      <c r="F120" s="9"/>
      <c r="G120" s="9"/>
      <c r="H120" s="9"/>
      <c r="I120" s="9"/>
      <c r="J120" s="9">
        <f t="shared" ref="J120:S120" si="41">J115*$I$119</f>
        <v>49.39391257</v>
      </c>
      <c r="K120" s="9">
        <f t="shared" si="41"/>
        <v>65.60202413</v>
      </c>
      <c r="L120" s="9">
        <f t="shared" si="41"/>
        <v>82.20360138</v>
      </c>
      <c r="M120" s="9">
        <f t="shared" si="41"/>
        <v>99.1551915</v>
      </c>
      <c r="N120" s="9">
        <f t="shared" si="41"/>
        <v>118.5180873</v>
      </c>
      <c r="O120" s="9">
        <f t="shared" si="41"/>
        <v>112.1200221</v>
      </c>
      <c r="P120" s="9">
        <f t="shared" si="41"/>
        <v>105.746884</v>
      </c>
      <c r="Q120" s="9">
        <f t="shared" si="41"/>
        <v>99.40390687</v>
      </c>
      <c r="R120" s="9">
        <f t="shared" si="41"/>
        <v>93.0960318</v>
      </c>
      <c r="S120" s="9">
        <f t="shared" si="41"/>
        <v>88.75742759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5.75" customHeight="1">
      <c r="A121" s="1"/>
      <c r="B121" s="1"/>
      <c r="C121" s="1"/>
      <c r="D121" s="24"/>
      <c r="E121" s="24"/>
      <c r="F121" s="25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5.75" customHeight="1">
      <c r="A122" s="1"/>
      <c r="B122" s="1"/>
      <c r="C122" s="38" t="s">
        <v>56</v>
      </c>
      <c r="D122" s="39"/>
      <c r="E122" s="40">
        <f>$E$21</f>
        <v>42735</v>
      </c>
      <c r="F122" s="40">
        <f>$F$21</f>
        <v>43100</v>
      </c>
      <c r="G122" s="40">
        <f>$G$21</f>
        <v>43465</v>
      </c>
      <c r="H122" s="40">
        <f>$H$21</f>
        <v>43830</v>
      </c>
      <c r="I122" s="41">
        <f>$I$21</f>
        <v>44196</v>
      </c>
      <c r="J122" s="40">
        <f>$J$21</f>
        <v>44561</v>
      </c>
      <c r="K122" s="40">
        <f>$K$21</f>
        <v>44926</v>
      </c>
      <c r="L122" s="40">
        <f>$L$21</f>
        <v>45291</v>
      </c>
      <c r="M122" s="40">
        <f>$M$21</f>
        <v>45657</v>
      </c>
      <c r="N122" s="40">
        <f>$N$21</f>
        <v>46022</v>
      </c>
      <c r="O122" s="40">
        <f>$O$21</f>
        <v>46387</v>
      </c>
      <c r="P122" s="40">
        <f>$P$21</f>
        <v>46752</v>
      </c>
      <c r="Q122" s="40">
        <f>$Q$21</f>
        <v>47118</v>
      </c>
      <c r="R122" s="40">
        <f>$R$21</f>
        <v>47483</v>
      </c>
      <c r="S122" s="40">
        <f>$S$21</f>
        <v>47848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5.75" customHeight="1" outlineLevel="1">
      <c r="A123" s="1"/>
      <c r="B123" s="1"/>
      <c r="C123" s="59"/>
      <c r="D123" s="1"/>
      <c r="E123" s="1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5.75" customHeight="1" outlineLevel="1">
      <c r="A124" s="1"/>
      <c r="B124" s="1"/>
      <c r="C124" s="59" t="s">
        <v>57</v>
      </c>
      <c r="D124" s="43" t="s">
        <v>35</v>
      </c>
      <c r="E124" s="19">
        <v>108.952</v>
      </c>
      <c r="F124" s="19">
        <v>133.65</v>
      </c>
      <c r="G124" s="19">
        <v>149.448</v>
      </c>
      <c r="H124" s="19">
        <v>172.938</v>
      </c>
      <c r="I124" s="19">
        <v>195.842</v>
      </c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5.75" customHeight="1" outlineLevel="1">
      <c r="A125" s="1"/>
      <c r="B125" s="1"/>
      <c r="C125" s="59" t="s">
        <v>58</v>
      </c>
      <c r="D125" s="43" t="s">
        <v>35</v>
      </c>
      <c r="E125" s="19">
        <v>200.678</v>
      </c>
      <c r="F125" s="19">
        <v>197.34</v>
      </c>
      <c r="G125" s="19">
        <v>174.739</v>
      </c>
      <c r="H125" s="19">
        <v>177.465</v>
      </c>
      <c r="I125" s="19">
        <v>147.136</v>
      </c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5.75" customHeight="1" outlineLevel="1">
      <c r="A126" s="1"/>
      <c r="B126" s="1"/>
      <c r="C126" s="59" t="s">
        <v>59</v>
      </c>
      <c r="D126" s="43" t="s">
        <v>35</v>
      </c>
      <c r="E126" s="19">
        <v>0.0</v>
      </c>
      <c r="F126" s="19">
        <v>33.79</v>
      </c>
      <c r="G126" s="19">
        <v>100.835</v>
      </c>
      <c r="H126" s="19">
        <v>121.407</v>
      </c>
      <c r="I126" s="19">
        <v>121.105</v>
      </c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5.75" customHeight="1" outlineLevel="1">
      <c r="A127" s="1"/>
      <c r="B127" s="1"/>
      <c r="C127" s="59" t="s">
        <v>60</v>
      </c>
      <c r="D127" s="68" t="s">
        <v>35</v>
      </c>
      <c r="E127" s="9">
        <f>29.12+30.895+10.712</f>
        <v>70.727</v>
      </c>
      <c r="F127" s="9">
        <f>27.361+22.559+17.294</f>
        <v>67.214</v>
      </c>
      <c r="G127" s="9">
        <f>39.585+21.449</f>
        <v>61.034</v>
      </c>
      <c r="H127" s="9">
        <f>17.552+26.16</f>
        <v>43.712</v>
      </c>
      <c r="I127" s="9">
        <f>6.842+16.907</f>
        <v>23.749</v>
      </c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5.75" customHeight="1" outlineLevel="1">
      <c r="A128" s="1"/>
      <c r="B128" s="1"/>
      <c r="C128" s="69" t="s">
        <v>61</v>
      </c>
      <c r="D128" s="43" t="s">
        <v>35</v>
      </c>
      <c r="E128" s="70">
        <f t="shared" ref="E128:I128" si="42">SUM(E124:E127)</f>
        <v>380.357</v>
      </c>
      <c r="F128" s="70">
        <f t="shared" si="42"/>
        <v>431.994</v>
      </c>
      <c r="G128" s="70">
        <f t="shared" si="42"/>
        <v>486.056</v>
      </c>
      <c r="H128" s="70">
        <f t="shared" si="42"/>
        <v>515.522</v>
      </c>
      <c r="I128" s="70">
        <f t="shared" si="42"/>
        <v>487.832</v>
      </c>
      <c r="J128" s="70">
        <f t="shared" ref="J128:S128" si="43">I128*(1+J130)</f>
        <v>512.2236</v>
      </c>
      <c r="K128" s="70">
        <f t="shared" si="43"/>
        <v>537.83478</v>
      </c>
      <c r="L128" s="70">
        <f t="shared" si="43"/>
        <v>564.726519</v>
      </c>
      <c r="M128" s="70">
        <f t="shared" si="43"/>
        <v>587.3155798</v>
      </c>
      <c r="N128" s="70">
        <f t="shared" si="43"/>
        <v>610.808203</v>
      </c>
      <c r="O128" s="70">
        <f t="shared" si="43"/>
        <v>629.132449</v>
      </c>
      <c r="P128" s="70">
        <f t="shared" si="43"/>
        <v>648.0064225</v>
      </c>
      <c r="Q128" s="70">
        <f t="shared" si="43"/>
        <v>660.966551</v>
      </c>
      <c r="R128" s="70">
        <f t="shared" si="43"/>
        <v>674.185882</v>
      </c>
      <c r="S128" s="70">
        <f t="shared" si="43"/>
        <v>687.6695996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5.75" customHeight="1" outlineLevel="1">
      <c r="A129" s="1"/>
      <c r="B129" s="1"/>
      <c r="C129" s="59"/>
      <c r="D129" s="1"/>
      <c r="E129" s="1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5.75" customHeight="1" outlineLevel="1">
      <c r="A130" s="1"/>
      <c r="B130" s="1"/>
      <c r="C130" s="59" t="s">
        <v>62</v>
      </c>
      <c r="D130" s="71" t="s">
        <v>24</v>
      </c>
      <c r="E130" s="72"/>
      <c r="F130" s="24">
        <f t="shared" ref="F130:I130" si="44">F128/E128-1</f>
        <v>0.1357592998</v>
      </c>
      <c r="G130" s="24">
        <f t="shared" si="44"/>
        <v>0.1251452566</v>
      </c>
      <c r="H130" s="24">
        <f t="shared" si="44"/>
        <v>0.0606226443</v>
      </c>
      <c r="I130" s="24">
        <f t="shared" si="44"/>
        <v>-0.05371254767</v>
      </c>
      <c r="J130" s="22">
        <v>0.05</v>
      </c>
      <c r="K130" s="22">
        <v>0.05</v>
      </c>
      <c r="L130" s="22">
        <v>0.05</v>
      </c>
      <c r="M130" s="22">
        <v>0.04</v>
      </c>
      <c r="N130" s="22">
        <v>0.04</v>
      </c>
      <c r="O130" s="22">
        <v>0.03</v>
      </c>
      <c r="P130" s="22">
        <v>0.03</v>
      </c>
      <c r="Q130" s="22">
        <v>0.02</v>
      </c>
      <c r="R130" s="22">
        <v>0.02</v>
      </c>
      <c r="S130" s="22">
        <v>0.02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5.75" customHeight="1">
      <c r="A131" s="1"/>
      <c r="B131" s="1"/>
      <c r="C131" s="1"/>
      <c r="D131" s="24"/>
      <c r="E131" s="24"/>
      <c r="F131" s="25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5.75" customHeight="1">
      <c r="A132" s="1"/>
      <c r="B132" s="1"/>
      <c r="C132" s="38" t="s">
        <v>63</v>
      </c>
      <c r="D132" s="39"/>
      <c r="E132" s="40">
        <f>$E$21</f>
        <v>42735</v>
      </c>
      <c r="F132" s="40">
        <f>$F$21</f>
        <v>43100</v>
      </c>
      <c r="G132" s="40">
        <f>$G$21</f>
        <v>43465</v>
      </c>
      <c r="H132" s="40">
        <f>$H$21</f>
        <v>43830</v>
      </c>
      <c r="I132" s="41">
        <f>$I$21</f>
        <v>44196</v>
      </c>
      <c r="J132" s="40">
        <f>$J$21</f>
        <v>44561</v>
      </c>
      <c r="K132" s="40">
        <f>$K$21</f>
        <v>44926</v>
      </c>
      <c r="L132" s="40">
        <f>$L$21</f>
        <v>45291</v>
      </c>
      <c r="M132" s="40">
        <f>$M$21</f>
        <v>45657</v>
      </c>
      <c r="N132" s="40">
        <f>$N$21</f>
        <v>46022</v>
      </c>
      <c r="O132" s="40">
        <f>$O$21</f>
        <v>46387</v>
      </c>
      <c r="P132" s="40">
        <f>$P$21</f>
        <v>46752</v>
      </c>
      <c r="Q132" s="40">
        <f>$Q$21</f>
        <v>47118</v>
      </c>
      <c r="R132" s="40">
        <f>$R$21</f>
        <v>47483</v>
      </c>
      <c r="S132" s="40">
        <f>$S$21</f>
        <v>47848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5.75" customHeight="1" outlineLevel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5.75" customHeight="1" outlineLevel="1">
      <c r="A134" s="1"/>
      <c r="B134" s="1"/>
      <c r="C134" s="1" t="s">
        <v>64</v>
      </c>
      <c r="D134" s="43" t="s">
        <v>20</v>
      </c>
      <c r="E134" s="1"/>
      <c r="F134" s="1"/>
      <c r="G134" s="1"/>
      <c r="H134" s="1"/>
      <c r="I134" s="62">
        <v>7010000.0</v>
      </c>
      <c r="J134" s="73">
        <f>I134*(1+US_Pop_Growth_Rate)</f>
        <v>7045050</v>
      </c>
      <c r="K134" s="73">
        <f>J134*(1+US_Pop_Growth_Rate)</f>
        <v>7080275.25</v>
      </c>
      <c r="L134" s="73">
        <f>K134*(1+US_Pop_Growth_Rate)</f>
        <v>7115676.626</v>
      </c>
      <c r="M134" s="73">
        <f>L134*(1+US_Pop_Growth_Rate)</f>
        <v>7151255.009</v>
      </c>
      <c r="N134" s="73">
        <f>M134*(1+US_Pop_Growth_Rate)</f>
        <v>7187011.284</v>
      </c>
      <c r="O134" s="73">
        <f>N134*(1+US_Pop_Growth_Rate)</f>
        <v>7222946.341</v>
      </c>
      <c r="P134" s="73">
        <f>O134*(1+US_Pop_Growth_Rate)</f>
        <v>7259061.073</v>
      </c>
      <c r="Q134" s="73">
        <f>P134*(1+US_Pop_Growth_Rate)</f>
        <v>7295356.378</v>
      </c>
      <c r="R134" s="73">
        <f>Q134*(1+US_Pop_Growth_Rate)</f>
        <v>7331833.16</v>
      </c>
      <c r="S134" s="73">
        <f>R134*(1+US_Pop_Growth_Rate)</f>
        <v>7368492.326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5.75" customHeight="1" outlineLevel="1">
      <c r="A135" s="1"/>
      <c r="B135" s="1"/>
      <c r="C135" s="1" t="s">
        <v>65</v>
      </c>
      <c r="D135" s="43" t="s">
        <v>20</v>
      </c>
      <c r="E135" s="43"/>
      <c r="F135" s="1"/>
      <c r="G135" s="1"/>
      <c r="H135" s="1"/>
      <c r="I135" s="1"/>
      <c r="J135" s="73">
        <f t="shared" ref="J135:S135" si="45">J137*J134</f>
        <v>0</v>
      </c>
      <c r="K135" s="73">
        <f t="shared" si="45"/>
        <v>0</v>
      </c>
      <c r="L135" s="73">
        <f t="shared" si="45"/>
        <v>0</v>
      </c>
      <c r="M135" s="73">
        <f t="shared" si="45"/>
        <v>71512.55009</v>
      </c>
      <c r="N135" s="73">
        <f t="shared" si="45"/>
        <v>179675.2821</v>
      </c>
      <c r="O135" s="73">
        <f t="shared" si="45"/>
        <v>252803.1219</v>
      </c>
      <c r="P135" s="73">
        <f t="shared" si="45"/>
        <v>290362.4429</v>
      </c>
      <c r="Q135" s="73">
        <f t="shared" si="45"/>
        <v>291814.2551</v>
      </c>
      <c r="R135" s="73">
        <f t="shared" si="45"/>
        <v>293273.3264</v>
      </c>
      <c r="S135" s="73">
        <f t="shared" si="45"/>
        <v>294739.693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5.75" customHeight="1" outlineLevel="1">
      <c r="A136" s="1"/>
      <c r="B136" s="1"/>
      <c r="C136" s="1"/>
      <c r="D136" s="43"/>
      <c r="E136" s="43"/>
      <c r="F136" s="1"/>
      <c r="G136" s="1"/>
      <c r="H136" s="1"/>
      <c r="I136" s="1"/>
      <c r="J136" s="45"/>
      <c r="K136" s="48"/>
      <c r="L136" s="48"/>
      <c r="M136" s="48"/>
      <c r="N136" s="48"/>
      <c r="O136" s="48"/>
      <c r="P136" s="48"/>
      <c r="Q136" s="48"/>
      <c r="R136" s="48"/>
      <c r="S136" s="4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5.75" customHeight="1" outlineLevel="1">
      <c r="A137" s="1"/>
      <c r="B137" s="1"/>
      <c r="C137" s="1" t="s">
        <v>66</v>
      </c>
      <c r="D137" s="43" t="s">
        <v>24</v>
      </c>
      <c r="E137" s="43"/>
      <c r="F137" s="1"/>
      <c r="G137" s="1"/>
      <c r="H137" s="1"/>
      <c r="I137" s="1"/>
      <c r="J137" s="48">
        <f t="array" ref="J137">INDEX(J138:J140,MATCH(Scenario,$C138:$C140,0),1)</f>
        <v>0</v>
      </c>
      <c r="K137" s="48">
        <f t="array" ref="K137">INDEX(K138:K140,MATCH(Scenario,$C138:$C140,0),1)</f>
        <v>0</v>
      </c>
      <c r="L137" s="48">
        <f t="array" ref="L137">INDEX(L138:L140,MATCH(Scenario,$C138:$C140,0),1)</f>
        <v>0</v>
      </c>
      <c r="M137" s="48">
        <f t="array" ref="M137">INDEX(M138:M140,MATCH(Scenario,$C138:$C140,0),1)</f>
        <v>0.01</v>
      </c>
      <c r="N137" s="48">
        <f t="array" ref="N137">INDEX(N138:N140,MATCH(Scenario,$C138:$C140,0),1)</f>
        <v>0.025</v>
      </c>
      <c r="O137" s="48">
        <f t="array" ref="O137">INDEX(O138:O140,MATCH(Scenario,$C138:$C140,0),1)</f>
        <v>0.035</v>
      </c>
      <c r="P137" s="48">
        <f t="array" ref="P137">INDEX(P138:P140,MATCH(Scenario,$C138:$C140,0),1)</f>
        <v>0.04</v>
      </c>
      <c r="Q137" s="48">
        <f t="array" ref="Q137">INDEX(Q138:Q140,MATCH(Scenario,$C138:$C140,0),1)</f>
        <v>0.04</v>
      </c>
      <c r="R137" s="48">
        <f t="array" ref="R137">INDEX(R138:R140,MATCH(Scenario,$C138:$C140,0),1)</f>
        <v>0.04</v>
      </c>
      <c r="S137" s="48">
        <f t="array" ref="S137">INDEX(S138:S140,MATCH(Scenario,$C138:$C140,0),1)</f>
        <v>0.04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5.75" customHeight="1" outlineLevel="1">
      <c r="A138" s="1"/>
      <c r="B138" s="1"/>
      <c r="C138" s="42" t="str">
        <f>$C$35</f>
        <v>Upside</v>
      </c>
      <c r="D138" s="43" t="s">
        <v>24</v>
      </c>
      <c r="E138" s="43"/>
      <c r="F138" s="1"/>
      <c r="G138" s="1"/>
      <c r="H138" s="1"/>
      <c r="I138" s="1"/>
      <c r="J138" s="57">
        <v>0.0</v>
      </c>
      <c r="K138" s="57">
        <v>0.0</v>
      </c>
      <c r="L138" s="57">
        <v>0.01</v>
      </c>
      <c r="M138" s="57">
        <v>0.03</v>
      </c>
      <c r="N138" s="57">
        <v>0.05</v>
      </c>
      <c r="O138" s="57">
        <v>0.07</v>
      </c>
      <c r="P138" s="57">
        <v>0.08</v>
      </c>
      <c r="Q138" s="57">
        <v>0.08</v>
      </c>
      <c r="R138" s="57">
        <v>0.08</v>
      </c>
      <c r="S138" s="57">
        <v>0.08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5.75" customHeight="1" outlineLevel="1">
      <c r="A139" s="1"/>
      <c r="B139" s="1"/>
      <c r="C139" s="42" t="str">
        <f>$C$36</f>
        <v>Base</v>
      </c>
      <c r="D139" s="43" t="s">
        <v>24</v>
      </c>
      <c r="E139" s="43"/>
      <c r="F139" s="1"/>
      <c r="G139" s="1"/>
      <c r="H139" s="1"/>
      <c r="I139" s="1"/>
      <c r="J139" s="57">
        <v>0.0</v>
      </c>
      <c r="K139" s="57">
        <v>0.0</v>
      </c>
      <c r="L139" s="57">
        <v>0.0</v>
      </c>
      <c r="M139" s="57">
        <v>0.01</v>
      </c>
      <c r="N139" s="57">
        <v>0.025</v>
      </c>
      <c r="O139" s="57">
        <v>0.035</v>
      </c>
      <c r="P139" s="57">
        <v>0.04</v>
      </c>
      <c r="Q139" s="57">
        <v>0.04</v>
      </c>
      <c r="R139" s="57">
        <v>0.04</v>
      </c>
      <c r="S139" s="57">
        <v>0.04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5.75" customHeight="1" outlineLevel="1">
      <c r="A140" s="1"/>
      <c r="B140" s="1"/>
      <c r="C140" s="42" t="str">
        <f>$C$37</f>
        <v>Downside</v>
      </c>
      <c r="D140" s="43" t="s">
        <v>24</v>
      </c>
      <c r="E140" s="43"/>
      <c r="F140" s="1"/>
      <c r="G140" s="1"/>
      <c r="H140" s="1"/>
      <c r="I140" s="1"/>
      <c r="J140" s="57">
        <v>0.0</v>
      </c>
      <c r="K140" s="57">
        <v>0.0</v>
      </c>
      <c r="L140" s="57">
        <v>0.0</v>
      </c>
      <c r="M140" s="57">
        <v>0.0</v>
      </c>
      <c r="N140" s="57">
        <v>0.005</v>
      </c>
      <c r="O140" s="57">
        <v>0.015</v>
      </c>
      <c r="P140" s="57">
        <v>0.02</v>
      </c>
      <c r="Q140" s="57">
        <v>0.02</v>
      </c>
      <c r="R140" s="57">
        <v>0.02</v>
      </c>
      <c r="S140" s="57">
        <v>0.02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5.75" customHeight="1" outlineLevel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5.75" customHeight="1" outlineLevel="1">
      <c r="A142" s="1"/>
      <c r="B142" s="1"/>
      <c r="C142" s="1" t="s">
        <v>67</v>
      </c>
      <c r="D142" s="43" t="s">
        <v>30</v>
      </c>
      <c r="E142" s="43"/>
      <c r="F142" s="1"/>
      <c r="G142" s="1"/>
      <c r="H142" s="1"/>
      <c r="I142" s="1"/>
      <c r="J142" s="64">
        <v>1000.0</v>
      </c>
      <c r="K142" s="64">
        <v>1050.0</v>
      </c>
      <c r="L142" s="64">
        <v>1100.0</v>
      </c>
      <c r="M142" s="64">
        <v>1150.0</v>
      </c>
      <c r="N142" s="64">
        <v>1200.0</v>
      </c>
      <c r="O142" s="64">
        <v>1250.0</v>
      </c>
      <c r="P142" s="64">
        <v>1300.0</v>
      </c>
      <c r="Q142" s="64">
        <v>1350.0</v>
      </c>
      <c r="R142" s="64">
        <v>1350.0</v>
      </c>
      <c r="S142" s="64">
        <v>1350.0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ht="15.75" customHeight="1" outlineLevel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5.75" customHeight="1" outlineLevel="1">
      <c r="A144" s="1"/>
      <c r="B144" s="1"/>
      <c r="C144" s="1" t="s">
        <v>68</v>
      </c>
      <c r="D144" s="43" t="s">
        <v>35</v>
      </c>
      <c r="E144" s="43"/>
      <c r="F144" s="53"/>
      <c r="G144" s="53"/>
      <c r="H144" s="53"/>
      <c r="I144" s="53"/>
      <c r="J144" s="53">
        <f>J135*J142/Units</f>
        <v>0</v>
      </c>
      <c r="K144" s="53">
        <f>K135*K142/Units</f>
        <v>0</v>
      </c>
      <c r="L144" s="53">
        <f>L135*L142/Units</f>
        <v>0</v>
      </c>
      <c r="M144" s="53">
        <f>M135*M142/Units</f>
        <v>82.23943261</v>
      </c>
      <c r="N144" s="53">
        <f>N135*N142/Units</f>
        <v>215.6103385</v>
      </c>
      <c r="O144" s="53">
        <f>O135*O142/Units</f>
        <v>316.0039024</v>
      </c>
      <c r="P144" s="53">
        <f>P135*P142/Units</f>
        <v>377.4711758</v>
      </c>
      <c r="Q144" s="53">
        <f>Q135*Q142/Units</f>
        <v>393.9492444</v>
      </c>
      <c r="R144" s="53">
        <f>R135*R142/Units</f>
        <v>395.9189906</v>
      </c>
      <c r="S144" s="53">
        <f>S135*S142/Units</f>
        <v>397.8985856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5.75" customHeight="1" outlineLevel="1">
      <c r="A145" s="1"/>
      <c r="B145" s="1"/>
      <c r="C145" s="46" t="s">
        <v>36</v>
      </c>
      <c r="D145" s="43" t="s">
        <v>24</v>
      </c>
      <c r="E145" s="43"/>
      <c r="F145" s="47"/>
      <c r="G145" s="47"/>
      <c r="H145" s="47"/>
      <c r="I145" s="47"/>
      <c r="J145" s="47" t="str">
        <f t="shared" ref="J145:S145" si="46">IFERROR(J144/I144-1,"N/A")</f>
        <v>N/A</v>
      </c>
      <c r="K145" s="47" t="str">
        <f t="shared" si="46"/>
        <v>N/A</v>
      </c>
      <c r="L145" s="47" t="str">
        <f t="shared" si="46"/>
        <v>N/A</v>
      </c>
      <c r="M145" s="47" t="str">
        <f t="shared" si="46"/>
        <v>N/A</v>
      </c>
      <c r="N145" s="47">
        <f t="shared" si="46"/>
        <v>1.62173913</v>
      </c>
      <c r="O145" s="47">
        <f t="shared" si="46"/>
        <v>0.465625</v>
      </c>
      <c r="P145" s="47">
        <f t="shared" si="46"/>
        <v>0.1945142857</v>
      </c>
      <c r="Q145" s="47">
        <f t="shared" si="46"/>
        <v>0.04365384615</v>
      </c>
      <c r="R145" s="47">
        <f t="shared" si="46"/>
        <v>0.005</v>
      </c>
      <c r="S145" s="47">
        <f t="shared" si="46"/>
        <v>0.005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5.75" customHeight="1" outlineLevel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5.75" customHeight="1" outlineLevel="1">
      <c r="A147" s="1"/>
      <c r="B147" s="1"/>
      <c r="C147" s="6" t="s">
        <v>69</v>
      </c>
      <c r="D147" s="43" t="s">
        <v>35</v>
      </c>
      <c r="E147" s="43"/>
      <c r="F147" s="1"/>
      <c r="G147" s="1"/>
      <c r="H147" s="1"/>
      <c r="I147" s="1"/>
      <c r="J147" s="74">
        <f>J144*Phase_2_Risk_Adjustment</f>
        <v>0</v>
      </c>
      <c r="K147" s="74">
        <f>K144*Phase_2_Risk_Adjustment</f>
        <v>0</v>
      </c>
      <c r="L147" s="74">
        <f>L144*Phase_2_Risk_Adjustment</f>
        <v>0</v>
      </c>
      <c r="M147" s="74">
        <f>M144*Phase_2_Risk_Adjustment</f>
        <v>21.81063768</v>
      </c>
      <c r="N147" s="74">
        <f>N144*Phase_2_Risk_Adjustment</f>
        <v>57.18180227</v>
      </c>
      <c r="O147" s="74">
        <f>O144*Phase_2_Risk_Adjustment</f>
        <v>83.80707895</v>
      </c>
      <c r="P147" s="74">
        <f>P144*Phase_2_Risk_Adjustment</f>
        <v>100.1087531</v>
      </c>
      <c r="Q147" s="74">
        <f>Q144*Phase_2_Risk_Adjustment</f>
        <v>104.4788852</v>
      </c>
      <c r="R147" s="74">
        <f>R144*Phase_2_Risk_Adjustment</f>
        <v>105.0012796</v>
      </c>
      <c r="S147" s="74">
        <f>S144*Phase_2_Risk_Adjustment</f>
        <v>105.526286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ht="15.75" customHeight="1" outlineLevel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5.75" customHeight="1" outlineLevel="1">
      <c r="A149" s="1"/>
      <c r="B149" s="1"/>
      <c r="C149" s="1" t="s">
        <v>70</v>
      </c>
      <c r="D149" s="43" t="s">
        <v>20</v>
      </c>
      <c r="E149" s="1"/>
      <c r="F149" s="1"/>
      <c r="G149" s="1"/>
      <c r="H149" s="1"/>
      <c r="I149" s="62">
        <v>2000000.0</v>
      </c>
      <c r="J149" s="73">
        <f>I149*(1+US_Pop_Growth_Rate)</f>
        <v>2010000</v>
      </c>
      <c r="K149" s="73">
        <f>J149*(1+US_Pop_Growth_Rate)</f>
        <v>2020050</v>
      </c>
      <c r="L149" s="73">
        <f>K149*(1+US_Pop_Growth_Rate)</f>
        <v>2030150.25</v>
      </c>
      <c r="M149" s="73">
        <f>L149*(1+US_Pop_Growth_Rate)</f>
        <v>2040301.001</v>
      </c>
      <c r="N149" s="73">
        <f>M149*(1+US_Pop_Growth_Rate)</f>
        <v>2050502.506</v>
      </c>
      <c r="O149" s="73">
        <f>N149*(1+US_Pop_Growth_Rate)</f>
        <v>2060755.019</v>
      </c>
      <c r="P149" s="73">
        <f>O149*(1+US_Pop_Growth_Rate)</f>
        <v>2071058.794</v>
      </c>
      <c r="Q149" s="73">
        <f>P149*(1+US_Pop_Growth_Rate)</f>
        <v>2081414.088</v>
      </c>
      <c r="R149" s="73">
        <f>Q149*(1+US_Pop_Growth_Rate)</f>
        <v>2091821.158</v>
      </c>
      <c r="S149" s="73">
        <f>R149*(1+US_Pop_Growth_Rate)</f>
        <v>2102280.264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5.75" customHeight="1" outlineLevel="1">
      <c r="A150" s="1"/>
      <c r="B150" s="1"/>
      <c r="C150" s="1" t="s">
        <v>71</v>
      </c>
      <c r="D150" s="43" t="s">
        <v>20</v>
      </c>
      <c r="E150" s="1"/>
      <c r="F150" s="1"/>
      <c r="G150" s="1"/>
      <c r="H150" s="1"/>
      <c r="I150" s="1"/>
      <c r="J150" s="73">
        <f t="shared" ref="J150:S150" si="47">J152*J149</f>
        <v>0</v>
      </c>
      <c r="K150" s="73">
        <f t="shared" si="47"/>
        <v>0</v>
      </c>
      <c r="L150" s="73">
        <f t="shared" si="47"/>
        <v>0</v>
      </c>
      <c r="M150" s="73">
        <f t="shared" si="47"/>
        <v>0</v>
      </c>
      <c r="N150" s="73">
        <f t="shared" si="47"/>
        <v>41010.05013</v>
      </c>
      <c r="O150" s="73">
        <f t="shared" si="47"/>
        <v>103037.7509</v>
      </c>
      <c r="P150" s="73">
        <f t="shared" si="47"/>
        <v>310658.8191</v>
      </c>
      <c r="Q150" s="73">
        <f t="shared" si="47"/>
        <v>520353.522</v>
      </c>
      <c r="R150" s="73">
        <f t="shared" si="47"/>
        <v>522955.2896</v>
      </c>
      <c r="S150" s="73">
        <f t="shared" si="47"/>
        <v>525570.066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5.75" customHeight="1" outlineLevel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5.75" customHeight="1" outlineLevel="1">
      <c r="A152" s="1"/>
      <c r="B152" s="1"/>
      <c r="C152" s="1" t="s">
        <v>72</v>
      </c>
      <c r="D152" s="43" t="s">
        <v>24</v>
      </c>
      <c r="E152" s="1"/>
      <c r="F152" s="1"/>
      <c r="G152" s="1"/>
      <c r="H152" s="1"/>
      <c r="I152" s="1"/>
      <c r="J152" s="48">
        <f t="array" ref="J152">INDEX(J153:J155,MATCH(Scenario,$C153:$C155,0),1)</f>
        <v>0</v>
      </c>
      <c r="K152" s="48">
        <f t="array" ref="K152">INDEX(K153:K155,MATCH(Scenario,$C153:$C155,0),1)</f>
        <v>0</v>
      </c>
      <c r="L152" s="48">
        <f t="array" ref="L152">INDEX(L153:L155,MATCH(Scenario,$C153:$C155,0),1)</f>
        <v>0</v>
      </c>
      <c r="M152" s="48">
        <f t="array" ref="M152">INDEX(M153:M155,MATCH(Scenario,$C153:$C155,0),1)</f>
        <v>0</v>
      </c>
      <c r="N152" s="48">
        <f t="array" ref="N152">INDEX(N153:N155,MATCH(Scenario,$C153:$C155,0),1)</f>
        <v>0.02</v>
      </c>
      <c r="O152" s="48">
        <f t="array" ref="O152">INDEX(O153:O155,MATCH(Scenario,$C153:$C155,0),1)</f>
        <v>0.05</v>
      </c>
      <c r="P152" s="48">
        <f t="array" ref="P152">INDEX(P153:P155,MATCH(Scenario,$C153:$C155,0),1)</f>
        <v>0.15</v>
      </c>
      <c r="Q152" s="48">
        <f t="array" ref="Q152">INDEX(Q153:Q155,MATCH(Scenario,$C153:$C155,0),1)</f>
        <v>0.25</v>
      </c>
      <c r="R152" s="48">
        <f t="array" ref="R152">INDEX(R153:R155,MATCH(Scenario,$C153:$C155,0),1)</f>
        <v>0.25</v>
      </c>
      <c r="S152" s="48">
        <f t="array" ref="S152">INDEX(S153:S155,MATCH(Scenario,$C153:$C155,0),1)</f>
        <v>0.25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5.75" customHeight="1" outlineLevel="1">
      <c r="A153" s="1"/>
      <c r="B153" s="1"/>
      <c r="C153" s="42" t="str">
        <f>$C$35</f>
        <v>Upside</v>
      </c>
      <c r="D153" s="43" t="s">
        <v>24</v>
      </c>
      <c r="E153" s="1"/>
      <c r="F153" s="1"/>
      <c r="G153" s="1"/>
      <c r="H153" s="1"/>
      <c r="I153" s="1"/>
      <c r="J153" s="57">
        <v>0.0</v>
      </c>
      <c r="K153" s="57">
        <v>0.0</v>
      </c>
      <c r="L153" s="57">
        <v>0.0</v>
      </c>
      <c r="M153" s="57">
        <v>0.03</v>
      </c>
      <c r="N153" s="57">
        <v>0.07</v>
      </c>
      <c r="O153" s="57">
        <v>0.12</v>
      </c>
      <c r="P153" s="57">
        <v>0.25</v>
      </c>
      <c r="Q153" s="57">
        <v>0.35</v>
      </c>
      <c r="R153" s="57">
        <v>0.35</v>
      </c>
      <c r="S153" s="57">
        <v>0.35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5.75" customHeight="1" outlineLevel="1">
      <c r="A154" s="1"/>
      <c r="B154" s="1"/>
      <c r="C154" s="42" t="str">
        <f>$C$36</f>
        <v>Base</v>
      </c>
      <c r="D154" s="43" t="s">
        <v>24</v>
      </c>
      <c r="E154" s="1"/>
      <c r="F154" s="1"/>
      <c r="G154" s="1"/>
      <c r="H154" s="1"/>
      <c r="I154" s="1"/>
      <c r="J154" s="57">
        <v>0.0</v>
      </c>
      <c r="K154" s="57">
        <v>0.0</v>
      </c>
      <c r="L154" s="57">
        <v>0.0</v>
      </c>
      <c r="M154" s="57">
        <v>0.0</v>
      </c>
      <c r="N154" s="57">
        <v>0.02</v>
      </c>
      <c r="O154" s="57">
        <v>0.05</v>
      </c>
      <c r="P154" s="57">
        <v>0.15</v>
      </c>
      <c r="Q154" s="57">
        <v>0.25</v>
      </c>
      <c r="R154" s="57">
        <v>0.25</v>
      </c>
      <c r="S154" s="57">
        <v>0.25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5.75" customHeight="1" outlineLevel="1">
      <c r="A155" s="1"/>
      <c r="B155" s="1"/>
      <c r="C155" s="42" t="str">
        <f>$C$37</f>
        <v>Downside</v>
      </c>
      <c r="D155" s="43" t="s">
        <v>24</v>
      </c>
      <c r="E155" s="1"/>
      <c r="F155" s="1"/>
      <c r="G155" s="1"/>
      <c r="H155" s="1"/>
      <c r="I155" s="1"/>
      <c r="J155" s="57">
        <v>0.0</v>
      </c>
      <c r="K155" s="57">
        <v>0.0</v>
      </c>
      <c r="L155" s="57">
        <v>0.0</v>
      </c>
      <c r="M155" s="57">
        <v>0.0</v>
      </c>
      <c r="N155" s="57">
        <v>0.0</v>
      </c>
      <c r="O155" s="57">
        <v>0.02</v>
      </c>
      <c r="P155" s="57">
        <v>0.04</v>
      </c>
      <c r="Q155" s="57">
        <v>0.12</v>
      </c>
      <c r="R155" s="57">
        <v>0.18</v>
      </c>
      <c r="S155" s="57">
        <v>0.18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5.75" customHeight="1" outlineLevel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5.75" customHeight="1" outlineLevel="1">
      <c r="A157" s="1"/>
      <c r="B157" s="1"/>
      <c r="C157" s="1" t="s">
        <v>73</v>
      </c>
      <c r="D157" s="43" t="s">
        <v>30</v>
      </c>
      <c r="E157" s="1"/>
      <c r="F157" s="1"/>
      <c r="G157" s="1"/>
      <c r="H157" s="1"/>
      <c r="I157" s="1"/>
      <c r="J157" s="64">
        <v>1000.0</v>
      </c>
      <c r="K157" s="64">
        <v>1050.0</v>
      </c>
      <c r="L157" s="64">
        <v>1100.0</v>
      </c>
      <c r="M157" s="64">
        <v>1150.0</v>
      </c>
      <c r="N157" s="64">
        <v>1200.0</v>
      </c>
      <c r="O157" s="64">
        <v>1250.0</v>
      </c>
      <c r="P157" s="64">
        <v>1300.0</v>
      </c>
      <c r="Q157" s="64">
        <v>1350.0</v>
      </c>
      <c r="R157" s="64">
        <v>1350.0</v>
      </c>
      <c r="S157" s="64">
        <v>1350.0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5.75" customHeight="1" outlineLevel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5.75" customHeight="1" outlineLevel="1">
      <c r="A159" s="1"/>
      <c r="B159" s="1"/>
      <c r="C159" s="1" t="s">
        <v>74</v>
      </c>
      <c r="D159" s="43" t="s">
        <v>35</v>
      </c>
      <c r="E159" s="1"/>
      <c r="F159" s="1"/>
      <c r="G159" s="1"/>
      <c r="H159" s="1"/>
      <c r="I159" s="1"/>
      <c r="J159" s="53">
        <f>J150*J157/Units</f>
        <v>0</v>
      </c>
      <c r="K159" s="53">
        <f>K150*K157/Units</f>
        <v>0</v>
      </c>
      <c r="L159" s="53">
        <f>L150*L157/Units</f>
        <v>0</v>
      </c>
      <c r="M159" s="53">
        <f>M150*M157/Units</f>
        <v>0</v>
      </c>
      <c r="N159" s="53">
        <f>N150*N157/Units</f>
        <v>49.21206015</v>
      </c>
      <c r="O159" s="53">
        <f>O150*O157/Units</f>
        <v>128.7971887</v>
      </c>
      <c r="P159" s="53">
        <f>P150*P157/Units</f>
        <v>403.8564648</v>
      </c>
      <c r="Q159" s="53">
        <f>Q150*Q157/Units</f>
        <v>702.4772546</v>
      </c>
      <c r="R159" s="53">
        <f>R150*R157/Units</f>
        <v>705.9896409</v>
      </c>
      <c r="S159" s="53">
        <f>S150*S157/Units</f>
        <v>709.5195891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5.75" customHeight="1" outlineLevel="1">
      <c r="A160" s="1"/>
      <c r="B160" s="1"/>
      <c r="C160" s="46" t="s">
        <v>36</v>
      </c>
      <c r="D160" s="43" t="s">
        <v>24</v>
      </c>
      <c r="E160" s="1"/>
      <c r="F160" s="1"/>
      <c r="G160" s="1"/>
      <c r="H160" s="1"/>
      <c r="I160" s="1"/>
      <c r="J160" s="47" t="str">
        <f t="shared" ref="J160:S160" si="48">IFERROR(J159/I159-1,"N/A")</f>
        <v>N/A</v>
      </c>
      <c r="K160" s="47" t="str">
        <f t="shared" si="48"/>
        <v>N/A</v>
      </c>
      <c r="L160" s="47" t="str">
        <f t="shared" si="48"/>
        <v>N/A</v>
      </c>
      <c r="M160" s="47" t="str">
        <f t="shared" si="48"/>
        <v>N/A</v>
      </c>
      <c r="N160" s="47" t="str">
        <f t="shared" si="48"/>
        <v>N/A</v>
      </c>
      <c r="O160" s="47">
        <f t="shared" si="48"/>
        <v>1.6171875</v>
      </c>
      <c r="P160" s="47">
        <f t="shared" si="48"/>
        <v>2.1356</v>
      </c>
      <c r="Q160" s="47">
        <f t="shared" si="48"/>
        <v>0.7394230769</v>
      </c>
      <c r="R160" s="47">
        <f t="shared" si="48"/>
        <v>0.005</v>
      </c>
      <c r="S160" s="47">
        <f t="shared" si="48"/>
        <v>0.005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5.75" customHeight="1" outlineLevel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5.75" customHeight="1" outlineLevel="1">
      <c r="A162" s="1"/>
      <c r="B162" s="1"/>
      <c r="C162" s="6" t="s">
        <v>75</v>
      </c>
      <c r="D162" s="43" t="s">
        <v>35</v>
      </c>
      <c r="E162" s="1"/>
      <c r="F162" s="1"/>
      <c r="G162" s="1"/>
      <c r="H162" s="1"/>
      <c r="I162" s="1"/>
      <c r="J162" s="74">
        <f>J159*Phase_2_Risk_Adjustment</f>
        <v>0</v>
      </c>
      <c r="K162" s="74">
        <f>K159*Phase_2_Risk_Adjustment</f>
        <v>0</v>
      </c>
      <c r="L162" s="74">
        <f>L159*Phase_2_Risk_Adjustment</f>
        <v>0</v>
      </c>
      <c r="M162" s="74">
        <f>M159*Phase_2_Risk_Adjustment</f>
        <v>0</v>
      </c>
      <c r="N162" s="74">
        <f>N159*Phase_2_Risk_Adjustment</f>
        <v>13.05148126</v>
      </c>
      <c r="O162" s="74">
        <f>O159*Phase_2_Risk_Adjustment</f>
        <v>34.15817361</v>
      </c>
      <c r="P162" s="74">
        <f>P159*Phase_2_Risk_Adjustment</f>
        <v>107.1063692</v>
      </c>
      <c r="Q162" s="74">
        <f>Q159*Phase_2_Risk_Adjustment</f>
        <v>186.3032902</v>
      </c>
      <c r="R162" s="74">
        <f>R159*Phase_2_Risk_Adjustment</f>
        <v>187.2348067</v>
      </c>
      <c r="S162" s="74">
        <f>S159*Phase_2_Risk_Adjustment</f>
        <v>188.1709807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5.75" customHeight="1">
      <c r="A163" s="1"/>
      <c r="B163" s="1"/>
      <c r="C163" s="1"/>
      <c r="D163" s="24"/>
      <c r="E163" s="24"/>
      <c r="F163" s="25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5.75" customHeight="1">
      <c r="A164" s="1"/>
      <c r="B164" s="29"/>
      <c r="C164" s="29"/>
      <c r="D164" s="30"/>
      <c r="E164" s="31" t="str">
        <f>$E$198</f>
        <v>Historical</v>
      </c>
      <c r="F164" s="32"/>
      <c r="G164" s="32"/>
      <c r="H164" s="32"/>
      <c r="I164" s="33"/>
      <c r="J164" s="31" t="str">
        <f>$J$198</f>
        <v>Projected</v>
      </c>
      <c r="K164" s="32"/>
      <c r="L164" s="32"/>
      <c r="M164" s="32"/>
      <c r="N164" s="32"/>
      <c r="O164" s="32"/>
      <c r="P164" s="32"/>
      <c r="Q164" s="32"/>
      <c r="R164" s="32"/>
      <c r="S164" s="32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5.75" customHeight="1">
      <c r="A165" s="1"/>
      <c r="B165" s="34" t="s">
        <v>76</v>
      </c>
      <c r="C165" s="34"/>
      <c r="D165" s="35" t="str">
        <f>$D$199</f>
        <v>Units:</v>
      </c>
      <c r="E165" s="36">
        <f>$E$199</f>
        <v>42735</v>
      </c>
      <c r="F165" s="36">
        <f>$F$199</f>
        <v>43100</v>
      </c>
      <c r="G165" s="36">
        <f>$G$199</f>
        <v>43465</v>
      </c>
      <c r="H165" s="36">
        <f>$H$199</f>
        <v>43830</v>
      </c>
      <c r="I165" s="37">
        <f>$I$199</f>
        <v>44196</v>
      </c>
      <c r="J165" s="36">
        <f>$J$199</f>
        <v>44561</v>
      </c>
      <c r="K165" s="36">
        <f>$K$199</f>
        <v>44926</v>
      </c>
      <c r="L165" s="36">
        <f>$L$199</f>
        <v>45291</v>
      </c>
      <c r="M165" s="36">
        <f>$M$199</f>
        <v>45657</v>
      </c>
      <c r="N165" s="36">
        <f>$N$199</f>
        <v>46022</v>
      </c>
      <c r="O165" s="36">
        <f>$O$199</f>
        <v>46387</v>
      </c>
      <c r="P165" s="36">
        <f>$P$199</f>
        <v>46752</v>
      </c>
      <c r="Q165" s="36">
        <f>$Q$199</f>
        <v>47118</v>
      </c>
      <c r="R165" s="36">
        <f>$R$199</f>
        <v>47483</v>
      </c>
      <c r="S165" s="36">
        <f>$S$199</f>
        <v>47848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5.75" customHeight="1" outlineLevel="1">
      <c r="A166" s="1"/>
      <c r="B166" s="6"/>
      <c r="C166" s="6"/>
      <c r="D166" s="75"/>
      <c r="E166" s="75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5.75" customHeight="1" outlineLevel="1">
      <c r="A167" s="1"/>
      <c r="B167" s="1"/>
      <c r="C167" s="59" t="s">
        <v>77</v>
      </c>
      <c r="D167" s="43" t="s">
        <v>24</v>
      </c>
      <c r="E167" s="77">
        <f t="shared" ref="E167:I167" si="49">-E215/E212</f>
        <v>0.07082520987</v>
      </c>
      <c r="F167" s="77">
        <f t="shared" si="49"/>
        <v>0.06807220393</v>
      </c>
      <c r="G167" s="77">
        <f t="shared" si="49"/>
        <v>0.0642776381</v>
      </c>
      <c r="H167" s="77">
        <f t="shared" si="49"/>
        <v>0.05917860485</v>
      </c>
      <c r="I167" s="77">
        <f t="shared" si="49"/>
        <v>0.06300519511</v>
      </c>
      <c r="J167" s="28">
        <f>AVERAGE(E167:I167)</f>
        <v>0.06507177037</v>
      </c>
      <c r="K167" s="28">
        <f t="shared" ref="K167:S167" si="50">J167</f>
        <v>0.06507177037</v>
      </c>
      <c r="L167" s="28">
        <f t="shared" si="50"/>
        <v>0.06507177037</v>
      </c>
      <c r="M167" s="28">
        <f t="shared" si="50"/>
        <v>0.06507177037</v>
      </c>
      <c r="N167" s="28">
        <f t="shared" si="50"/>
        <v>0.06507177037</v>
      </c>
      <c r="O167" s="28">
        <f t="shared" si="50"/>
        <v>0.06507177037</v>
      </c>
      <c r="P167" s="28">
        <f t="shared" si="50"/>
        <v>0.06507177037</v>
      </c>
      <c r="Q167" s="28">
        <f t="shared" si="50"/>
        <v>0.06507177037</v>
      </c>
      <c r="R167" s="28">
        <f t="shared" si="50"/>
        <v>0.06507177037</v>
      </c>
      <c r="S167" s="28">
        <f t="shared" si="50"/>
        <v>0.06507177037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5.75" customHeight="1" outlineLevel="1">
      <c r="A168" s="1"/>
      <c r="B168" s="1"/>
      <c r="C168" s="59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5.75" customHeight="1" outlineLevel="1">
      <c r="A169" s="1"/>
      <c r="B169" s="1"/>
      <c r="C169" s="59" t="s">
        <v>78</v>
      </c>
      <c r="D169" s="43" t="s">
        <v>79</v>
      </c>
      <c r="E169" s="78">
        <v>1040.0</v>
      </c>
      <c r="F169" s="78">
        <v>1210.0</v>
      </c>
      <c r="G169" s="78">
        <v>1360.0</v>
      </c>
      <c r="H169" s="78">
        <v>1620.0</v>
      </c>
      <c r="I169" s="78">
        <v>1940.0</v>
      </c>
      <c r="J169" s="79">
        <f t="shared" ref="J169:S169" si="51">J212/J170</f>
        <v>2734.634631</v>
      </c>
      <c r="K169" s="79">
        <f t="shared" si="51"/>
        <v>3280.626085</v>
      </c>
      <c r="L169" s="79">
        <f t="shared" si="51"/>
        <v>3762.610017</v>
      </c>
      <c r="M169" s="79">
        <f t="shared" si="51"/>
        <v>3280.390478</v>
      </c>
      <c r="N169" s="79">
        <f t="shared" si="51"/>
        <v>3639.545942</v>
      </c>
      <c r="O169" s="79">
        <f t="shared" si="51"/>
        <v>3675.30148</v>
      </c>
      <c r="P169" s="79">
        <f t="shared" si="51"/>
        <v>3842.110927</v>
      </c>
      <c r="Q169" s="79">
        <f t="shared" si="51"/>
        <v>3222.491235</v>
      </c>
      <c r="R169" s="79">
        <f t="shared" si="51"/>
        <v>3075.878804</v>
      </c>
      <c r="S169" s="79">
        <f t="shared" si="51"/>
        <v>2998.470871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5.75" customHeight="1" outlineLevel="1">
      <c r="A170" s="1"/>
      <c r="B170" s="1"/>
      <c r="C170" s="59" t="s">
        <v>80</v>
      </c>
      <c r="D170" s="43" t="s">
        <v>81</v>
      </c>
      <c r="E170" s="80">
        <f t="shared" ref="E170:I170" si="52">E212/E169</f>
        <v>1.430743269</v>
      </c>
      <c r="F170" s="80">
        <f t="shared" si="52"/>
        <v>1.33776281</v>
      </c>
      <c r="G170" s="80">
        <f t="shared" si="52"/>
        <v>1.390383824</v>
      </c>
      <c r="H170" s="80">
        <f t="shared" si="52"/>
        <v>1.33442037</v>
      </c>
      <c r="I170" s="80">
        <f t="shared" si="52"/>
        <v>1.218333505</v>
      </c>
      <c r="J170" s="81">
        <v>1.2</v>
      </c>
      <c r="K170" s="81">
        <v>1.18</v>
      </c>
      <c r="L170" s="81">
        <v>1.16</v>
      </c>
      <c r="M170" s="81">
        <v>1.2</v>
      </c>
      <c r="N170" s="81">
        <v>1.23</v>
      </c>
      <c r="O170" s="81">
        <v>1.25</v>
      </c>
      <c r="P170" s="81">
        <v>1.26</v>
      </c>
      <c r="Q170" s="81">
        <v>1.26</v>
      </c>
      <c r="R170" s="81">
        <v>1.26</v>
      </c>
      <c r="S170" s="81">
        <v>1.26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5.75" customHeight="1" outlineLevel="1">
      <c r="A171" s="1"/>
      <c r="B171" s="1"/>
      <c r="C171" s="59"/>
      <c r="D171" s="2"/>
      <c r="E171" s="2"/>
      <c r="F171" s="2"/>
      <c r="G171" s="2"/>
      <c r="H171" s="1"/>
      <c r="I171" s="8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5.75" customHeight="1" outlineLevel="1">
      <c r="A172" s="1"/>
      <c r="B172" s="1"/>
      <c r="C172" s="59" t="s">
        <v>82</v>
      </c>
      <c r="D172" s="43" t="s">
        <v>81</v>
      </c>
      <c r="E172" s="80">
        <f t="shared" ref="E172:I172" si="53">-E222/E169</f>
        <v>0.6396048077</v>
      </c>
      <c r="F172" s="80">
        <f t="shared" si="53"/>
        <v>0.6137173554</v>
      </c>
      <c r="G172" s="80">
        <f t="shared" si="53"/>
        <v>0.669225</v>
      </c>
      <c r="H172" s="80">
        <f t="shared" si="53"/>
        <v>0.6399185185</v>
      </c>
      <c r="I172" s="80">
        <f t="shared" si="53"/>
        <v>0.6132</v>
      </c>
      <c r="J172" s="80">
        <f t="shared" ref="J172:S172" si="54">I172*(1+J173)</f>
        <v>0.588672</v>
      </c>
      <c r="K172" s="80">
        <f t="shared" si="54"/>
        <v>0.57101184</v>
      </c>
      <c r="L172" s="80">
        <f t="shared" si="54"/>
        <v>0.5653017216</v>
      </c>
      <c r="M172" s="80">
        <f t="shared" si="54"/>
        <v>0.5879137905</v>
      </c>
      <c r="N172" s="80">
        <f t="shared" si="54"/>
        <v>0.6114303421</v>
      </c>
      <c r="O172" s="80">
        <f t="shared" si="54"/>
        <v>0.6297732523</v>
      </c>
      <c r="P172" s="80">
        <f t="shared" si="54"/>
        <v>0.6423687174</v>
      </c>
      <c r="Q172" s="80">
        <f t="shared" si="54"/>
        <v>0.6552160917</v>
      </c>
      <c r="R172" s="80">
        <f t="shared" si="54"/>
        <v>0.6617682527</v>
      </c>
      <c r="S172" s="80">
        <f t="shared" si="54"/>
        <v>0.6683859352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5.75" customHeight="1" outlineLevel="1">
      <c r="A173" s="1"/>
      <c r="B173" s="1"/>
      <c r="C173" s="59" t="s">
        <v>83</v>
      </c>
      <c r="D173" s="71" t="s">
        <v>24</v>
      </c>
      <c r="E173" s="71"/>
      <c r="F173" s="82">
        <f t="shared" ref="F173:I173" si="55">F172/E172-1</f>
        <v>-0.04047413654</v>
      </c>
      <c r="G173" s="82">
        <f t="shared" si="55"/>
        <v>0.09044496484</v>
      </c>
      <c r="H173" s="82">
        <f t="shared" si="55"/>
        <v>-0.04379167168</v>
      </c>
      <c r="I173" s="82">
        <f t="shared" si="55"/>
        <v>-0.04175300096</v>
      </c>
      <c r="J173" s="22">
        <v>-0.04</v>
      </c>
      <c r="K173" s="22">
        <v>-0.03</v>
      </c>
      <c r="L173" s="22">
        <v>-0.01</v>
      </c>
      <c r="M173" s="22">
        <v>0.04</v>
      </c>
      <c r="N173" s="22">
        <v>0.04</v>
      </c>
      <c r="O173" s="22">
        <v>0.03</v>
      </c>
      <c r="P173" s="22">
        <v>0.02</v>
      </c>
      <c r="Q173" s="22">
        <v>0.02</v>
      </c>
      <c r="R173" s="22">
        <v>0.01</v>
      </c>
      <c r="S173" s="22">
        <v>0.01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5.75" customHeight="1" outlineLevel="1">
      <c r="A174" s="1"/>
      <c r="B174" s="1"/>
      <c r="C174" s="59"/>
      <c r="D174" s="1"/>
      <c r="E174" s="1"/>
      <c r="F174" s="83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5.75" customHeight="1" outlineLevel="1">
      <c r="A175" s="1"/>
      <c r="B175" s="1"/>
      <c r="C175" s="59" t="s">
        <v>84</v>
      </c>
      <c r="D175" s="43" t="s">
        <v>35</v>
      </c>
      <c r="E175" s="9">
        <f t="shared" ref="E175:I175" si="56">E234</f>
        <v>101.994</v>
      </c>
      <c r="F175" s="9">
        <f t="shared" si="56"/>
        <v>152.065</v>
      </c>
      <c r="G175" s="9">
        <f t="shared" si="56"/>
        <v>201.498</v>
      </c>
      <c r="H175" s="9">
        <f t="shared" si="56"/>
        <v>354.814</v>
      </c>
      <c r="I175" s="9">
        <f t="shared" si="56"/>
        <v>259.58</v>
      </c>
      <c r="J175" s="85">
        <f>208.672+318.335</f>
        <v>527.007</v>
      </c>
      <c r="K175" s="86">
        <v>636.67</v>
      </c>
      <c r="L175" s="86">
        <v>636.67</v>
      </c>
      <c r="M175" s="86">
        <v>636.67</v>
      </c>
      <c r="N175" s="86">
        <v>636.67</v>
      </c>
      <c r="O175" s="85">
        <f t="shared" ref="O175:S175" si="57">N175</f>
        <v>636.67</v>
      </c>
      <c r="P175" s="85">
        <f t="shared" si="57"/>
        <v>636.67</v>
      </c>
      <c r="Q175" s="85">
        <f t="shared" si="57"/>
        <v>636.67</v>
      </c>
      <c r="R175" s="85">
        <f t="shared" si="57"/>
        <v>636.67</v>
      </c>
      <c r="S175" s="85">
        <f t="shared" si="57"/>
        <v>636.67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5.75" customHeight="1" outlineLevel="1">
      <c r="A176" s="1"/>
      <c r="B176" s="1"/>
      <c r="C176" s="59" t="s">
        <v>85</v>
      </c>
      <c r="D176" s="43" t="s">
        <v>86</v>
      </c>
      <c r="E176" s="2"/>
      <c r="F176" s="2"/>
      <c r="G176" s="2"/>
      <c r="H176" s="1"/>
      <c r="I176" s="87">
        <v>10.0</v>
      </c>
      <c r="J176" s="88"/>
      <c r="K176" s="89"/>
      <c r="L176" s="89"/>
      <c r="M176" s="89"/>
      <c r="N176" s="89"/>
      <c r="O176" s="88"/>
      <c r="P176" s="88"/>
      <c r="Q176" s="88"/>
      <c r="R176" s="88"/>
      <c r="S176" s="88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5.75" customHeight="1" outlineLevel="1">
      <c r="A177" s="1"/>
      <c r="B177" s="1"/>
      <c r="C177" s="59" t="s">
        <v>87</v>
      </c>
      <c r="D177" s="43" t="s">
        <v>35</v>
      </c>
      <c r="E177" s="2"/>
      <c r="F177" s="2"/>
      <c r="G177" s="2"/>
      <c r="H177" s="1"/>
      <c r="I177" s="1"/>
      <c r="J177" s="9"/>
      <c r="K177" s="9">
        <f t="shared" ref="K177:S177" si="58">-(SUM($J246:J246)+SUM($J249:J249))/$I$176</f>
        <v>26.05405163</v>
      </c>
      <c r="L177" s="9">
        <f t="shared" si="58"/>
        <v>54.99243226</v>
      </c>
      <c r="M177" s="9">
        <f t="shared" si="58"/>
        <v>86.34505842</v>
      </c>
      <c r="N177" s="9">
        <f t="shared" si="58"/>
        <v>115.6030454</v>
      </c>
      <c r="O177" s="9">
        <f t="shared" si="58"/>
        <v>147.5036658</v>
      </c>
      <c r="P177" s="9">
        <f t="shared" si="58"/>
        <v>179.9790478</v>
      </c>
      <c r="Q177" s="9">
        <f t="shared" si="58"/>
        <v>203.6624748</v>
      </c>
      <c r="R177" s="9">
        <f t="shared" si="58"/>
        <v>223.5264603</v>
      </c>
      <c r="S177" s="9">
        <f t="shared" si="58"/>
        <v>242.4867017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5.75" customHeight="1" outlineLevel="1">
      <c r="A178" s="1"/>
      <c r="B178" s="1"/>
      <c r="C178" s="59"/>
      <c r="D178" s="2"/>
      <c r="E178" s="2"/>
      <c r="F178" s="2"/>
      <c r="G178" s="2"/>
      <c r="H178" s="1"/>
      <c r="I178" s="1"/>
      <c r="J178" s="9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90"/>
      <c r="AB178" s="73"/>
      <c r="AC178" s="1"/>
      <c r="AD178" s="25"/>
      <c r="AE178" s="1"/>
      <c r="AF178" s="1"/>
      <c r="AG178" s="1"/>
      <c r="AH178" s="1"/>
    </row>
    <row r="179" ht="15.75" customHeight="1" outlineLevel="1">
      <c r="A179" s="1"/>
      <c r="B179" s="1"/>
      <c r="C179" s="59" t="s">
        <v>88</v>
      </c>
      <c r="D179" s="71" t="s">
        <v>24</v>
      </c>
      <c r="E179" s="82">
        <f t="shared" ref="E179:I179" si="59">E235/E212</f>
        <v>0.00792084265</v>
      </c>
      <c r="F179" s="82">
        <f t="shared" si="59"/>
        <v>0.008086153458</v>
      </c>
      <c r="G179" s="82">
        <f t="shared" si="59"/>
        <v>0.008055858465</v>
      </c>
      <c r="H179" s="82">
        <f t="shared" si="59"/>
        <v>0.007096991758</v>
      </c>
      <c r="I179" s="82">
        <f t="shared" si="59"/>
        <v>0.007900347229</v>
      </c>
      <c r="J179" s="28">
        <f>AVERAGE(E179:I179)</f>
        <v>0.007812038712</v>
      </c>
      <c r="K179" s="28">
        <f t="shared" ref="K179:S179" si="60">J179</f>
        <v>0.007812038712</v>
      </c>
      <c r="L179" s="28">
        <f t="shared" si="60"/>
        <v>0.007812038712</v>
      </c>
      <c r="M179" s="28">
        <f t="shared" si="60"/>
        <v>0.007812038712</v>
      </c>
      <c r="N179" s="28">
        <f t="shared" si="60"/>
        <v>0.007812038712</v>
      </c>
      <c r="O179" s="28">
        <f t="shared" si="60"/>
        <v>0.007812038712</v>
      </c>
      <c r="P179" s="28">
        <f t="shared" si="60"/>
        <v>0.007812038712</v>
      </c>
      <c r="Q179" s="28">
        <f t="shared" si="60"/>
        <v>0.007812038712</v>
      </c>
      <c r="R179" s="28">
        <f t="shared" si="60"/>
        <v>0.007812038712</v>
      </c>
      <c r="S179" s="28">
        <f t="shared" si="60"/>
        <v>0.007812038712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5.75" customHeight="1" outlineLevel="1">
      <c r="A180" s="1"/>
      <c r="B180" s="1"/>
      <c r="C180" s="59"/>
      <c r="D180" s="2"/>
      <c r="E180" s="2"/>
      <c r="F180" s="2"/>
      <c r="G180" s="2"/>
      <c r="H180" s="1"/>
      <c r="I180" s="1"/>
      <c r="J180" s="9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5.75" customHeight="1" outlineLevel="1">
      <c r="A181" s="1"/>
      <c r="B181" s="1"/>
      <c r="C181" s="59" t="s">
        <v>89</v>
      </c>
      <c r="D181" s="43" t="s">
        <v>35</v>
      </c>
      <c r="E181" s="19">
        <v>98.771</v>
      </c>
      <c r="F181" s="19">
        <v>106.9</v>
      </c>
      <c r="G181" s="19">
        <v>102.441</v>
      </c>
      <c r="H181" s="19">
        <v>110.563</v>
      </c>
      <c r="I181" s="19">
        <v>120.998</v>
      </c>
      <c r="J181" s="9">
        <f t="shared" ref="J181:S181" si="61">J182*J212</f>
        <v>167.3596394</v>
      </c>
      <c r="K181" s="9">
        <f t="shared" si="61"/>
        <v>193.556939</v>
      </c>
      <c r="L181" s="9">
        <f t="shared" si="61"/>
        <v>218.231381</v>
      </c>
      <c r="M181" s="9">
        <f t="shared" si="61"/>
        <v>196.8234287</v>
      </c>
      <c r="N181" s="9">
        <f t="shared" si="61"/>
        <v>219.3554339</v>
      </c>
      <c r="O181" s="9">
        <f t="shared" si="61"/>
        <v>225.1122157</v>
      </c>
      <c r="P181" s="9">
        <f t="shared" si="61"/>
        <v>232.3708689</v>
      </c>
      <c r="Q181" s="9">
        <f t="shared" si="61"/>
        <v>194.8962699</v>
      </c>
      <c r="R181" s="9">
        <f t="shared" si="61"/>
        <v>182.1535428</v>
      </c>
      <c r="S181" s="9">
        <f t="shared" si="61"/>
        <v>177.569445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5.75" customHeight="1" outlineLevel="1">
      <c r="A182" s="1"/>
      <c r="B182" s="1"/>
      <c r="C182" s="59" t="s">
        <v>90</v>
      </c>
      <c r="D182" s="71" t="s">
        <v>24</v>
      </c>
      <c r="E182" s="82">
        <f t="shared" ref="E182:I182" si="62">E181/E212</f>
        <v>0.06637956468</v>
      </c>
      <c r="F182" s="82">
        <f t="shared" si="62"/>
        <v>0.0660409355</v>
      </c>
      <c r="G182" s="82">
        <f t="shared" si="62"/>
        <v>0.054175159</v>
      </c>
      <c r="H182" s="82">
        <f t="shared" si="62"/>
        <v>0.05114487679</v>
      </c>
      <c r="I182" s="82">
        <f t="shared" si="62"/>
        <v>0.05119296386</v>
      </c>
      <c r="J182" s="22">
        <v>0.051</v>
      </c>
      <c r="K182" s="22">
        <v>0.05</v>
      </c>
      <c r="L182" s="22">
        <v>0.05</v>
      </c>
      <c r="M182" s="22">
        <v>0.05</v>
      </c>
      <c r="N182" s="22">
        <v>0.049</v>
      </c>
      <c r="O182" s="22">
        <v>0.049</v>
      </c>
      <c r="P182" s="22">
        <v>0.048</v>
      </c>
      <c r="Q182" s="22">
        <v>0.048</v>
      </c>
      <c r="R182" s="22">
        <v>0.047</v>
      </c>
      <c r="S182" s="22">
        <v>0.047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5.75" customHeight="1" outlineLevel="1">
      <c r="A183" s="1"/>
      <c r="B183" s="1"/>
      <c r="C183" s="59"/>
      <c r="D183" s="2"/>
      <c r="E183" s="2"/>
      <c r="F183" s="2"/>
      <c r="G183" s="2"/>
      <c r="H183" s="1"/>
      <c r="I183" s="1"/>
      <c r="J183" s="9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5.75" customHeight="1" outlineLevel="1">
      <c r="A184" s="1"/>
      <c r="B184" s="1"/>
      <c r="C184" s="59" t="s">
        <v>91</v>
      </c>
      <c r="D184" s="43" t="s">
        <v>35</v>
      </c>
      <c r="E184" s="9">
        <f t="shared" ref="E184:S184" si="63">E175+E177+E181</f>
        <v>200.765</v>
      </c>
      <c r="F184" s="9">
        <f t="shared" si="63"/>
        <v>258.965</v>
      </c>
      <c r="G184" s="9">
        <f t="shared" si="63"/>
        <v>303.939</v>
      </c>
      <c r="H184" s="9">
        <f t="shared" si="63"/>
        <v>465.377</v>
      </c>
      <c r="I184" s="9">
        <f t="shared" si="63"/>
        <v>380.578</v>
      </c>
      <c r="J184" s="9">
        <f t="shared" si="63"/>
        <v>694.3666394</v>
      </c>
      <c r="K184" s="9">
        <f t="shared" si="63"/>
        <v>856.2809906</v>
      </c>
      <c r="L184" s="9">
        <f t="shared" si="63"/>
        <v>909.8938132</v>
      </c>
      <c r="M184" s="9">
        <f t="shared" si="63"/>
        <v>919.8384871</v>
      </c>
      <c r="N184" s="9">
        <f t="shared" si="63"/>
        <v>971.6284793</v>
      </c>
      <c r="O184" s="9">
        <f t="shared" si="63"/>
        <v>1009.285881</v>
      </c>
      <c r="P184" s="9">
        <f t="shared" si="63"/>
        <v>1049.019917</v>
      </c>
      <c r="Q184" s="9">
        <f t="shared" si="63"/>
        <v>1035.228745</v>
      </c>
      <c r="R184" s="9">
        <f t="shared" si="63"/>
        <v>1042.350003</v>
      </c>
      <c r="S184" s="9">
        <f t="shared" si="63"/>
        <v>1056.726147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5.75" customHeight="1" outlineLevel="1">
      <c r="A185" s="1"/>
      <c r="B185" s="1"/>
      <c r="C185" s="59" t="s">
        <v>92</v>
      </c>
      <c r="D185" s="43" t="s">
        <v>35</v>
      </c>
      <c r="E185" s="9">
        <f>-E184*Tax_Rate</f>
        <v>-30.11475</v>
      </c>
      <c r="F185" s="9">
        <f>-F184*Tax_Rate</f>
        <v>-38.84475</v>
      </c>
      <c r="G185" s="9">
        <f>-G184*Tax_Rate</f>
        <v>-45.59085</v>
      </c>
      <c r="H185" s="9">
        <f>-H184*Tax_Rate</f>
        <v>-69.80655</v>
      </c>
      <c r="I185" s="9">
        <f>-I184*Tax_Rate</f>
        <v>-57.0867</v>
      </c>
      <c r="J185" s="9">
        <f>-J184*Tax_Rate</f>
        <v>-104.1549959</v>
      </c>
      <c r="K185" s="9">
        <f>-K184*Tax_Rate</f>
        <v>-128.4421486</v>
      </c>
      <c r="L185" s="9">
        <f>-L184*Tax_Rate</f>
        <v>-136.484072</v>
      </c>
      <c r="M185" s="9">
        <f>-M184*Tax_Rate</f>
        <v>-137.9757731</v>
      </c>
      <c r="N185" s="9">
        <f>-N184*Tax_Rate</f>
        <v>-145.7442719</v>
      </c>
      <c r="O185" s="9">
        <f>-O184*Tax_Rate</f>
        <v>-151.3928822</v>
      </c>
      <c r="P185" s="9">
        <f>-P184*Tax_Rate</f>
        <v>-157.3529875</v>
      </c>
      <c r="Q185" s="9">
        <f>-Q184*Tax_Rate</f>
        <v>-155.2843117</v>
      </c>
      <c r="R185" s="9">
        <f>-R184*Tax_Rate</f>
        <v>-156.3525005</v>
      </c>
      <c r="S185" s="9">
        <f>-S184*Tax_Rate</f>
        <v>-158.508922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5.75" customHeight="1" outlineLevel="1">
      <c r="A186" s="1"/>
      <c r="B186" s="1"/>
      <c r="C186" s="59"/>
      <c r="D186" s="2"/>
      <c r="E186" s="2"/>
      <c r="F186" s="2"/>
      <c r="G186" s="2"/>
      <c r="H186" s="1"/>
      <c r="I186" s="1"/>
      <c r="J186" s="9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5.75" customHeight="1" outlineLevel="1">
      <c r="A187" s="1"/>
      <c r="B187" s="1"/>
      <c r="C187" s="59" t="s">
        <v>93</v>
      </c>
      <c r="D187" s="71" t="s">
        <v>24</v>
      </c>
      <c r="E187" s="82">
        <f>E240/(E212-1324.804)</f>
        <v>-0.1278674258</v>
      </c>
      <c r="F187" s="82">
        <f t="shared" ref="F187:I187" si="64">F240/(F212-E212)</f>
        <v>0.2047582619</v>
      </c>
      <c r="G187" s="82">
        <f t="shared" si="64"/>
        <v>0.07744582686</v>
      </c>
      <c r="H187" s="82">
        <f t="shared" si="64"/>
        <v>-0.5692422435</v>
      </c>
      <c r="I187" s="82">
        <f t="shared" si="64"/>
        <v>-0.4233620408</v>
      </c>
      <c r="J187" s="28">
        <f>AVERAGE(E187:I187)</f>
        <v>-0.1676535243</v>
      </c>
      <c r="K187" s="28">
        <f t="shared" ref="K187:S187" si="65">J187</f>
        <v>-0.1676535243</v>
      </c>
      <c r="L187" s="28">
        <f t="shared" si="65"/>
        <v>-0.1676535243</v>
      </c>
      <c r="M187" s="28">
        <f t="shared" si="65"/>
        <v>-0.1676535243</v>
      </c>
      <c r="N187" s="28">
        <f t="shared" si="65"/>
        <v>-0.1676535243</v>
      </c>
      <c r="O187" s="28">
        <f t="shared" si="65"/>
        <v>-0.1676535243</v>
      </c>
      <c r="P187" s="28">
        <f t="shared" si="65"/>
        <v>-0.1676535243</v>
      </c>
      <c r="Q187" s="28">
        <f t="shared" si="65"/>
        <v>-0.1676535243</v>
      </c>
      <c r="R187" s="28">
        <f t="shared" si="65"/>
        <v>-0.1676535243</v>
      </c>
      <c r="S187" s="28">
        <f t="shared" si="65"/>
        <v>-0.1676535243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5.75" customHeight="1" outlineLevel="1">
      <c r="A188" s="1"/>
      <c r="B188" s="1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5.75" customHeight="1" outlineLevel="1">
      <c r="A189" s="1"/>
      <c r="B189" s="1"/>
      <c r="C189" s="59" t="s">
        <v>94</v>
      </c>
      <c r="D189" s="71" t="s">
        <v>24</v>
      </c>
      <c r="E189" s="82">
        <f t="shared" ref="E189:I189" si="66">-E243/E212</f>
        <v>0.006510198774</v>
      </c>
      <c r="F189" s="82">
        <f t="shared" si="66"/>
        <v>0.01788479965</v>
      </c>
      <c r="G189" s="82">
        <f t="shared" si="66"/>
        <v>0.01077252261</v>
      </c>
      <c r="H189" s="82">
        <f t="shared" si="66"/>
        <v>0.01856588217</v>
      </c>
      <c r="I189" s="82">
        <f t="shared" si="66"/>
        <v>0.006348032444</v>
      </c>
      <c r="J189" s="28">
        <f t="shared" ref="J189:J190" si="69">AVERAGE(E189:I189)</f>
        <v>0.01201628713</v>
      </c>
      <c r="K189" s="28">
        <f t="shared" ref="K189:S189" si="67">J189</f>
        <v>0.01201628713</v>
      </c>
      <c r="L189" s="28">
        <f t="shared" si="67"/>
        <v>0.01201628713</v>
      </c>
      <c r="M189" s="28">
        <f t="shared" si="67"/>
        <v>0.01201628713</v>
      </c>
      <c r="N189" s="28">
        <f t="shared" si="67"/>
        <v>0.01201628713</v>
      </c>
      <c r="O189" s="28">
        <f t="shared" si="67"/>
        <v>0.01201628713</v>
      </c>
      <c r="P189" s="28">
        <f t="shared" si="67"/>
        <v>0.01201628713</v>
      </c>
      <c r="Q189" s="28">
        <f t="shared" si="67"/>
        <v>0.01201628713</v>
      </c>
      <c r="R189" s="28">
        <f t="shared" si="67"/>
        <v>0.01201628713</v>
      </c>
      <c r="S189" s="28">
        <f t="shared" si="67"/>
        <v>0.01201628713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5.75" customHeight="1" outlineLevel="1">
      <c r="A190" s="1"/>
      <c r="B190" s="1"/>
      <c r="C190" s="59" t="s">
        <v>95</v>
      </c>
      <c r="D190" s="71" t="s">
        <v>24</v>
      </c>
      <c r="E190" s="82">
        <f t="shared" ref="E190:I190" si="68">-E246/E212</f>
        <v>0.1008082808</v>
      </c>
      <c r="F190" s="82">
        <f t="shared" si="68"/>
        <v>0</v>
      </c>
      <c r="G190" s="82">
        <f t="shared" si="68"/>
        <v>0.05875440658</v>
      </c>
      <c r="H190" s="82">
        <f t="shared" si="68"/>
        <v>0.03723815907</v>
      </c>
      <c r="I190" s="82">
        <f t="shared" si="68"/>
        <v>0.04780909532</v>
      </c>
      <c r="J190" s="28">
        <f t="shared" si="69"/>
        <v>0.04892198835</v>
      </c>
      <c r="K190" s="28">
        <f t="shared" ref="K190:S190" si="70">J190</f>
        <v>0.04892198835</v>
      </c>
      <c r="L190" s="28">
        <f t="shared" si="70"/>
        <v>0.04892198835</v>
      </c>
      <c r="M190" s="28">
        <f t="shared" si="70"/>
        <v>0.04892198835</v>
      </c>
      <c r="N190" s="28">
        <f t="shared" si="70"/>
        <v>0.04892198835</v>
      </c>
      <c r="O190" s="28">
        <f t="shared" si="70"/>
        <v>0.04892198835</v>
      </c>
      <c r="P190" s="28">
        <f t="shared" si="70"/>
        <v>0.04892198835</v>
      </c>
      <c r="Q190" s="28">
        <f t="shared" si="70"/>
        <v>0.04892198835</v>
      </c>
      <c r="R190" s="28">
        <f t="shared" si="70"/>
        <v>0.04892198835</v>
      </c>
      <c r="S190" s="28">
        <f t="shared" si="70"/>
        <v>0.04892198835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5.75" customHeight="1" outlineLevel="1">
      <c r="A191" s="1"/>
      <c r="B191" s="1"/>
      <c r="C191" s="59" t="s">
        <v>96</v>
      </c>
      <c r="D191" s="43" t="s">
        <v>35</v>
      </c>
      <c r="E191" s="9">
        <f t="shared" ref="E191:I191" si="71">-E251</f>
        <v>1502.443</v>
      </c>
      <c r="F191" s="9">
        <f t="shared" si="71"/>
        <v>0</v>
      </c>
      <c r="G191" s="9">
        <f t="shared" si="71"/>
        <v>0</v>
      </c>
      <c r="H191" s="9">
        <f t="shared" si="71"/>
        <v>55.074</v>
      </c>
      <c r="I191" s="9">
        <f t="shared" si="71"/>
        <v>0</v>
      </c>
      <c r="J191" s="91">
        <v>6234.792</v>
      </c>
      <c r="K191" s="91">
        <v>0.0</v>
      </c>
      <c r="L191" s="92">
        <f t="shared" ref="L191:S191" si="72">K191</f>
        <v>0</v>
      </c>
      <c r="M191" s="92">
        <f t="shared" si="72"/>
        <v>0</v>
      </c>
      <c r="N191" s="92">
        <f t="shared" si="72"/>
        <v>0</v>
      </c>
      <c r="O191" s="92">
        <f t="shared" si="72"/>
        <v>0</v>
      </c>
      <c r="P191" s="92">
        <f t="shared" si="72"/>
        <v>0</v>
      </c>
      <c r="Q191" s="92">
        <f t="shared" si="72"/>
        <v>0</v>
      </c>
      <c r="R191" s="92">
        <f t="shared" si="72"/>
        <v>0</v>
      </c>
      <c r="S191" s="92">
        <f t="shared" si="72"/>
        <v>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5.75" customHeight="1" outlineLevel="1">
      <c r="A192" s="1"/>
      <c r="B192" s="1"/>
      <c r="C192" s="59"/>
      <c r="D192" s="2"/>
      <c r="E192" s="2"/>
      <c r="F192" s="2"/>
      <c r="G192" s="2"/>
      <c r="H192" s="1"/>
      <c r="I192" s="1"/>
      <c r="J192" s="9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5.75" customHeight="1" outlineLevel="1">
      <c r="A193" s="1"/>
      <c r="B193" s="1"/>
      <c r="C193" s="59" t="s">
        <v>97</v>
      </c>
      <c r="D193" s="43" t="s">
        <v>35</v>
      </c>
      <c r="E193" s="9">
        <f t="shared" ref="E193:I193" si="73">E237</f>
        <v>-1.532</v>
      </c>
      <c r="F193" s="9">
        <f t="shared" si="73"/>
        <v>16.511</v>
      </c>
      <c r="G193" s="9">
        <f t="shared" si="73"/>
        <v>12.085</v>
      </c>
      <c r="H193" s="9">
        <f t="shared" si="73"/>
        <v>6.727</v>
      </c>
      <c r="I193" s="9">
        <f t="shared" si="73"/>
        <v>29.58</v>
      </c>
      <c r="J193" s="85">
        <f>AVERAGE(E193:I193)</f>
        <v>12.6742</v>
      </c>
      <c r="K193" s="85">
        <f t="shared" ref="K193:S193" si="74">J193</f>
        <v>12.6742</v>
      </c>
      <c r="L193" s="85">
        <f t="shared" si="74"/>
        <v>12.6742</v>
      </c>
      <c r="M193" s="85">
        <f t="shared" si="74"/>
        <v>12.6742</v>
      </c>
      <c r="N193" s="85">
        <f t="shared" si="74"/>
        <v>12.6742</v>
      </c>
      <c r="O193" s="85">
        <f t="shared" si="74"/>
        <v>12.6742</v>
      </c>
      <c r="P193" s="85">
        <f t="shared" si="74"/>
        <v>12.6742</v>
      </c>
      <c r="Q193" s="85">
        <f t="shared" si="74"/>
        <v>12.6742</v>
      </c>
      <c r="R193" s="85">
        <f t="shared" si="74"/>
        <v>12.6742</v>
      </c>
      <c r="S193" s="85">
        <f t="shared" si="74"/>
        <v>12.6742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5.75" customHeight="1" outlineLevel="1">
      <c r="A194" s="1"/>
      <c r="B194" s="1"/>
      <c r="C194" s="59"/>
      <c r="D194" s="2"/>
      <c r="E194" s="2"/>
      <c r="F194" s="2"/>
      <c r="G194" s="2"/>
      <c r="H194" s="1"/>
      <c r="I194" s="1"/>
      <c r="J194" s="9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5.75" customHeight="1" outlineLevel="1">
      <c r="A195" s="1"/>
      <c r="B195" s="1"/>
      <c r="C195" s="59" t="s">
        <v>98</v>
      </c>
      <c r="D195" s="43" t="s">
        <v>35</v>
      </c>
      <c r="E195" s="19">
        <v>-62.58</v>
      </c>
      <c r="F195" s="19">
        <v>-77.756</v>
      </c>
      <c r="G195" s="19">
        <v>-78.5</v>
      </c>
      <c r="H195" s="19">
        <v>-72.261</v>
      </c>
      <c r="I195" s="19">
        <v>-99.707</v>
      </c>
      <c r="J195" s="67">
        <f>-96.796-69.42*2</f>
        <v>-235.636</v>
      </c>
      <c r="K195" s="67">
        <f t="shared" ref="K195:S195" si="75">J195</f>
        <v>-235.636</v>
      </c>
      <c r="L195" s="67">
        <f t="shared" si="75"/>
        <v>-235.636</v>
      </c>
      <c r="M195" s="67">
        <f t="shared" si="75"/>
        <v>-235.636</v>
      </c>
      <c r="N195" s="67">
        <f t="shared" si="75"/>
        <v>-235.636</v>
      </c>
      <c r="O195" s="67">
        <f t="shared" si="75"/>
        <v>-235.636</v>
      </c>
      <c r="P195" s="67">
        <f t="shared" si="75"/>
        <v>-235.636</v>
      </c>
      <c r="Q195" s="67">
        <f t="shared" si="75"/>
        <v>-235.636</v>
      </c>
      <c r="R195" s="67">
        <f t="shared" si="75"/>
        <v>-235.636</v>
      </c>
      <c r="S195" s="67">
        <f t="shared" si="75"/>
        <v>-235.636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5.75" customHeight="1" outlineLevel="1">
      <c r="A196" s="1"/>
      <c r="B196" s="1"/>
      <c r="C196" s="93" t="s">
        <v>99</v>
      </c>
      <c r="D196" s="43" t="s">
        <v>35</v>
      </c>
      <c r="E196" s="19">
        <v>-0.379</v>
      </c>
      <c r="F196" s="19">
        <v>-1.009</v>
      </c>
      <c r="G196" s="19">
        <v>-2.203</v>
      </c>
      <c r="H196" s="19">
        <v>-4.089</v>
      </c>
      <c r="I196" s="19">
        <v>-2.962</v>
      </c>
      <c r="J196" s="67">
        <f>-5.53*2</f>
        <v>-11.06</v>
      </c>
      <c r="K196" s="67">
        <f t="shared" ref="K196:S196" si="76">J196</f>
        <v>-11.06</v>
      </c>
      <c r="L196" s="67">
        <f t="shared" si="76"/>
        <v>-11.06</v>
      </c>
      <c r="M196" s="67">
        <f t="shared" si="76"/>
        <v>-11.06</v>
      </c>
      <c r="N196" s="67">
        <f t="shared" si="76"/>
        <v>-11.06</v>
      </c>
      <c r="O196" s="67">
        <f t="shared" si="76"/>
        <v>-11.06</v>
      </c>
      <c r="P196" s="67">
        <f t="shared" si="76"/>
        <v>-11.06</v>
      </c>
      <c r="Q196" s="67">
        <f t="shared" si="76"/>
        <v>-11.06</v>
      </c>
      <c r="R196" s="67">
        <f t="shared" si="76"/>
        <v>-11.06</v>
      </c>
      <c r="S196" s="67">
        <f t="shared" si="76"/>
        <v>-11.06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5.75" customHeight="1">
      <c r="A197" s="1"/>
      <c r="B197" s="1"/>
      <c r="C197" s="1"/>
      <c r="D197" s="24"/>
      <c r="E197" s="24"/>
      <c r="F197" s="25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5.75" customHeight="1">
      <c r="A198" s="1"/>
      <c r="B198" s="29"/>
      <c r="C198" s="29"/>
      <c r="D198" s="30"/>
      <c r="E198" s="31" t="s">
        <v>100</v>
      </c>
      <c r="F198" s="32"/>
      <c r="G198" s="32"/>
      <c r="H198" s="32"/>
      <c r="I198" s="33"/>
      <c r="J198" s="31" t="s">
        <v>101</v>
      </c>
      <c r="K198" s="32"/>
      <c r="L198" s="32"/>
      <c r="M198" s="32"/>
      <c r="N198" s="32"/>
      <c r="O198" s="32"/>
      <c r="P198" s="32"/>
      <c r="Q198" s="32"/>
      <c r="R198" s="32"/>
      <c r="S198" s="32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5.75" customHeight="1">
      <c r="A199" s="1"/>
      <c r="B199" s="34" t="s">
        <v>102</v>
      </c>
      <c r="C199" s="34"/>
      <c r="D199" s="35" t="s">
        <v>103</v>
      </c>
      <c r="E199" s="36">
        <f t="shared" ref="E199:H199" si="77">EOMONTH(F199,-12)</f>
        <v>42735</v>
      </c>
      <c r="F199" s="36">
        <f t="shared" si="77"/>
        <v>43100</v>
      </c>
      <c r="G199" s="36">
        <f t="shared" si="77"/>
        <v>43465</v>
      </c>
      <c r="H199" s="36">
        <f t="shared" si="77"/>
        <v>43830</v>
      </c>
      <c r="I199" s="37">
        <f>Hist_Year</f>
        <v>44196</v>
      </c>
      <c r="J199" s="36">
        <f t="shared" ref="J199:S199" si="78">EOMONTH(I199,12)</f>
        <v>44561</v>
      </c>
      <c r="K199" s="36">
        <f t="shared" si="78"/>
        <v>44926</v>
      </c>
      <c r="L199" s="36">
        <f t="shared" si="78"/>
        <v>45291</v>
      </c>
      <c r="M199" s="36">
        <f t="shared" si="78"/>
        <v>45657</v>
      </c>
      <c r="N199" s="36">
        <f t="shared" si="78"/>
        <v>46022</v>
      </c>
      <c r="O199" s="36">
        <f t="shared" si="78"/>
        <v>46387</v>
      </c>
      <c r="P199" s="36">
        <f t="shared" si="78"/>
        <v>46752</v>
      </c>
      <c r="Q199" s="36">
        <f t="shared" si="78"/>
        <v>47118</v>
      </c>
      <c r="R199" s="36">
        <f t="shared" si="78"/>
        <v>47483</v>
      </c>
      <c r="S199" s="36">
        <f t="shared" si="78"/>
        <v>47848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5.75" customHeight="1" outlineLevel="1">
      <c r="A200" s="1"/>
      <c r="B200" s="1"/>
      <c r="C200" s="94" t="s">
        <v>46</v>
      </c>
      <c r="D200" s="2"/>
      <c r="E200" s="2"/>
      <c r="F200" s="2"/>
      <c r="G200" s="2"/>
      <c r="H200" s="95"/>
      <c r="I200" s="95"/>
      <c r="J200" s="54"/>
      <c r="K200" s="54"/>
      <c r="L200" s="54"/>
      <c r="M200" s="54"/>
      <c r="N200" s="5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5.75" customHeight="1" outlineLevel="1">
      <c r="A201" s="1"/>
      <c r="B201" s="1"/>
      <c r="C201" s="96" t="s">
        <v>104</v>
      </c>
      <c r="D201" s="2"/>
      <c r="E201" s="52"/>
      <c r="F201" s="52"/>
      <c r="G201" s="52"/>
      <c r="H201" s="52"/>
      <c r="I201" s="52"/>
      <c r="J201" s="53"/>
      <c r="K201" s="54"/>
      <c r="L201" s="54"/>
      <c r="M201" s="54"/>
      <c r="N201" s="5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5.75" customHeight="1" outlineLevel="1">
      <c r="A202" s="1"/>
      <c r="B202" s="1"/>
      <c r="C202" s="59" t="s">
        <v>105</v>
      </c>
      <c r="D202" s="43" t="s">
        <v>35</v>
      </c>
      <c r="E202" s="61">
        <v>1107.616</v>
      </c>
      <c r="F202" s="61">
        <v>1186.699</v>
      </c>
      <c r="G202" s="61">
        <v>1404.866</v>
      </c>
      <c r="H202" s="61">
        <v>1642.525</v>
      </c>
      <c r="I202" s="61">
        <v>1741.758</v>
      </c>
      <c r="J202" s="53">
        <f t="shared" ref="J202:S202" si="79">J41</f>
        <v>1363.417577</v>
      </c>
      <c r="K202" s="53">
        <f t="shared" si="79"/>
        <v>1268.010809</v>
      </c>
      <c r="L202" s="53">
        <f t="shared" si="79"/>
        <v>1178.890398</v>
      </c>
      <c r="M202" s="53">
        <f t="shared" si="79"/>
        <v>197.4641417</v>
      </c>
      <c r="N202" s="53">
        <f t="shared" si="79"/>
        <v>153.3037547</v>
      </c>
      <c r="O202" s="53">
        <f t="shared" si="79"/>
        <v>105.7949211</v>
      </c>
      <c r="P202" s="53">
        <f t="shared" si="79"/>
        <v>109.5136126</v>
      </c>
      <c r="Q202" s="53">
        <f t="shared" si="79"/>
        <v>113.3630161</v>
      </c>
      <c r="R202" s="53">
        <f t="shared" si="79"/>
        <v>117.3477261</v>
      </c>
      <c r="S202" s="53">
        <f t="shared" si="79"/>
        <v>121.4724987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5.75" customHeight="1" outlineLevel="1">
      <c r="A203" s="1"/>
      <c r="B203" s="1"/>
      <c r="C203" s="59" t="s">
        <v>106</v>
      </c>
      <c r="D203" s="43" t="s">
        <v>35</v>
      </c>
      <c r="E203" s="19">
        <v>0.0</v>
      </c>
      <c r="F203" s="19">
        <v>0.0</v>
      </c>
      <c r="G203" s="19">
        <v>0.0</v>
      </c>
      <c r="H203" s="19">
        <v>0.0</v>
      </c>
      <c r="I203" s="19">
        <v>15.264</v>
      </c>
      <c r="J203" s="9">
        <f t="shared" ref="J203:S203" si="80">J56</f>
        <v>456.9307875</v>
      </c>
      <c r="K203" s="9">
        <f t="shared" si="80"/>
        <v>617.1855533</v>
      </c>
      <c r="L203" s="9">
        <f t="shared" si="80"/>
        <v>765.2700091</v>
      </c>
      <c r="M203" s="9">
        <f t="shared" si="80"/>
        <v>880.4129374</v>
      </c>
      <c r="N203" s="9">
        <f t="shared" si="80"/>
        <v>1000.078259</v>
      </c>
      <c r="O203" s="9">
        <f t="shared" si="80"/>
        <v>960.7870489</v>
      </c>
      <c r="P203" s="9">
        <f t="shared" si="80"/>
        <v>939.9103728</v>
      </c>
      <c r="Q203" s="9">
        <f t="shared" si="80"/>
        <v>180.5254523</v>
      </c>
      <c r="R203" s="9">
        <f t="shared" si="80"/>
        <v>88.62170298</v>
      </c>
      <c r="S203" s="9">
        <f t="shared" si="80"/>
        <v>86.41459027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5.75" customHeight="1" outlineLevel="1">
      <c r="A204" s="1"/>
      <c r="B204" s="1"/>
      <c r="C204" s="59" t="s">
        <v>107</v>
      </c>
      <c r="D204" s="43" t="s">
        <v>35</v>
      </c>
      <c r="E204" s="19"/>
      <c r="F204" s="19"/>
      <c r="G204" s="19"/>
      <c r="H204" s="19"/>
      <c r="I204" s="19"/>
      <c r="J204" s="9">
        <f t="shared" ref="J204:S204" si="81">J73</f>
        <v>651.616875</v>
      </c>
      <c r="K204" s="9">
        <f t="shared" si="81"/>
        <v>859.5233842</v>
      </c>
      <c r="L204" s="9">
        <f t="shared" si="81"/>
        <v>1015.853497</v>
      </c>
      <c r="M204" s="9">
        <f t="shared" si="81"/>
        <v>1186.834339</v>
      </c>
      <c r="N204" s="9">
        <f t="shared" si="81"/>
        <v>1373.607608</v>
      </c>
      <c r="O204" s="9">
        <f t="shared" si="81"/>
        <v>1577.396436</v>
      </c>
      <c r="P204" s="9">
        <f t="shared" si="81"/>
        <v>1799.510907</v>
      </c>
      <c r="Q204" s="9">
        <f t="shared" si="81"/>
        <v>1756.513844</v>
      </c>
      <c r="R204" s="9">
        <f t="shared" si="81"/>
        <v>1703.272485</v>
      </c>
      <c r="S204" s="9">
        <f t="shared" si="81"/>
        <v>1638.786088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5.75" customHeight="1" outlineLevel="1">
      <c r="A205" s="1"/>
      <c r="B205" s="1"/>
      <c r="C205" s="59" t="s">
        <v>108</v>
      </c>
      <c r="D205" s="43" t="s">
        <v>35</v>
      </c>
      <c r="E205" s="19">
        <v>0.0</v>
      </c>
      <c r="F205" s="19">
        <v>0.0</v>
      </c>
      <c r="G205" s="19">
        <v>0.0</v>
      </c>
      <c r="H205" s="19">
        <v>0.0</v>
      </c>
      <c r="I205" s="19">
        <v>0.0</v>
      </c>
      <c r="J205" s="9">
        <f t="shared" ref="J205:S205" si="82">J86</f>
        <v>12</v>
      </c>
      <c r="K205" s="9">
        <f t="shared" si="82"/>
        <v>144.72</v>
      </c>
      <c r="L205" s="9">
        <f t="shared" si="82"/>
        <v>218.16</v>
      </c>
      <c r="M205" s="9">
        <f t="shared" si="82"/>
        <v>243.6</v>
      </c>
      <c r="N205" s="9">
        <f t="shared" si="82"/>
        <v>244.8</v>
      </c>
      <c r="O205" s="9">
        <f t="shared" si="82"/>
        <v>245.4</v>
      </c>
      <c r="P205" s="9">
        <f t="shared" si="82"/>
        <v>245.7</v>
      </c>
      <c r="Q205" s="9">
        <f t="shared" si="82"/>
        <v>233.7</v>
      </c>
      <c r="R205" s="9">
        <f t="shared" si="82"/>
        <v>221.67</v>
      </c>
      <c r="S205" s="9">
        <f t="shared" si="82"/>
        <v>209.61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5.75" customHeight="1" outlineLevel="1">
      <c r="A206" s="1"/>
      <c r="B206" s="1"/>
      <c r="C206" s="59" t="s">
        <v>109</v>
      </c>
      <c r="D206" s="43" t="s">
        <v>35</v>
      </c>
      <c r="E206" s="19">
        <v>0.0</v>
      </c>
      <c r="F206" s="19">
        <v>0.0</v>
      </c>
      <c r="G206" s="19">
        <v>0.0</v>
      </c>
      <c r="H206" s="19">
        <v>3.714</v>
      </c>
      <c r="I206" s="19">
        <v>28.333</v>
      </c>
      <c r="J206" s="9">
        <f t="shared" ref="J206:S206" si="83">J99</f>
        <v>70.61657625</v>
      </c>
      <c r="K206" s="9">
        <f t="shared" si="83"/>
        <v>158.6380616</v>
      </c>
      <c r="L206" s="9">
        <f t="shared" si="83"/>
        <v>264.3202334</v>
      </c>
      <c r="M206" s="9">
        <f t="shared" si="83"/>
        <v>387.9214092</v>
      </c>
      <c r="N206" s="9">
        <f t="shared" si="83"/>
        <v>508.514369</v>
      </c>
      <c r="O206" s="9">
        <f t="shared" si="83"/>
        <v>470.1723856</v>
      </c>
      <c r="P206" s="9">
        <f t="shared" si="83"/>
        <v>431.4342695</v>
      </c>
      <c r="Q206" s="9">
        <f t="shared" si="83"/>
        <v>392.2970179</v>
      </c>
      <c r="R206" s="9">
        <f t="shared" si="83"/>
        <v>373.5080555</v>
      </c>
      <c r="S206" s="9">
        <f t="shared" si="83"/>
        <v>354.521396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5.75" customHeight="1" outlineLevel="1">
      <c r="A207" s="1"/>
      <c r="B207" s="1"/>
      <c r="C207" s="59" t="s">
        <v>110</v>
      </c>
      <c r="D207" s="43" t="s">
        <v>35</v>
      </c>
      <c r="E207" s="19">
        <v>0.0</v>
      </c>
      <c r="F207" s="19">
        <v>0.0</v>
      </c>
      <c r="G207" s="19">
        <v>0.0</v>
      </c>
      <c r="H207" s="19">
        <v>0.0</v>
      </c>
      <c r="I207" s="19">
        <v>90.38</v>
      </c>
      <c r="J207" s="9">
        <f t="shared" ref="J207:S207" si="84">J115</f>
        <v>214.7561416</v>
      </c>
      <c r="K207" s="9">
        <f t="shared" si="84"/>
        <v>285.2261919</v>
      </c>
      <c r="L207" s="9">
        <f t="shared" si="84"/>
        <v>357.4069625</v>
      </c>
      <c r="M207" s="9">
        <f t="shared" si="84"/>
        <v>431.1095282</v>
      </c>
      <c r="N207" s="9">
        <f t="shared" si="84"/>
        <v>515.2960315</v>
      </c>
      <c r="O207" s="9">
        <f t="shared" si="84"/>
        <v>487.4783571</v>
      </c>
      <c r="P207" s="9">
        <f t="shared" si="84"/>
        <v>459.769061</v>
      </c>
      <c r="Q207" s="9">
        <f t="shared" si="84"/>
        <v>432.1908994</v>
      </c>
      <c r="R207" s="9">
        <f t="shared" si="84"/>
        <v>404.7653556</v>
      </c>
      <c r="S207" s="9">
        <f t="shared" si="84"/>
        <v>385.9018591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5.75" customHeight="1" outlineLevel="1">
      <c r="A208" s="1"/>
      <c r="B208" s="1"/>
      <c r="C208" s="59" t="s">
        <v>111</v>
      </c>
      <c r="D208" s="43" t="s">
        <v>35</v>
      </c>
      <c r="E208" s="9">
        <f t="shared" ref="E208:S208" si="85">E128</f>
        <v>380.357</v>
      </c>
      <c r="F208" s="9">
        <f t="shared" si="85"/>
        <v>431.994</v>
      </c>
      <c r="G208" s="9">
        <f t="shared" si="85"/>
        <v>486.056</v>
      </c>
      <c r="H208" s="9">
        <f t="shared" si="85"/>
        <v>515.522</v>
      </c>
      <c r="I208" s="9">
        <f t="shared" si="85"/>
        <v>487.832</v>
      </c>
      <c r="J208" s="9">
        <f t="shared" si="85"/>
        <v>512.2236</v>
      </c>
      <c r="K208" s="9">
        <f t="shared" si="85"/>
        <v>537.83478</v>
      </c>
      <c r="L208" s="9">
        <f t="shared" si="85"/>
        <v>564.726519</v>
      </c>
      <c r="M208" s="9">
        <f t="shared" si="85"/>
        <v>587.3155798</v>
      </c>
      <c r="N208" s="9">
        <f t="shared" si="85"/>
        <v>610.808203</v>
      </c>
      <c r="O208" s="9">
        <f t="shared" si="85"/>
        <v>629.132449</v>
      </c>
      <c r="P208" s="9">
        <f t="shared" si="85"/>
        <v>648.0064225</v>
      </c>
      <c r="Q208" s="9">
        <f t="shared" si="85"/>
        <v>660.966551</v>
      </c>
      <c r="R208" s="9">
        <f t="shared" si="85"/>
        <v>674.185882</v>
      </c>
      <c r="S208" s="9">
        <f t="shared" si="85"/>
        <v>687.6695996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5.75" customHeight="1" outlineLevel="1">
      <c r="A209" s="1"/>
      <c r="B209" s="1"/>
      <c r="C209" s="96" t="s">
        <v>112</v>
      </c>
      <c r="D209" s="2"/>
      <c r="E209" s="2"/>
      <c r="F209" s="19"/>
      <c r="G209" s="19"/>
      <c r="H209" s="19"/>
      <c r="I209" s="1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5.75" customHeight="1" outlineLevel="1">
      <c r="A210" s="1"/>
      <c r="B210" s="1"/>
      <c r="C210" s="59" t="s">
        <v>113</v>
      </c>
      <c r="D210" s="43" t="s">
        <v>35</v>
      </c>
      <c r="E210" s="43"/>
      <c r="F210" s="19"/>
      <c r="G210" s="19"/>
      <c r="H210" s="19"/>
      <c r="I210" s="19"/>
      <c r="J210" s="9">
        <f t="shared" ref="J210:S210" si="86">J147</f>
        <v>0</v>
      </c>
      <c r="K210" s="9">
        <f t="shared" si="86"/>
        <v>0</v>
      </c>
      <c r="L210" s="9">
        <f t="shared" si="86"/>
        <v>0</v>
      </c>
      <c r="M210" s="9">
        <f t="shared" si="86"/>
        <v>21.81063768</v>
      </c>
      <c r="N210" s="9">
        <f t="shared" si="86"/>
        <v>57.18180227</v>
      </c>
      <c r="O210" s="9">
        <f t="shared" si="86"/>
        <v>83.80707895</v>
      </c>
      <c r="P210" s="9">
        <f t="shared" si="86"/>
        <v>100.1087531</v>
      </c>
      <c r="Q210" s="9">
        <f t="shared" si="86"/>
        <v>104.4788852</v>
      </c>
      <c r="R210" s="9">
        <f t="shared" si="86"/>
        <v>105.0012796</v>
      </c>
      <c r="S210" s="9">
        <f t="shared" si="86"/>
        <v>105.526286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5.75" customHeight="1" outlineLevel="1">
      <c r="A211" s="1"/>
      <c r="B211" s="1"/>
      <c r="C211" s="59" t="s">
        <v>114</v>
      </c>
      <c r="D211" s="68" t="s">
        <v>35</v>
      </c>
      <c r="E211" s="19"/>
      <c r="F211" s="19"/>
      <c r="G211" s="19"/>
      <c r="H211" s="19"/>
      <c r="I211" s="19"/>
      <c r="J211" s="9">
        <f t="shared" ref="J211:S211" si="87">J162</f>
        <v>0</v>
      </c>
      <c r="K211" s="9">
        <f t="shared" si="87"/>
        <v>0</v>
      </c>
      <c r="L211" s="9">
        <f t="shared" si="87"/>
        <v>0</v>
      </c>
      <c r="M211" s="9">
        <f t="shared" si="87"/>
        <v>0</v>
      </c>
      <c r="N211" s="9">
        <f t="shared" si="87"/>
        <v>13.05148126</v>
      </c>
      <c r="O211" s="9">
        <f t="shared" si="87"/>
        <v>34.15817361</v>
      </c>
      <c r="P211" s="9">
        <f t="shared" si="87"/>
        <v>107.1063692</v>
      </c>
      <c r="Q211" s="9">
        <f t="shared" si="87"/>
        <v>186.3032902</v>
      </c>
      <c r="R211" s="9">
        <f t="shared" si="87"/>
        <v>187.2348067</v>
      </c>
      <c r="S211" s="9">
        <f t="shared" si="87"/>
        <v>188.1709807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5.75" customHeight="1" outlineLevel="1">
      <c r="A212" s="1"/>
      <c r="B212" s="1"/>
      <c r="C212" s="69" t="s">
        <v>115</v>
      </c>
      <c r="D212" s="43" t="s">
        <v>35</v>
      </c>
      <c r="E212" s="97">
        <f t="shared" ref="E212:S212" si="88">SUM(E202:E211)</f>
        <v>1487.973</v>
      </c>
      <c r="F212" s="97">
        <f t="shared" si="88"/>
        <v>1618.693</v>
      </c>
      <c r="G212" s="97">
        <f t="shared" si="88"/>
        <v>1890.922</v>
      </c>
      <c r="H212" s="97">
        <f t="shared" si="88"/>
        <v>2161.761</v>
      </c>
      <c r="I212" s="97">
        <f t="shared" si="88"/>
        <v>2363.567</v>
      </c>
      <c r="J212" s="97">
        <f t="shared" si="88"/>
        <v>3281.561557</v>
      </c>
      <c r="K212" s="97">
        <f t="shared" si="88"/>
        <v>3871.13878</v>
      </c>
      <c r="L212" s="97">
        <f t="shared" si="88"/>
        <v>4364.62762</v>
      </c>
      <c r="M212" s="97">
        <f t="shared" si="88"/>
        <v>3936.468573</v>
      </c>
      <c r="N212" s="97">
        <f t="shared" si="88"/>
        <v>4476.641508</v>
      </c>
      <c r="O212" s="97">
        <f t="shared" si="88"/>
        <v>4594.12685</v>
      </c>
      <c r="P212" s="97">
        <f t="shared" si="88"/>
        <v>4841.059768</v>
      </c>
      <c r="Q212" s="97">
        <f t="shared" si="88"/>
        <v>4060.338956</v>
      </c>
      <c r="R212" s="97">
        <f t="shared" si="88"/>
        <v>3875.607293</v>
      </c>
      <c r="S212" s="97">
        <f t="shared" si="88"/>
        <v>3778.073298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5.75" customHeight="1" outlineLevel="1">
      <c r="A213" s="1"/>
      <c r="B213" s="1"/>
      <c r="C213" s="98" t="s">
        <v>116</v>
      </c>
      <c r="D213" s="43" t="s">
        <v>24</v>
      </c>
      <c r="E213" s="24">
        <f>E212/1324.803-1</f>
        <v>0.123165482</v>
      </c>
      <c r="F213" s="24">
        <f t="shared" ref="F213:S213" si="89">F212/E212-1</f>
        <v>0.08785105644</v>
      </c>
      <c r="G213" s="24">
        <f t="shared" si="89"/>
        <v>0.1681782772</v>
      </c>
      <c r="H213" s="24">
        <f t="shared" si="89"/>
        <v>0.1432311856</v>
      </c>
      <c r="I213" s="24">
        <f t="shared" si="89"/>
        <v>0.09335259541</v>
      </c>
      <c r="J213" s="24">
        <f t="shared" si="89"/>
        <v>0.3883937106</v>
      </c>
      <c r="K213" s="24">
        <f t="shared" si="89"/>
        <v>0.1796636181</v>
      </c>
      <c r="L213" s="24">
        <f t="shared" si="89"/>
        <v>0.1274789843</v>
      </c>
      <c r="M213" s="24">
        <f t="shared" si="89"/>
        <v>-0.09809749741</v>
      </c>
      <c r="N213" s="24">
        <f t="shared" si="89"/>
        <v>0.1372227227</v>
      </c>
      <c r="O213" s="24">
        <f t="shared" si="89"/>
        <v>0.02624408093</v>
      </c>
      <c r="P213" s="24">
        <f t="shared" si="89"/>
        <v>0.05374969511</v>
      </c>
      <c r="Q213" s="24">
        <f t="shared" si="89"/>
        <v>-0.1612706411</v>
      </c>
      <c r="R213" s="24">
        <f t="shared" si="89"/>
        <v>-0.0454966111</v>
      </c>
      <c r="S213" s="24">
        <f t="shared" si="89"/>
        <v>-0.02516611926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5.75" customHeight="1" outlineLevel="1">
      <c r="A214" s="1"/>
      <c r="B214" s="1"/>
      <c r="C214" s="6"/>
      <c r="D214" s="75"/>
      <c r="E214" s="75"/>
      <c r="F214" s="99"/>
      <c r="G214" s="100"/>
      <c r="H214" s="101"/>
      <c r="I214" s="102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5.75" customHeight="1" outlineLevel="1">
      <c r="A215" s="1"/>
      <c r="B215" s="1"/>
      <c r="C215" s="59" t="s">
        <v>117</v>
      </c>
      <c r="D215" s="43" t="s">
        <v>35</v>
      </c>
      <c r="E215" s="19">
        <v>-105.386</v>
      </c>
      <c r="F215" s="19">
        <v>-110.188</v>
      </c>
      <c r="G215" s="19">
        <v>-121.544</v>
      </c>
      <c r="H215" s="19">
        <v>-127.93</v>
      </c>
      <c r="I215" s="19">
        <v>-148.917</v>
      </c>
      <c r="J215" s="88">
        <f t="shared" ref="J215:S215" si="90">-J212*J167</f>
        <v>-213.5370201</v>
      </c>
      <c r="K215" s="88">
        <f t="shared" si="90"/>
        <v>-251.9018538</v>
      </c>
      <c r="L215" s="88">
        <f t="shared" si="90"/>
        <v>-284.0140462</v>
      </c>
      <c r="M215" s="88">
        <f t="shared" si="90"/>
        <v>-256.1529791</v>
      </c>
      <c r="N215" s="88">
        <f t="shared" si="90"/>
        <v>-291.3029883</v>
      </c>
      <c r="O215" s="88">
        <f t="shared" si="90"/>
        <v>-298.9479675</v>
      </c>
      <c r="P215" s="88">
        <f t="shared" si="90"/>
        <v>-315.0163296</v>
      </c>
      <c r="Q215" s="88">
        <f t="shared" si="90"/>
        <v>-264.2134442</v>
      </c>
      <c r="R215" s="88">
        <f t="shared" si="90"/>
        <v>-252.1926278</v>
      </c>
      <c r="S215" s="88">
        <f t="shared" si="90"/>
        <v>-245.8459181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5.75" customHeight="1" outlineLevel="1">
      <c r="A216" s="1"/>
      <c r="B216" s="1"/>
      <c r="C216" s="59" t="s">
        <v>118</v>
      </c>
      <c r="D216" s="43" t="s">
        <v>35</v>
      </c>
      <c r="E216" s="43"/>
      <c r="F216" s="19"/>
      <c r="G216" s="19"/>
      <c r="H216" s="19"/>
      <c r="I216" s="19"/>
      <c r="J216" s="88">
        <f t="shared" ref="J216:S216" si="91">-J120</f>
        <v>-49.39391257</v>
      </c>
      <c r="K216" s="88">
        <f t="shared" si="91"/>
        <v>-65.60202413</v>
      </c>
      <c r="L216" s="88">
        <f t="shared" si="91"/>
        <v>-82.20360138</v>
      </c>
      <c r="M216" s="88">
        <f t="shared" si="91"/>
        <v>-99.1551915</v>
      </c>
      <c r="N216" s="88">
        <f t="shared" si="91"/>
        <v>-118.5180873</v>
      </c>
      <c r="O216" s="88">
        <f t="shared" si="91"/>
        <v>-112.1200221</v>
      </c>
      <c r="P216" s="88">
        <f t="shared" si="91"/>
        <v>-105.746884</v>
      </c>
      <c r="Q216" s="88">
        <f t="shared" si="91"/>
        <v>-99.40390687</v>
      </c>
      <c r="R216" s="88">
        <f t="shared" si="91"/>
        <v>-93.0960318</v>
      </c>
      <c r="S216" s="88">
        <f t="shared" si="91"/>
        <v>-88.75742759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5.75" customHeight="1" outlineLevel="1">
      <c r="A217" s="1"/>
      <c r="B217" s="1"/>
      <c r="C217" s="59"/>
      <c r="D217" s="43"/>
      <c r="E217" s="43"/>
      <c r="F217" s="19"/>
      <c r="G217" s="19"/>
      <c r="H217" s="19"/>
      <c r="I217" s="19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5.75" customHeight="1" outlineLevel="1">
      <c r="A218" s="1"/>
      <c r="B218" s="1"/>
      <c r="C218" s="96" t="s">
        <v>119</v>
      </c>
      <c r="D218" s="43" t="s">
        <v>35</v>
      </c>
      <c r="E218" s="104">
        <f t="shared" ref="E218:S218" si="92">E212+SUM(E215:E216)</f>
        <v>1382.587</v>
      </c>
      <c r="F218" s="104">
        <f t="shared" si="92"/>
        <v>1508.505</v>
      </c>
      <c r="G218" s="104">
        <f t="shared" si="92"/>
        <v>1769.378</v>
      </c>
      <c r="H218" s="104">
        <f t="shared" si="92"/>
        <v>2033.831</v>
      </c>
      <c r="I218" s="104">
        <f t="shared" si="92"/>
        <v>2214.65</v>
      </c>
      <c r="J218" s="104">
        <f t="shared" si="92"/>
        <v>3018.630625</v>
      </c>
      <c r="K218" s="104">
        <f t="shared" si="92"/>
        <v>3553.634902</v>
      </c>
      <c r="L218" s="104">
        <f t="shared" si="92"/>
        <v>3998.409972</v>
      </c>
      <c r="M218" s="104">
        <f t="shared" si="92"/>
        <v>3581.160403</v>
      </c>
      <c r="N218" s="104">
        <f t="shared" si="92"/>
        <v>4066.820433</v>
      </c>
      <c r="O218" s="104">
        <f t="shared" si="92"/>
        <v>4183.058861</v>
      </c>
      <c r="P218" s="104">
        <f t="shared" si="92"/>
        <v>4420.296554</v>
      </c>
      <c r="Q218" s="104">
        <f t="shared" si="92"/>
        <v>3696.721605</v>
      </c>
      <c r="R218" s="104">
        <f t="shared" si="92"/>
        <v>3530.318634</v>
      </c>
      <c r="S218" s="104">
        <f t="shared" si="92"/>
        <v>3443.469952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5.75" customHeight="1" outlineLevel="1">
      <c r="A219" s="1"/>
      <c r="B219" s="1"/>
      <c r="C219" s="98" t="s">
        <v>120</v>
      </c>
      <c r="D219" s="43" t="s">
        <v>24</v>
      </c>
      <c r="E219" s="24">
        <f t="shared" ref="E219:S219" si="93">E218/E$212</f>
        <v>0.9291747901</v>
      </c>
      <c r="F219" s="24">
        <f t="shared" si="93"/>
        <v>0.9319277961</v>
      </c>
      <c r="G219" s="24">
        <f t="shared" si="93"/>
        <v>0.9357223619</v>
      </c>
      <c r="H219" s="24">
        <f t="shared" si="93"/>
        <v>0.9408213951</v>
      </c>
      <c r="I219" s="24">
        <f t="shared" si="93"/>
        <v>0.9369948049</v>
      </c>
      <c r="J219" s="24">
        <f t="shared" si="93"/>
        <v>0.9198762759</v>
      </c>
      <c r="K219" s="24">
        <f t="shared" si="93"/>
        <v>0.9179817888</v>
      </c>
      <c r="L219" s="24">
        <f t="shared" si="93"/>
        <v>0.9160941827</v>
      </c>
      <c r="M219" s="24">
        <f t="shared" si="93"/>
        <v>0.9097393606</v>
      </c>
      <c r="N219" s="24">
        <f t="shared" si="93"/>
        <v>0.9084534523</v>
      </c>
      <c r="O219" s="24">
        <f t="shared" si="93"/>
        <v>0.9105231521</v>
      </c>
      <c r="P219" s="24">
        <f t="shared" si="93"/>
        <v>0.9130844828</v>
      </c>
      <c r="Q219" s="24">
        <f t="shared" si="93"/>
        <v>0.9104465526</v>
      </c>
      <c r="R219" s="24">
        <f t="shared" si="93"/>
        <v>0.9109072118</v>
      </c>
      <c r="S219" s="24">
        <f t="shared" si="93"/>
        <v>0.9114354542</v>
      </c>
      <c r="T219" s="24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5.75" customHeight="1" outlineLevel="1">
      <c r="A220" s="1"/>
      <c r="B220" s="1"/>
      <c r="C220" s="1"/>
      <c r="D220" s="2"/>
      <c r="E220" s="2"/>
      <c r="F220" s="2"/>
      <c r="G220" s="2"/>
      <c r="H220" s="95"/>
      <c r="I220" s="95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5.75" customHeight="1" outlineLevel="1">
      <c r="A221" s="1"/>
      <c r="B221" s="1"/>
      <c r="C221" s="6" t="s">
        <v>121</v>
      </c>
      <c r="D221" s="2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5.75" customHeight="1" outlineLevel="1">
      <c r="A222" s="1"/>
      <c r="B222" s="1"/>
      <c r="C222" s="59" t="s">
        <v>122</v>
      </c>
      <c r="D222" s="43" t="s">
        <v>35</v>
      </c>
      <c r="E222" s="89">
        <v>-665.189</v>
      </c>
      <c r="F222" s="89">
        <v>-742.598</v>
      </c>
      <c r="G222" s="89">
        <v>-910.146</v>
      </c>
      <c r="H222" s="89">
        <v>-1036.6680000000001</v>
      </c>
      <c r="I222" s="89">
        <v>-1189.608</v>
      </c>
      <c r="J222" s="88">
        <f t="shared" ref="J222:S222" si="94">-J169*J172</f>
        <v>-1609.802838</v>
      </c>
      <c r="K222" s="88">
        <f t="shared" si="94"/>
        <v>-1873.276337</v>
      </c>
      <c r="L222" s="88">
        <f t="shared" si="94"/>
        <v>-2127.00992</v>
      </c>
      <c r="M222" s="88">
        <f t="shared" si="94"/>
        <v>-1928.5868</v>
      </c>
      <c r="N222" s="88">
        <f t="shared" si="94"/>
        <v>-2225.32882</v>
      </c>
      <c r="O222" s="88">
        <f t="shared" si="94"/>
        <v>-2314.606567</v>
      </c>
      <c r="P222" s="88">
        <f t="shared" si="94"/>
        <v>-2468.051868</v>
      </c>
      <c r="Q222" s="88">
        <f t="shared" si="94"/>
        <v>-2111.428112</v>
      </c>
      <c r="R222" s="88">
        <f t="shared" si="94"/>
        <v>-2035.518942</v>
      </c>
      <c r="S222" s="88">
        <f t="shared" si="94"/>
        <v>-2004.135757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5.75" customHeight="1" outlineLevel="1">
      <c r="A223" s="1"/>
      <c r="B223" s="1"/>
      <c r="C223" s="59" t="s">
        <v>123</v>
      </c>
      <c r="D223" s="68" t="s">
        <v>35</v>
      </c>
      <c r="E223" s="19">
        <v>-101.994</v>
      </c>
      <c r="F223" s="19">
        <v>-152.065</v>
      </c>
      <c r="G223" s="19">
        <v>-201.498</v>
      </c>
      <c r="H223" s="19">
        <v>-354.814</v>
      </c>
      <c r="I223" s="19">
        <v>-259.58</v>
      </c>
      <c r="J223" s="88">
        <f t="shared" ref="J223:S223" si="95">-SUM(J175:J177)</f>
        <v>-527.007</v>
      </c>
      <c r="K223" s="88">
        <f t="shared" si="95"/>
        <v>-662.7240516</v>
      </c>
      <c r="L223" s="88">
        <f t="shared" si="95"/>
        <v>-691.6624323</v>
      </c>
      <c r="M223" s="88">
        <f t="shared" si="95"/>
        <v>-723.0150584</v>
      </c>
      <c r="N223" s="88">
        <f t="shared" si="95"/>
        <v>-752.2730454</v>
      </c>
      <c r="O223" s="88">
        <f t="shared" si="95"/>
        <v>-784.1736658</v>
      </c>
      <c r="P223" s="88">
        <f t="shared" si="95"/>
        <v>-816.6490478</v>
      </c>
      <c r="Q223" s="88">
        <f t="shared" si="95"/>
        <v>-840.3324748</v>
      </c>
      <c r="R223" s="88">
        <f t="shared" si="95"/>
        <v>-860.1964603</v>
      </c>
      <c r="S223" s="88">
        <f t="shared" si="95"/>
        <v>-879.1567017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5.75" customHeight="1" outlineLevel="1">
      <c r="A224" s="1"/>
      <c r="B224" s="1"/>
      <c r="C224" s="94" t="s">
        <v>124</v>
      </c>
      <c r="D224" s="43" t="s">
        <v>35</v>
      </c>
      <c r="E224" s="70">
        <f t="shared" ref="E224:S224" si="96">SUM(E222:E223)</f>
        <v>-767.183</v>
      </c>
      <c r="F224" s="70">
        <f t="shared" si="96"/>
        <v>-894.663</v>
      </c>
      <c r="G224" s="70">
        <f t="shared" si="96"/>
        <v>-1111.644</v>
      </c>
      <c r="H224" s="70">
        <f t="shared" si="96"/>
        <v>-1391.482</v>
      </c>
      <c r="I224" s="70">
        <f t="shared" si="96"/>
        <v>-1449.188</v>
      </c>
      <c r="J224" s="70">
        <f t="shared" si="96"/>
        <v>-2136.809838</v>
      </c>
      <c r="K224" s="70">
        <f t="shared" si="96"/>
        <v>-2536.000389</v>
      </c>
      <c r="L224" s="70">
        <f t="shared" si="96"/>
        <v>-2818.672353</v>
      </c>
      <c r="M224" s="70">
        <f t="shared" si="96"/>
        <v>-2651.601858</v>
      </c>
      <c r="N224" s="70">
        <f t="shared" si="96"/>
        <v>-2977.601866</v>
      </c>
      <c r="O224" s="70">
        <f t="shared" si="96"/>
        <v>-3098.780232</v>
      </c>
      <c r="P224" s="70">
        <f t="shared" si="96"/>
        <v>-3284.700916</v>
      </c>
      <c r="Q224" s="70">
        <f t="shared" si="96"/>
        <v>-2951.760587</v>
      </c>
      <c r="R224" s="70">
        <f t="shared" si="96"/>
        <v>-2895.715402</v>
      </c>
      <c r="S224" s="70">
        <f t="shared" si="96"/>
        <v>-2883.292459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5.75" customHeight="1" outlineLevel="1">
      <c r="A225" s="1"/>
      <c r="B225" s="1"/>
      <c r="C225" s="1"/>
      <c r="D225" s="2"/>
      <c r="E225" s="2"/>
      <c r="F225" s="2"/>
      <c r="G225" s="2"/>
      <c r="H225" s="95"/>
      <c r="I225" s="95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5.75" customHeight="1" outlineLevel="1">
      <c r="A226" s="1"/>
      <c r="B226" s="1"/>
      <c r="C226" s="6" t="s">
        <v>125</v>
      </c>
      <c r="D226" s="43" t="s">
        <v>35</v>
      </c>
      <c r="E226" s="104">
        <f t="shared" ref="E226:S226" si="97">E218+E224</f>
        <v>615.404</v>
      </c>
      <c r="F226" s="104">
        <f t="shared" si="97"/>
        <v>613.842</v>
      </c>
      <c r="G226" s="104">
        <f t="shared" si="97"/>
        <v>657.734</v>
      </c>
      <c r="H226" s="104">
        <f t="shared" si="97"/>
        <v>642.349</v>
      </c>
      <c r="I226" s="104">
        <f t="shared" si="97"/>
        <v>765.462</v>
      </c>
      <c r="J226" s="104">
        <f t="shared" si="97"/>
        <v>881.8207871</v>
      </c>
      <c r="K226" s="104">
        <f t="shared" si="97"/>
        <v>1017.634513</v>
      </c>
      <c r="L226" s="104">
        <f t="shared" si="97"/>
        <v>1179.73762</v>
      </c>
      <c r="M226" s="104">
        <f t="shared" si="97"/>
        <v>929.5585443</v>
      </c>
      <c r="N226" s="104">
        <f t="shared" si="97"/>
        <v>1089.218567</v>
      </c>
      <c r="O226" s="104">
        <f t="shared" si="97"/>
        <v>1084.278628</v>
      </c>
      <c r="P226" s="104">
        <f t="shared" si="97"/>
        <v>1135.595638</v>
      </c>
      <c r="Q226" s="104">
        <f t="shared" si="97"/>
        <v>744.9610175</v>
      </c>
      <c r="R226" s="104">
        <f t="shared" si="97"/>
        <v>634.6032317</v>
      </c>
      <c r="S226" s="104">
        <f t="shared" si="97"/>
        <v>560.177493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5.75" customHeight="1" outlineLevel="1">
      <c r="A227" s="1"/>
      <c r="B227" s="1"/>
      <c r="C227" s="98" t="s">
        <v>126</v>
      </c>
      <c r="D227" s="43" t="s">
        <v>24</v>
      </c>
      <c r="E227" s="24">
        <f t="shared" ref="E227:S227" si="98">E226/E$212</f>
        <v>0.4135854616</v>
      </c>
      <c r="F227" s="24">
        <f t="shared" si="98"/>
        <v>0.3792207664</v>
      </c>
      <c r="G227" s="24">
        <f t="shared" si="98"/>
        <v>0.3478377215</v>
      </c>
      <c r="H227" s="24">
        <f t="shared" si="98"/>
        <v>0.2971415434</v>
      </c>
      <c r="I227" s="24">
        <f t="shared" si="98"/>
        <v>0.3238588117</v>
      </c>
      <c r="J227" s="24">
        <f t="shared" si="98"/>
        <v>0.2687198676</v>
      </c>
      <c r="K227" s="24">
        <f t="shared" si="98"/>
        <v>0.2628773008</v>
      </c>
      <c r="L227" s="24">
        <f t="shared" si="98"/>
        <v>0.2702951368</v>
      </c>
      <c r="M227" s="24">
        <f t="shared" si="98"/>
        <v>0.2361402173</v>
      </c>
      <c r="N227" s="24">
        <f t="shared" si="98"/>
        <v>0.2433115462</v>
      </c>
      <c r="O227" s="24">
        <f t="shared" si="98"/>
        <v>0.2360140814</v>
      </c>
      <c r="P227" s="24">
        <f t="shared" si="98"/>
        <v>0.2345758352</v>
      </c>
      <c r="Q227" s="24">
        <f t="shared" si="98"/>
        <v>0.1834726178</v>
      </c>
      <c r="R227" s="24">
        <f t="shared" si="98"/>
        <v>0.163742914</v>
      </c>
      <c r="S227" s="24">
        <f t="shared" si="98"/>
        <v>0.148270679</v>
      </c>
      <c r="T227" s="24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5.75" customHeight="1" outlineLevel="1">
      <c r="A228" s="1"/>
      <c r="B228" s="1"/>
      <c r="C228" s="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5.75" customHeight="1" outlineLevel="1">
      <c r="A229" s="1"/>
      <c r="B229" s="1"/>
      <c r="C229" s="1" t="s">
        <v>127</v>
      </c>
      <c r="D229" s="43" t="s">
        <v>35</v>
      </c>
      <c r="E229" s="107">
        <f>-E226*Tax_Rate</f>
        <v>-92.3106</v>
      </c>
      <c r="F229" s="107">
        <f>-F226*Tax_Rate</f>
        <v>-92.0763</v>
      </c>
      <c r="G229" s="107">
        <f>-G226*Tax_Rate</f>
        <v>-98.6601</v>
      </c>
      <c r="H229" s="107">
        <f>-H226*Tax_Rate</f>
        <v>-96.35235</v>
      </c>
      <c r="I229" s="107">
        <f>-I226*Tax_Rate</f>
        <v>-114.8193</v>
      </c>
      <c r="J229" s="107">
        <f>-J226*Tax_Rate</f>
        <v>-132.2731181</v>
      </c>
      <c r="K229" s="107">
        <f>-K226*Tax_Rate</f>
        <v>-152.645177</v>
      </c>
      <c r="L229" s="107">
        <f>-L226*Tax_Rate</f>
        <v>-176.9606429</v>
      </c>
      <c r="M229" s="107">
        <f>-M226*Tax_Rate</f>
        <v>-139.4337816</v>
      </c>
      <c r="N229" s="107">
        <f>-N226*Tax_Rate</f>
        <v>-163.3827851</v>
      </c>
      <c r="O229" s="107">
        <f>-O226*Tax_Rate</f>
        <v>-162.6417943</v>
      </c>
      <c r="P229" s="107">
        <f>-P226*Tax_Rate</f>
        <v>-170.3393458</v>
      </c>
      <c r="Q229" s="107">
        <f>-Q226*Tax_Rate</f>
        <v>-111.7441526</v>
      </c>
      <c r="R229" s="107">
        <f>-R226*Tax_Rate</f>
        <v>-95.19048476</v>
      </c>
      <c r="S229" s="107">
        <f>-S226*Tax_Rate</f>
        <v>-84.02662395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5.75" customHeight="1" outlineLevel="1">
      <c r="A230" s="1"/>
      <c r="B230" s="1"/>
      <c r="C230" s="1"/>
      <c r="D230" s="24"/>
      <c r="E230" s="24"/>
      <c r="F230" s="24"/>
      <c r="G230" s="24"/>
      <c r="H230" s="24"/>
      <c r="I230" s="24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5.75" customHeight="1" outlineLevel="1">
      <c r="A231" s="1"/>
      <c r="B231" s="1"/>
      <c r="C231" s="6" t="s">
        <v>128</v>
      </c>
      <c r="D231" s="43" t="s">
        <v>35</v>
      </c>
      <c r="E231" s="108">
        <f t="shared" ref="E231:S231" si="99">E226+E229</f>
        <v>523.0934</v>
      </c>
      <c r="F231" s="108">
        <f t="shared" si="99"/>
        <v>521.7657</v>
      </c>
      <c r="G231" s="108">
        <f t="shared" si="99"/>
        <v>559.0739</v>
      </c>
      <c r="H231" s="108">
        <f t="shared" si="99"/>
        <v>545.99665</v>
      </c>
      <c r="I231" s="108">
        <f t="shared" si="99"/>
        <v>650.6427</v>
      </c>
      <c r="J231" s="108">
        <f t="shared" si="99"/>
        <v>749.5476691</v>
      </c>
      <c r="K231" s="108">
        <f t="shared" si="99"/>
        <v>864.9893364</v>
      </c>
      <c r="L231" s="108">
        <f t="shared" si="99"/>
        <v>1002.776977</v>
      </c>
      <c r="M231" s="108">
        <f t="shared" si="99"/>
        <v>790.1247626</v>
      </c>
      <c r="N231" s="108">
        <f t="shared" si="99"/>
        <v>925.8357822</v>
      </c>
      <c r="O231" s="108">
        <f t="shared" si="99"/>
        <v>921.6368342</v>
      </c>
      <c r="P231" s="108">
        <f t="shared" si="99"/>
        <v>965.2562926</v>
      </c>
      <c r="Q231" s="108">
        <f t="shared" si="99"/>
        <v>633.2168648</v>
      </c>
      <c r="R231" s="108">
        <f t="shared" si="99"/>
        <v>539.412747</v>
      </c>
      <c r="S231" s="108">
        <f t="shared" si="99"/>
        <v>476.1508691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5.75" customHeight="1" outlineLevel="1">
      <c r="A232" s="1"/>
      <c r="B232" s="1"/>
      <c r="C232" s="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5.75" customHeight="1" outlineLevel="1">
      <c r="A233" s="1"/>
      <c r="B233" s="1"/>
      <c r="C233" s="6" t="s">
        <v>129</v>
      </c>
      <c r="D233" s="2"/>
      <c r="E233" s="2"/>
      <c r="F233" s="2"/>
      <c r="G233" s="105"/>
      <c r="H233" s="105"/>
      <c r="I233" s="10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5.75" customHeight="1" outlineLevel="1">
      <c r="A234" s="1"/>
      <c r="B234" s="1"/>
      <c r="C234" s="59" t="s">
        <v>130</v>
      </c>
      <c r="D234" s="43" t="s">
        <v>35</v>
      </c>
      <c r="E234" s="107">
        <f t="shared" ref="E234:S234" si="100">-E223</f>
        <v>101.994</v>
      </c>
      <c r="F234" s="107">
        <f t="shared" si="100"/>
        <v>152.065</v>
      </c>
      <c r="G234" s="107">
        <f t="shared" si="100"/>
        <v>201.498</v>
      </c>
      <c r="H234" s="107">
        <f t="shared" si="100"/>
        <v>354.814</v>
      </c>
      <c r="I234" s="107">
        <f t="shared" si="100"/>
        <v>259.58</v>
      </c>
      <c r="J234" s="107">
        <f t="shared" si="100"/>
        <v>527.007</v>
      </c>
      <c r="K234" s="107">
        <f t="shared" si="100"/>
        <v>662.7240516</v>
      </c>
      <c r="L234" s="107">
        <f t="shared" si="100"/>
        <v>691.6624323</v>
      </c>
      <c r="M234" s="107">
        <f t="shared" si="100"/>
        <v>723.0150584</v>
      </c>
      <c r="N234" s="107">
        <f t="shared" si="100"/>
        <v>752.2730454</v>
      </c>
      <c r="O234" s="107">
        <f t="shared" si="100"/>
        <v>784.1736658</v>
      </c>
      <c r="P234" s="107">
        <f t="shared" si="100"/>
        <v>816.6490478</v>
      </c>
      <c r="Q234" s="107">
        <f t="shared" si="100"/>
        <v>840.3324748</v>
      </c>
      <c r="R234" s="107">
        <f t="shared" si="100"/>
        <v>860.1964603</v>
      </c>
      <c r="S234" s="107">
        <f t="shared" si="100"/>
        <v>879.1567017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5.75" customHeight="1" outlineLevel="1">
      <c r="A235" s="1"/>
      <c r="B235" s="1"/>
      <c r="C235" s="59" t="s">
        <v>131</v>
      </c>
      <c r="D235" s="43" t="s">
        <v>35</v>
      </c>
      <c r="E235" s="19">
        <v>11.786</v>
      </c>
      <c r="F235" s="19">
        <v>13.089</v>
      </c>
      <c r="G235" s="19">
        <v>15.233</v>
      </c>
      <c r="H235" s="19">
        <v>15.342</v>
      </c>
      <c r="I235" s="19">
        <v>18.673</v>
      </c>
      <c r="J235" s="107">
        <f t="shared" ref="J235:S235" si="101">J212*J179</f>
        <v>25.63568592</v>
      </c>
      <c r="K235" s="107">
        <f t="shared" si="101"/>
        <v>30.24148601</v>
      </c>
      <c r="L235" s="107">
        <f t="shared" si="101"/>
        <v>34.09663993</v>
      </c>
      <c r="M235" s="107">
        <f t="shared" si="101"/>
        <v>30.75184488</v>
      </c>
      <c r="N235" s="107">
        <f t="shared" si="101"/>
        <v>34.97169676</v>
      </c>
      <c r="O235" s="107">
        <f t="shared" si="101"/>
        <v>35.8894968</v>
      </c>
      <c r="P235" s="107">
        <f t="shared" si="101"/>
        <v>37.81854632</v>
      </c>
      <c r="Q235" s="107">
        <f t="shared" si="101"/>
        <v>31.71952511</v>
      </c>
      <c r="R235" s="107">
        <f t="shared" si="101"/>
        <v>30.27639421</v>
      </c>
      <c r="S235" s="107">
        <f t="shared" si="101"/>
        <v>29.51445486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5.75" customHeight="1" outlineLevel="1">
      <c r="A236" s="1"/>
      <c r="B236" s="1"/>
      <c r="C236" s="59" t="s">
        <v>132</v>
      </c>
      <c r="D236" s="43" t="s">
        <v>35</v>
      </c>
      <c r="E236" s="19">
        <v>-41.163</v>
      </c>
      <c r="F236" s="19">
        <v>-225.591</v>
      </c>
      <c r="G236" s="19">
        <v>-88.815</v>
      </c>
      <c r="H236" s="19">
        <v>-236.61</v>
      </c>
      <c r="I236" s="19">
        <v>-136.937</v>
      </c>
      <c r="J236" s="107">
        <f t="shared" ref="J236:S236" si="102">J185</f>
        <v>-104.1549959</v>
      </c>
      <c r="K236" s="107">
        <f t="shared" si="102"/>
        <v>-128.4421486</v>
      </c>
      <c r="L236" s="107">
        <f t="shared" si="102"/>
        <v>-136.484072</v>
      </c>
      <c r="M236" s="107">
        <f t="shared" si="102"/>
        <v>-137.9757731</v>
      </c>
      <c r="N236" s="107">
        <f t="shared" si="102"/>
        <v>-145.7442719</v>
      </c>
      <c r="O236" s="107">
        <f t="shared" si="102"/>
        <v>-151.3928822</v>
      </c>
      <c r="P236" s="107">
        <f t="shared" si="102"/>
        <v>-157.3529875</v>
      </c>
      <c r="Q236" s="107">
        <f t="shared" si="102"/>
        <v>-155.2843117</v>
      </c>
      <c r="R236" s="107">
        <f t="shared" si="102"/>
        <v>-156.3525005</v>
      </c>
      <c r="S236" s="107">
        <f t="shared" si="102"/>
        <v>-158.508922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5.75" customHeight="1" outlineLevel="1">
      <c r="A237" s="1"/>
      <c r="B237" s="1"/>
      <c r="C237" s="59" t="s">
        <v>133</v>
      </c>
      <c r="D237" s="43" t="s">
        <v>35</v>
      </c>
      <c r="E237" s="9">
        <f>2.209-3.741</f>
        <v>-1.532</v>
      </c>
      <c r="F237" s="9">
        <f>2.19+14.321</f>
        <v>16.511</v>
      </c>
      <c r="G237" s="9">
        <f>4.728+7.357</f>
        <v>12.085</v>
      </c>
      <c r="H237" s="9">
        <f>6.668+0.059</f>
        <v>6.727</v>
      </c>
      <c r="I237" s="9">
        <f>15+14.58</f>
        <v>29.58</v>
      </c>
      <c r="J237" s="107">
        <f t="shared" ref="J237:S237" si="103">J193</f>
        <v>12.6742</v>
      </c>
      <c r="K237" s="107">
        <f t="shared" si="103"/>
        <v>12.6742</v>
      </c>
      <c r="L237" s="107">
        <f t="shared" si="103"/>
        <v>12.6742</v>
      </c>
      <c r="M237" s="107">
        <f t="shared" si="103"/>
        <v>12.6742</v>
      </c>
      <c r="N237" s="107">
        <f t="shared" si="103"/>
        <v>12.6742</v>
      </c>
      <c r="O237" s="107">
        <f t="shared" si="103"/>
        <v>12.6742</v>
      </c>
      <c r="P237" s="107">
        <f t="shared" si="103"/>
        <v>12.6742</v>
      </c>
      <c r="Q237" s="107">
        <f t="shared" si="103"/>
        <v>12.6742</v>
      </c>
      <c r="R237" s="107">
        <f t="shared" si="103"/>
        <v>12.6742</v>
      </c>
      <c r="S237" s="107">
        <f t="shared" si="103"/>
        <v>12.6742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5.75" customHeight="1" outlineLevel="1">
      <c r="A238" s="1"/>
      <c r="B238" s="1"/>
      <c r="C238" s="94" t="s">
        <v>134</v>
      </c>
      <c r="D238" s="109" t="s">
        <v>35</v>
      </c>
      <c r="E238" s="97">
        <f t="shared" ref="E238:S238" si="104">SUM(E234:E237)</f>
        <v>71.085</v>
      </c>
      <c r="F238" s="97">
        <f t="shared" si="104"/>
        <v>-43.926</v>
      </c>
      <c r="G238" s="97">
        <f t="shared" si="104"/>
        <v>140.001</v>
      </c>
      <c r="H238" s="97">
        <f t="shared" si="104"/>
        <v>140.273</v>
      </c>
      <c r="I238" s="97">
        <f t="shared" si="104"/>
        <v>170.896</v>
      </c>
      <c r="J238" s="97">
        <f t="shared" si="104"/>
        <v>461.16189</v>
      </c>
      <c r="K238" s="97">
        <f t="shared" si="104"/>
        <v>577.197589</v>
      </c>
      <c r="L238" s="97">
        <f t="shared" si="104"/>
        <v>601.9492002</v>
      </c>
      <c r="M238" s="97">
        <f t="shared" si="104"/>
        <v>628.4653302</v>
      </c>
      <c r="N238" s="97">
        <f t="shared" si="104"/>
        <v>654.1746703</v>
      </c>
      <c r="O238" s="97">
        <f t="shared" si="104"/>
        <v>681.3444804</v>
      </c>
      <c r="P238" s="97">
        <f t="shared" si="104"/>
        <v>709.7888066</v>
      </c>
      <c r="Q238" s="97">
        <f t="shared" si="104"/>
        <v>729.4418882</v>
      </c>
      <c r="R238" s="97">
        <f t="shared" si="104"/>
        <v>746.794554</v>
      </c>
      <c r="S238" s="97">
        <f t="shared" si="104"/>
        <v>762.8364346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5.75" customHeight="1" outlineLevel="1">
      <c r="A239" s="1"/>
      <c r="B239" s="1"/>
      <c r="C239" s="1"/>
      <c r="D239" s="2"/>
      <c r="E239" s="2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5.75" customHeight="1" outlineLevel="1">
      <c r="A240" s="1"/>
      <c r="B240" s="1"/>
      <c r="C240" s="6" t="s">
        <v>135</v>
      </c>
      <c r="D240" s="43" t="s">
        <v>35</v>
      </c>
      <c r="E240" s="110">
        <v>-20.864</v>
      </c>
      <c r="F240" s="110">
        <v>26.766</v>
      </c>
      <c r="G240" s="110">
        <v>21.083</v>
      </c>
      <c r="H240" s="110">
        <v>-154.173</v>
      </c>
      <c r="I240" s="110">
        <v>-85.437</v>
      </c>
      <c r="J240" s="108">
        <f t="shared" ref="J240:S240" si="105">(J212-I212)*J187</f>
        <v>-153.9050228</v>
      </c>
      <c r="K240" s="108">
        <f t="shared" si="105"/>
        <v>-98.84469918</v>
      </c>
      <c r="L240" s="108">
        <f t="shared" si="105"/>
        <v>-82.73514318</v>
      </c>
      <c r="M240" s="108">
        <f t="shared" si="105"/>
        <v>71.78237311</v>
      </c>
      <c r="N240" s="108">
        <f t="shared" si="105"/>
        <v>-90.56189632</v>
      </c>
      <c r="O240" s="108">
        <f t="shared" si="105"/>
        <v>-19.69683164</v>
      </c>
      <c r="P240" s="108">
        <f t="shared" si="105"/>
        <v>-41.39917388</v>
      </c>
      <c r="Q240" s="108">
        <f t="shared" si="105"/>
        <v>130.8905957</v>
      </c>
      <c r="R240" s="108">
        <f t="shared" si="105"/>
        <v>30.97091424</v>
      </c>
      <c r="S240" s="108">
        <f t="shared" si="105"/>
        <v>16.35191806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5.75" customHeight="1" outlineLevel="1">
      <c r="A241" s="1"/>
      <c r="B241" s="1"/>
      <c r="C241" s="98" t="s">
        <v>136</v>
      </c>
      <c r="D241" s="43" t="s">
        <v>24</v>
      </c>
      <c r="E241" s="24">
        <f t="shared" ref="E241:S241" si="106">E187</f>
        <v>-0.1278674258</v>
      </c>
      <c r="F241" s="24">
        <f t="shared" si="106"/>
        <v>0.2047582619</v>
      </c>
      <c r="G241" s="24">
        <f t="shared" si="106"/>
        <v>0.07744582686</v>
      </c>
      <c r="H241" s="24">
        <f t="shared" si="106"/>
        <v>-0.5692422435</v>
      </c>
      <c r="I241" s="24">
        <f t="shared" si="106"/>
        <v>-0.4233620408</v>
      </c>
      <c r="J241" s="24">
        <f t="shared" si="106"/>
        <v>-0.1676535243</v>
      </c>
      <c r="K241" s="24">
        <f t="shared" si="106"/>
        <v>-0.1676535243</v>
      </c>
      <c r="L241" s="24">
        <f t="shared" si="106"/>
        <v>-0.1676535243</v>
      </c>
      <c r="M241" s="24">
        <f t="shared" si="106"/>
        <v>-0.1676535243</v>
      </c>
      <c r="N241" s="24">
        <f t="shared" si="106"/>
        <v>-0.1676535243</v>
      </c>
      <c r="O241" s="24">
        <f t="shared" si="106"/>
        <v>-0.1676535243</v>
      </c>
      <c r="P241" s="24">
        <f t="shared" si="106"/>
        <v>-0.1676535243</v>
      </c>
      <c r="Q241" s="24">
        <f t="shared" si="106"/>
        <v>-0.1676535243</v>
      </c>
      <c r="R241" s="24">
        <f t="shared" si="106"/>
        <v>-0.1676535243</v>
      </c>
      <c r="S241" s="24">
        <f t="shared" si="106"/>
        <v>-0.1676535243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5.75" customHeight="1" outlineLevel="1">
      <c r="A242" s="1"/>
      <c r="B242" s="1"/>
      <c r="C242" s="1"/>
      <c r="D242" s="2"/>
      <c r="E242" s="2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5.75" customHeight="1" outlineLevel="1">
      <c r="A243" s="1"/>
      <c r="B243" s="1"/>
      <c r="C243" s="6" t="s">
        <v>137</v>
      </c>
      <c r="D243" s="43" t="s">
        <v>35</v>
      </c>
      <c r="E243" s="110">
        <v>-9.687</v>
      </c>
      <c r="F243" s="110">
        <v>-28.95</v>
      </c>
      <c r="G243" s="110">
        <v>-20.37</v>
      </c>
      <c r="H243" s="110">
        <v>-40.135</v>
      </c>
      <c r="I243" s="110">
        <v>-15.004</v>
      </c>
      <c r="J243" s="108">
        <f t="shared" ref="J243:S243" si="107">-J212*J189</f>
        <v>-39.43218591</v>
      </c>
      <c r="K243" s="108">
        <f t="shared" si="107"/>
        <v>-46.5167151</v>
      </c>
      <c r="L243" s="108">
        <f t="shared" si="107"/>
        <v>-52.44661869</v>
      </c>
      <c r="M243" s="108">
        <f t="shared" si="107"/>
        <v>-47.30173665</v>
      </c>
      <c r="N243" s="108">
        <f t="shared" si="107"/>
        <v>-53.79260974</v>
      </c>
      <c r="O243" s="108">
        <f t="shared" si="107"/>
        <v>-55.20434734</v>
      </c>
      <c r="P243" s="108">
        <f t="shared" si="107"/>
        <v>-58.17156418</v>
      </c>
      <c r="Q243" s="108">
        <f t="shared" si="107"/>
        <v>-48.79019873</v>
      </c>
      <c r="R243" s="108">
        <f t="shared" si="107"/>
        <v>-46.57041004</v>
      </c>
      <c r="S243" s="108">
        <f t="shared" si="107"/>
        <v>-45.39841354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5.75" customHeight="1" outlineLevel="1">
      <c r="A244" s="1"/>
      <c r="B244" s="1"/>
      <c r="C244" s="98" t="s">
        <v>90</v>
      </c>
      <c r="D244" s="43" t="s">
        <v>24</v>
      </c>
      <c r="E244" s="24">
        <f t="shared" ref="E244:S244" si="108">E189</f>
        <v>0.006510198774</v>
      </c>
      <c r="F244" s="24">
        <f t="shared" si="108"/>
        <v>0.01788479965</v>
      </c>
      <c r="G244" s="24">
        <f t="shared" si="108"/>
        <v>0.01077252261</v>
      </c>
      <c r="H244" s="24">
        <f t="shared" si="108"/>
        <v>0.01856588217</v>
      </c>
      <c r="I244" s="24">
        <f t="shared" si="108"/>
        <v>0.006348032444</v>
      </c>
      <c r="J244" s="24">
        <f t="shared" si="108"/>
        <v>0.01201628713</v>
      </c>
      <c r="K244" s="24">
        <f t="shared" si="108"/>
        <v>0.01201628713</v>
      </c>
      <c r="L244" s="24">
        <f t="shared" si="108"/>
        <v>0.01201628713</v>
      </c>
      <c r="M244" s="24">
        <f t="shared" si="108"/>
        <v>0.01201628713</v>
      </c>
      <c r="N244" s="24">
        <f t="shared" si="108"/>
        <v>0.01201628713</v>
      </c>
      <c r="O244" s="24">
        <f t="shared" si="108"/>
        <v>0.01201628713</v>
      </c>
      <c r="P244" s="24">
        <f t="shared" si="108"/>
        <v>0.01201628713</v>
      </c>
      <c r="Q244" s="24">
        <f t="shared" si="108"/>
        <v>0.01201628713</v>
      </c>
      <c r="R244" s="24">
        <f t="shared" si="108"/>
        <v>0.01201628713</v>
      </c>
      <c r="S244" s="24">
        <f t="shared" si="108"/>
        <v>0.01201628713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5.75" customHeight="1" outlineLevel="1">
      <c r="A245" s="1"/>
      <c r="B245" s="1"/>
      <c r="C245" s="1"/>
      <c r="D245" s="2"/>
      <c r="E245" s="2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5.75" customHeight="1" outlineLevel="1">
      <c r="A246" s="1"/>
      <c r="B246" s="1"/>
      <c r="C246" s="6" t="s">
        <v>138</v>
      </c>
      <c r="D246" s="43" t="s">
        <v>35</v>
      </c>
      <c r="E246" s="110">
        <v>-150.0</v>
      </c>
      <c r="F246" s="110">
        <v>0.0</v>
      </c>
      <c r="G246" s="110">
        <v>-111.1</v>
      </c>
      <c r="H246" s="110">
        <v>-80.5</v>
      </c>
      <c r="I246" s="110">
        <v>-113.0</v>
      </c>
      <c r="J246" s="108">
        <f t="shared" ref="J246:S246" si="109">-J212*J190</f>
        <v>-160.5405163</v>
      </c>
      <c r="K246" s="108">
        <f t="shared" si="109"/>
        <v>-189.3838063</v>
      </c>
      <c r="L246" s="108">
        <f t="shared" si="109"/>
        <v>-213.5262616</v>
      </c>
      <c r="M246" s="108">
        <f t="shared" si="109"/>
        <v>-192.5798697</v>
      </c>
      <c r="N246" s="108">
        <f t="shared" si="109"/>
        <v>-219.0062037</v>
      </c>
      <c r="O246" s="108">
        <f t="shared" si="109"/>
        <v>-224.7538203</v>
      </c>
      <c r="P246" s="108">
        <f t="shared" si="109"/>
        <v>-236.8342696</v>
      </c>
      <c r="Q246" s="108">
        <f t="shared" si="109"/>
        <v>-198.6398551</v>
      </c>
      <c r="R246" s="108">
        <f t="shared" si="109"/>
        <v>-189.6024149</v>
      </c>
      <c r="S246" s="108">
        <f t="shared" si="109"/>
        <v>-184.8308579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5.75" customHeight="1" outlineLevel="1">
      <c r="A247" s="1"/>
      <c r="B247" s="1"/>
      <c r="C247" s="98" t="s">
        <v>90</v>
      </c>
      <c r="D247" s="43" t="s">
        <v>24</v>
      </c>
      <c r="E247" s="24">
        <f t="shared" ref="E247:S247" si="110">E190</f>
        <v>0.1008082808</v>
      </c>
      <c r="F247" s="24">
        <f t="shared" si="110"/>
        <v>0</v>
      </c>
      <c r="G247" s="24">
        <f t="shared" si="110"/>
        <v>0.05875440658</v>
      </c>
      <c r="H247" s="24">
        <f t="shared" si="110"/>
        <v>0.03723815907</v>
      </c>
      <c r="I247" s="24">
        <f t="shared" si="110"/>
        <v>0.04780909532</v>
      </c>
      <c r="J247" s="24">
        <f t="shared" si="110"/>
        <v>0.04892198835</v>
      </c>
      <c r="K247" s="24">
        <f t="shared" si="110"/>
        <v>0.04892198835</v>
      </c>
      <c r="L247" s="24">
        <f t="shared" si="110"/>
        <v>0.04892198835</v>
      </c>
      <c r="M247" s="24">
        <f t="shared" si="110"/>
        <v>0.04892198835</v>
      </c>
      <c r="N247" s="24">
        <f t="shared" si="110"/>
        <v>0.04892198835</v>
      </c>
      <c r="O247" s="24">
        <f t="shared" si="110"/>
        <v>0.04892198835</v>
      </c>
      <c r="P247" s="24">
        <f t="shared" si="110"/>
        <v>0.04892198835</v>
      </c>
      <c r="Q247" s="24">
        <f t="shared" si="110"/>
        <v>0.04892198835</v>
      </c>
      <c r="R247" s="24">
        <f t="shared" si="110"/>
        <v>0.04892198835</v>
      </c>
      <c r="S247" s="24">
        <f t="shared" si="110"/>
        <v>0.04892198835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5.75" customHeight="1" outlineLevel="1">
      <c r="A248" s="1"/>
      <c r="B248" s="1"/>
      <c r="C248" s="1"/>
      <c r="D248" s="2"/>
      <c r="E248" s="2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5.75" customHeight="1" outlineLevel="1">
      <c r="A249" s="1"/>
      <c r="B249" s="1"/>
      <c r="C249" s="6" t="s">
        <v>139</v>
      </c>
      <c r="D249" s="43" t="s">
        <v>35</v>
      </c>
      <c r="E249" s="110">
        <v>0.0</v>
      </c>
      <c r="F249" s="110">
        <v>0.0</v>
      </c>
      <c r="G249" s="110">
        <v>0.0</v>
      </c>
      <c r="H249" s="110">
        <v>0.0</v>
      </c>
      <c r="I249" s="110">
        <v>0.0</v>
      </c>
      <c r="J249" s="108">
        <f t="shared" ref="J249:S249" si="111">-J118</f>
        <v>-100</v>
      </c>
      <c r="K249" s="108">
        <f t="shared" si="111"/>
        <v>-100</v>
      </c>
      <c r="L249" s="108">
        <f t="shared" si="111"/>
        <v>-100</v>
      </c>
      <c r="M249" s="108">
        <f t="shared" si="111"/>
        <v>-100</v>
      </c>
      <c r="N249" s="108">
        <f t="shared" si="111"/>
        <v>-100</v>
      </c>
      <c r="O249" s="108">
        <f t="shared" si="111"/>
        <v>-100</v>
      </c>
      <c r="P249" s="108">
        <f t="shared" si="111"/>
        <v>0</v>
      </c>
      <c r="Q249" s="108">
        <f t="shared" si="111"/>
        <v>0</v>
      </c>
      <c r="R249" s="108">
        <f t="shared" si="111"/>
        <v>0</v>
      </c>
      <c r="S249" s="108">
        <f t="shared" si="111"/>
        <v>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5.75" customHeight="1" outlineLevel="1">
      <c r="A250" s="1"/>
      <c r="B250" s="1"/>
      <c r="C250" s="1"/>
      <c r="D250" s="2"/>
      <c r="E250" s="2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5.75" customHeight="1" outlineLevel="1">
      <c r="A251" s="1"/>
      <c r="B251" s="1"/>
      <c r="C251" s="6" t="s">
        <v>140</v>
      </c>
      <c r="D251" s="43" t="s">
        <v>35</v>
      </c>
      <c r="E251" s="110">
        <v>-1502.443</v>
      </c>
      <c r="F251" s="110">
        <v>0.0</v>
      </c>
      <c r="G251" s="110">
        <v>0.0</v>
      </c>
      <c r="H251" s="110">
        <v>-55.074</v>
      </c>
      <c r="I251" s="110">
        <v>0.0</v>
      </c>
      <c r="J251" s="108">
        <f t="shared" ref="J251:S251" si="112">-J191</f>
        <v>-6234.792</v>
      </c>
      <c r="K251" s="108">
        <f t="shared" si="112"/>
        <v>0</v>
      </c>
      <c r="L251" s="108">
        <f t="shared" si="112"/>
        <v>0</v>
      </c>
      <c r="M251" s="108">
        <f t="shared" si="112"/>
        <v>0</v>
      </c>
      <c r="N251" s="108">
        <f t="shared" si="112"/>
        <v>0</v>
      </c>
      <c r="O251" s="108">
        <f t="shared" si="112"/>
        <v>0</v>
      </c>
      <c r="P251" s="108">
        <f t="shared" si="112"/>
        <v>0</v>
      </c>
      <c r="Q251" s="108">
        <f t="shared" si="112"/>
        <v>0</v>
      </c>
      <c r="R251" s="108">
        <f t="shared" si="112"/>
        <v>0</v>
      </c>
      <c r="S251" s="108">
        <f t="shared" si="112"/>
        <v>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5.75" customHeight="1" outlineLevel="1">
      <c r="A252" s="1"/>
      <c r="B252" s="1"/>
      <c r="C252" s="1"/>
      <c r="D252" s="2"/>
      <c r="E252" s="2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5.75" customHeight="1" outlineLevel="1">
      <c r="A253" s="1"/>
      <c r="B253" s="1"/>
      <c r="C253" s="111" t="s">
        <v>141</v>
      </c>
      <c r="D253" s="112" t="s">
        <v>35</v>
      </c>
      <c r="E253" s="113">
        <f t="shared" ref="E253:S253" si="113">E231+E238+E240+E243+E246+E249+E251</f>
        <v>-1088.8156</v>
      </c>
      <c r="F253" s="114">
        <f t="shared" si="113"/>
        <v>475.6557</v>
      </c>
      <c r="G253" s="114">
        <f t="shared" si="113"/>
        <v>588.6879</v>
      </c>
      <c r="H253" s="114">
        <f t="shared" si="113"/>
        <v>356.38765</v>
      </c>
      <c r="I253" s="114">
        <f t="shared" si="113"/>
        <v>608.0977</v>
      </c>
      <c r="J253" s="114">
        <f t="shared" si="113"/>
        <v>-5477.960166</v>
      </c>
      <c r="K253" s="114">
        <f t="shared" si="113"/>
        <v>1007.441705</v>
      </c>
      <c r="L253" s="114">
        <f t="shared" si="113"/>
        <v>1156.018153</v>
      </c>
      <c r="M253" s="114">
        <f t="shared" si="113"/>
        <v>1150.49086</v>
      </c>
      <c r="N253" s="114">
        <f t="shared" si="113"/>
        <v>1116.649743</v>
      </c>
      <c r="O253" s="114">
        <f t="shared" si="113"/>
        <v>1203.326315</v>
      </c>
      <c r="P253" s="114">
        <f t="shared" si="113"/>
        <v>1338.640092</v>
      </c>
      <c r="Q253" s="114">
        <f t="shared" si="113"/>
        <v>1246.119295</v>
      </c>
      <c r="R253" s="114">
        <f t="shared" si="113"/>
        <v>1081.00539</v>
      </c>
      <c r="S253" s="114">
        <f t="shared" si="113"/>
        <v>1025.10995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5.75" customHeight="1" outlineLevel="1">
      <c r="A254" s="1"/>
      <c r="B254" s="1"/>
      <c r="C254" s="98" t="s">
        <v>142</v>
      </c>
      <c r="D254" s="43" t="s">
        <v>24</v>
      </c>
      <c r="E254" s="24" t="str">
        <f t="shared" ref="E254:S254" si="114">IFERROR(E253/D253-1,"N/A")</f>
        <v>N/A</v>
      </c>
      <c r="F254" s="24">
        <f t="shared" si="114"/>
        <v>-1.436856066</v>
      </c>
      <c r="G254" s="24">
        <f t="shared" si="114"/>
        <v>0.2376344907</v>
      </c>
      <c r="H254" s="24">
        <f t="shared" si="114"/>
        <v>-0.3946068027</v>
      </c>
      <c r="I254" s="24">
        <f t="shared" si="114"/>
        <v>0.706281629</v>
      </c>
      <c r="J254" s="24">
        <f t="shared" si="114"/>
        <v>-10.00835534</v>
      </c>
      <c r="K254" s="24">
        <f t="shared" si="114"/>
        <v>-1.183908184</v>
      </c>
      <c r="L254" s="24">
        <f t="shared" si="114"/>
        <v>0.1474789536</v>
      </c>
      <c r="M254" s="24">
        <f t="shared" si="114"/>
        <v>-0.004781320882</v>
      </c>
      <c r="N254" s="24">
        <f t="shared" si="114"/>
        <v>-0.02941450311</v>
      </c>
      <c r="O254" s="24">
        <f t="shared" si="114"/>
        <v>0.07762198774</v>
      </c>
      <c r="P254" s="24">
        <f t="shared" si="114"/>
        <v>0.1124497774</v>
      </c>
      <c r="Q254" s="24">
        <f t="shared" si="114"/>
        <v>-0.06911551307</v>
      </c>
      <c r="R254" s="24">
        <f t="shared" si="114"/>
        <v>-0.1325024861</v>
      </c>
      <c r="S254" s="24">
        <f t="shared" si="114"/>
        <v>-0.05170690225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5.75" customHeight="1" outlineLevel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5.75" customHeight="1" outlineLevel="1">
      <c r="A256" s="1"/>
      <c r="B256" s="1"/>
      <c r="C256" s="115" t="s">
        <v>143</v>
      </c>
      <c r="D256" s="116" t="s">
        <v>35</v>
      </c>
      <c r="E256" s="117">
        <f t="shared" ref="E256:S256" si="115">E226+E234+E235</f>
        <v>729.184</v>
      </c>
      <c r="F256" s="117">
        <f t="shared" si="115"/>
        <v>778.996</v>
      </c>
      <c r="G256" s="117">
        <f t="shared" si="115"/>
        <v>874.465</v>
      </c>
      <c r="H256" s="117">
        <f t="shared" si="115"/>
        <v>1012.505</v>
      </c>
      <c r="I256" s="117">
        <f t="shared" si="115"/>
        <v>1043.715</v>
      </c>
      <c r="J256" s="117">
        <f t="shared" si="115"/>
        <v>1434.463473</v>
      </c>
      <c r="K256" s="117">
        <f t="shared" si="115"/>
        <v>1710.600051</v>
      </c>
      <c r="L256" s="117">
        <f t="shared" si="115"/>
        <v>1905.496692</v>
      </c>
      <c r="M256" s="117">
        <f t="shared" si="115"/>
        <v>1683.325448</v>
      </c>
      <c r="N256" s="117">
        <f t="shared" si="115"/>
        <v>1876.463309</v>
      </c>
      <c r="O256" s="117">
        <f t="shared" si="115"/>
        <v>1904.341791</v>
      </c>
      <c r="P256" s="117">
        <f t="shared" si="115"/>
        <v>1990.063232</v>
      </c>
      <c r="Q256" s="117">
        <f t="shared" si="115"/>
        <v>1617.013017</v>
      </c>
      <c r="R256" s="117">
        <f t="shared" si="115"/>
        <v>1525.076086</v>
      </c>
      <c r="S256" s="117">
        <f t="shared" si="115"/>
        <v>1468.84865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5.75" customHeight="1" outlineLevel="1">
      <c r="A257" s="1"/>
      <c r="B257" s="1"/>
      <c r="C257" s="98" t="s">
        <v>144</v>
      </c>
      <c r="D257" s="43" t="s">
        <v>24</v>
      </c>
      <c r="E257" s="24" t="str">
        <f t="shared" ref="E257:S257" si="116">IFERROR(E256/D256-1,"N/A")</f>
        <v>N/A</v>
      </c>
      <c r="F257" s="24">
        <f t="shared" si="116"/>
        <v>0.06831197613</v>
      </c>
      <c r="G257" s="24">
        <f t="shared" si="116"/>
        <v>0.1225539027</v>
      </c>
      <c r="H257" s="24">
        <f t="shared" si="116"/>
        <v>0.157856518</v>
      </c>
      <c r="I257" s="24">
        <f t="shared" si="116"/>
        <v>0.03082453914</v>
      </c>
      <c r="J257" s="24">
        <f t="shared" si="116"/>
        <v>0.3743823487</v>
      </c>
      <c r="K257" s="24">
        <f t="shared" si="116"/>
        <v>0.1925016448</v>
      </c>
      <c r="L257" s="24">
        <f t="shared" si="116"/>
        <v>0.1139346632</v>
      </c>
      <c r="M257" s="24">
        <f t="shared" si="116"/>
        <v>-0.1165949252</v>
      </c>
      <c r="N257" s="24">
        <f t="shared" si="116"/>
        <v>0.114735901</v>
      </c>
      <c r="O257" s="24">
        <f t="shared" si="116"/>
        <v>0.0148569287</v>
      </c>
      <c r="P257" s="24">
        <f t="shared" si="116"/>
        <v>0.04501368496</v>
      </c>
      <c r="Q257" s="24">
        <f t="shared" si="116"/>
        <v>-0.1874564632</v>
      </c>
      <c r="R257" s="24">
        <f t="shared" si="116"/>
        <v>-0.05685602411</v>
      </c>
      <c r="S257" s="24">
        <f t="shared" si="116"/>
        <v>-0.03686861075</v>
      </c>
      <c r="T257" s="24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5.75" customHeight="1" outlineLevel="1">
      <c r="A258" s="1"/>
      <c r="B258" s="1"/>
      <c r="C258" s="98" t="s">
        <v>145</v>
      </c>
      <c r="D258" s="43" t="s">
        <v>24</v>
      </c>
      <c r="E258" s="24">
        <f t="shared" ref="E258:S258" si="117">E256/E212</f>
        <v>0.4900519028</v>
      </c>
      <c r="F258" s="24">
        <f t="shared" si="117"/>
        <v>0.4812499961</v>
      </c>
      <c r="G258" s="24">
        <f t="shared" si="117"/>
        <v>0.4624542948</v>
      </c>
      <c r="H258" s="24">
        <f t="shared" si="117"/>
        <v>0.4683704628</v>
      </c>
      <c r="I258" s="24">
        <f t="shared" si="117"/>
        <v>0.4415846896</v>
      </c>
      <c r="J258" s="24">
        <f t="shared" si="117"/>
        <v>0.4371283147</v>
      </c>
      <c r="K258" s="24">
        <f t="shared" si="117"/>
        <v>0.4418854886</v>
      </c>
      <c r="L258" s="24">
        <f t="shared" si="117"/>
        <v>0.4365771511</v>
      </c>
      <c r="M258" s="24">
        <f t="shared" si="117"/>
        <v>0.4276232405</v>
      </c>
      <c r="N258" s="24">
        <f t="shared" si="117"/>
        <v>0.4191676519</v>
      </c>
      <c r="O258" s="24">
        <f t="shared" si="117"/>
        <v>0.4145165889</v>
      </c>
      <c r="P258" s="24">
        <f t="shared" si="117"/>
        <v>0.4110800791</v>
      </c>
      <c r="Q258" s="24">
        <f t="shared" si="117"/>
        <v>0.3982458201</v>
      </c>
      <c r="R258" s="24">
        <f t="shared" si="117"/>
        <v>0.3935063516</v>
      </c>
      <c r="S258" s="24">
        <f t="shared" si="117"/>
        <v>0.388782465</v>
      </c>
      <c r="T258" s="24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5.75" customHeight="1" outlineLevel="1">
      <c r="A259" s="1"/>
      <c r="B259" s="1"/>
      <c r="C259" s="1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5.75" customHeight="1" outlineLevel="1">
      <c r="A260" s="1"/>
      <c r="B260" s="1"/>
      <c r="C260" s="115" t="s">
        <v>146</v>
      </c>
      <c r="D260" s="116" t="s">
        <v>35</v>
      </c>
      <c r="E260" s="117">
        <f>(E226+E195)*(1-Tax_Rate)+E196</f>
        <v>469.5214</v>
      </c>
      <c r="F260" s="117">
        <f>(F226+F195)*(1-Tax_Rate)+F196</f>
        <v>454.6641</v>
      </c>
      <c r="G260" s="117">
        <f>(G226+G195)*(1-Tax_Rate)+G196</f>
        <v>490.1459</v>
      </c>
      <c r="H260" s="117">
        <f>(H226+H195)*(1-Tax_Rate)+H196</f>
        <v>480.4858</v>
      </c>
      <c r="I260" s="117">
        <f>(I226+I195)*(1-Tax_Rate)+I196</f>
        <v>562.92975</v>
      </c>
      <c r="J260" s="117">
        <f>(J226+J195)*(1-Tax_Rate)+J196</f>
        <v>538.1970691</v>
      </c>
      <c r="K260" s="117">
        <f>(K226+K195)*(1-Tax_Rate)+K196</f>
        <v>653.6387364</v>
      </c>
      <c r="L260" s="117">
        <f>(L226+L195)*(1-Tax_Rate)+L196</f>
        <v>791.4263766</v>
      </c>
      <c r="M260" s="117">
        <f>(M226+M195)*(1-Tax_Rate)+M196</f>
        <v>578.7741626</v>
      </c>
      <c r="N260" s="117">
        <f>(N226+N195)*(1-Tax_Rate)+N196</f>
        <v>714.4851822</v>
      </c>
      <c r="O260" s="117">
        <f>(O226+O195)*(1-Tax_Rate)+O196</f>
        <v>710.2862342</v>
      </c>
      <c r="P260" s="117">
        <f>(P226+P195)*(1-Tax_Rate)+P196</f>
        <v>753.9056926</v>
      </c>
      <c r="Q260" s="117">
        <f>(Q226+Q195)*(1-Tax_Rate)+Q196</f>
        <v>421.8662648</v>
      </c>
      <c r="R260" s="117">
        <f>(R226+R195)*(1-Tax_Rate)+R196</f>
        <v>328.062147</v>
      </c>
      <c r="S260" s="117">
        <f>(S226+S195)*(1-Tax_Rate)+S196</f>
        <v>264.8002691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5.75" customHeight="1" outlineLevel="1">
      <c r="A261" s="1"/>
      <c r="B261" s="1"/>
      <c r="C261" s="98" t="s">
        <v>147</v>
      </c>
      <c r="D261" s="43" t="s">
        <v>24</v>
      </c>
      <c r="E261" s="24" t="str">
        <f t="shared" ref="E261:S261" si="118">IFERROR(E260/D260-1,"N/A")</f>
        <v>N/A</v>
      </c>
      <c r="F261" s="24">
        <f t="shared" si="118"/>
        <v>-0.0316434991</v>
      </c>
      <c r="G261" s="24">
        <f t="shared" si="118"/>
        <v>0.07803959011</v>
      </c>
      <c r="H261" s="24">
        <f t="shared" si="118"/>
        <v>-0.01970862145</v>
      </c>
      <c r="I261" s="24">
        <f t="shared" si="118"/>
        <v>0.1715845713</v>
      </c>
      <c r="J261" s="24">
        <f t="shared" si="118"/>
        <v>-0.04393564371</v>
      </c>
      <c r="K261" s="24">
        <f t="shared" si="118"/>
        <v>0.2144970198</v>
      </c>
      <c r="L261" s="24">
        <f t="shared" si="118"/>
        <v>0.2108009096</v>
      </c>
      <c r="M261" s="24">
        <f t="shared" si="118"/>
        <v>-0.2686948784</v>
      </c>
      <c r="N261" s="24">
        <f t="shared" si="118"/>
        <v>0.2344800932</v>
      </c>
      <c r="O261" s="24">
        <f t="shared" si="118"/>
        <v>-0.005876886049</v>
      </c>
      <c r="P261" s="24">
        <f t="shared" si="118"/>
        <v>0.06141109923</v>
      </c>
      <c r="Q261" s="24">
        <f t="shared" si="118"/>
        <v>-0.4404256806</v>
      </c>
      <c r="R261" s="24">
        <f t="shared" si="118"/>
        <v>-0.2223551056</v>
      </c>
      <c r="S261" s="24">
        <f t="shared" si="118"/>
        <v>-0.1928350421</v>
      </c>
      <c r="T261" s="24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5.75" customHeight="1">
      <c r="A262" s="1"/>
      <c r="B262" s="1"/>
      <c r="C262" s="1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5.75" customHeight="1">
      <c r="A263" s="1"/>
      <c r="B263" s="1"/>
      <c r="C263" s="1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5.75" customHeight="1">
      <c r="A264" s="1"/>
      <c r="B264" s="1"/>
      <c r="C264" s="1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5.75" customHeight="1">
      <c r="A265" s="1"/>
      <c r="B265" s="1"/>
      <c r="C265" s="1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5.75" customHeight="1">
      <c r="A266" s="1"/>
      <c r="B266" s="1"/>
      <c r="C266" s="1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5.75" customHeight="1">
      <c r="A267" s="1"/>
      <c r="B267" s="1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5.75" customHeight="1">
      <c r="A268" s="1"/>
      <c r="B268" s="1"/>
      <c r="C268" s="1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5.75" customHeight="1">
      <c r="A269" s="1"/>
      <c r="B269" s="1"/>
      <c r="C269" s="1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5.75" customHeight="1">
      <c r="A270" s="1"/>
      <c r="B270" s="1"/>
      <c r="C270" s="1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5.75" customHeight="1">
      <c r="A271" s="1"/>
      <c r="B271" s="1"/>
      <c r="C271" s="1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5.75" customHeight="1">
      <c r="A272" s="1"/>
      <c r="B272" s="1"/>
      <c r="C272" s="1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5.75" customHeight="1">
      <c r="A273" s="1"/>
      <c r="B273" s="1"/>
      <c r="C273" s="1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5.75" customHeight="1">
      <c r="A274" s="1"/>
      <c r="B274" s="1"/>
      <c r="C274" s="1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5.75" customHeight="1">
      <c r="A275" s="1"/>
      <c r="B275" s="1"/>
      <c r="C275" s="1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5.75" customHeight="1">
      <c r="A276" s="1"/>
      <c r="B276" s="1"/>
      <c r="C276" s="1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5.75" customHeight="1">
      <c r="A277" s="1"/>
      <c r="B277" s="1"/>
      <c r="C277" s="1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5.75" customHeight="1">
      <c r="A278" s="1"/>
      <c r="B278" s="1"/>
      <c r="C278" s="1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5.75" customHeight="1">
      <c r="A279" s="1"/>
      <c r="B279" s="1"/>
      <c r="C279" s="1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5.75" customHeight="1">
      <c r="A280" s="1"/>
      <c r="B280" s="1"/>
      <c r="C280" s="1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5.75" customHeight="1">
      <c r="A281" s="1"/>
      <c r="B281" s="1"/>
      <c r="C281" s="1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5.75" customHeight="1">
      <c r="A282" s="1"/>
      <c r="B282" s="1"/>
      <c r="C282" s="1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5.75" customHeight="1">
      <c r="A283" s="1"/>
      <c r="B283" s="1"/>
      <c r="C283" s="1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5.75" customHeight="1">
      <c r="A284" s="1"/>
      <c r="B284" s="1"/>
      <c r="C284" s="1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5.75" customHeight="1">
      <c r="A285" s="1"/>
      <c r="B285" s="1"/>
      <c r="C285" s="1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5.75" customHeight="1">
      <c r="A286" s="1"/>
      <c r="B286" s="1"/>
      <c r="C286" s="1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5.75" customHeight="1">
      <c r="A287" s="1"/>
      <c r="B287" s="1"/>
      <c r="C287" s="1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5.75" customHeight="1">
      <c r="A288" s="1"/>
      <c r="B288" s="1"/>
      <c r="C288" s="1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5.75" customHeight="1">
      <c r="A289" s="1"/>
      <c r="B289" s="1"/>
      <c r="C289" s="1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5.75" customHeight="1">
      <c r="A290" s="1"/>
      <c r="B290" s="1"/>
      <c r="C290" s="1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5.75" customHeight="1">
      <c r="A291" s="1"/>
      <c r="B291" s="1"/>
      <c r="C291" s="1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5.75" customHeight="1">
      <c r="A292" s="1"/>
      <c r="B292" s="1"/>
      <c r="C292" s="1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5.75" customHeight="1">
      <c r="A293" s="1"/>
      <c r="B293" s="1"/>
      <c r="C293" s="1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5.75" customHeight="1">
      <c r="A294" s="1"/>
      <c r="B294" s="1"/>
      <c r="C294" s="1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5.75" customHeight="1">
      <c r="A295" s="1"/>
      <c r="B295" s="1"/>
      <c r="C295" s="1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5.75" customHeight="1">
      <c r="A296" s="1"/>
      <c r="B296" s="1"/>
      <c r="C296" s="1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5.75" customHeight="1">
      <c r="A297" s="1"/>
      <c r="B297" s="1"/>
      <c r="C297" s="1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5.75" customHeight="1">
      <c r="A298" s="1"/>
      <c r="B298" s="1"/>
      <c r="C298" s="1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5.75" customHeight="1">
      <c r="A299" s="1"/>
      <c r="B299" s="1"/>
      <c r="C299" s="1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5.75" customHeight="1">
      <c r="A300" s="1"/>
      <c r="B300" s="1"/>
      <c r="C300" s="1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5.75" customHeight="1">
      <c r="A301" s="1"/>
      <c r="B301" s="1"/>
      <c r="C301" s="1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5.75" customHeight="1">
      <c r="A302" s="1"/>
      <c r="B302" s="1"/>
      <c r="C302" s="1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5.75" customHeight="1">
      <c r="A303" s="1"/>
      <c r="B303" s="1"/>
      <c r="C303" s="1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5.75" customHeight="1">
      <c r="A304" s="1"/>
      <c r="B304" s="1"/>
      <c r="C304" s="1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5.75" customHeight="1">
      <c r="A305" s="1"/>
      <c r="B305" s="1"/>
      <c r="C305" s="1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5.75" customHeight="1">
      <c r="A306" s="1"/>
      <c r="B306" s="1"/>
      <c r="C306" s="1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5.75" customHeight="1">
      <c r="A307" s="1"/>
      <c r="B307" s="1"/>
      <c r="C307" s="1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5.75" customHeight="1">
      <c r="A308" s="1"/>
      <c r="B308" s="1"/>
      <c r="C308" s="1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5.75" customHeight="1">
      <c r="A309" s="1"/>
      <c r="B309" s="1"/>
      <c r="C309" s="1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5.75" customHeight="1">
      <c r="A310" s="1"/>
      <c r="B310" s="1"/>
      <c r="C310" s="1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5.75" customHeight="1">
      <c r="A311" s="1"/>
      <c r="B311" s="1"/>
      <c r="C311" s="1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5.75" customHeight="1">
      <c r="A312" s="1"/>
      <c r="B312" s="1"/>
      <c r="C312" s="1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5.75" customHeight="1">
      <c r="A313" s="1"/>
      <c r="B313" s="1"/>
      <c r="C313" s="1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5.75" customHeight="1">
      <c r="A314" s="1"/>
      <c r="B314" s="1"/>
      <c r="C314" s="1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5.75" customHeight="1">
      <c r="A315" s="1"/>
      <c r="B315" s="1"/>
      <c r="C315" s="1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5.75" customHeight="1">
      <c r="A316" s="1"/>
      <c r="B316" s="1"/>
      <c r="C316" s="1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5.75" customHeight="1">
      <c r="A317" s="1"/>
      <c r="B317" s="1"/>
      <c r="C317" s="1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5.75" customHeight="1">
      <c r="A318" s="1"/>
      <c r="B318" s="1"/>
      <c r="C318" s="1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5.75" customHeight="1">
      <c r="A319" s="1"/>
      <c r="B319" s="1"/>
      <c r="C319" s="1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5.75" customHeight="1">
      <c r="A320" s="1"/>
      <c r="B320" s="1"/>
      <c r="C320" s="1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5.75" customHeight="1">
      <c r="A321" s="1"/>
      <c r="B321" s="1"/>
      <c r="C321" s="1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5.75" customHeight="1">
      <c r="A322" s="1"/>
      <c r="B322" s="1"/>
      <c r="C322" s="1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5.75" customHeight="1">
      <c r="A323" s="1"/>
      <c r="B323" s="1"/>
      <c r="C323" s="1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5.75" customHeight="1">
      <c r="A324" s="1"/>
      <c r="B324" s="1"/>
      <c r="C324" s="1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5.75" customHeight="1">
      <c r="A325" s="1"/>
      <c r="B325" s="1"/>
      <c r="C325" s="1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5.75" customHeight="1">
      <c r="A326" s="1"/>
      <c r="B326" s="1"/>
      <c r="C326" s="1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5.75" customHeight="1">
      <c r="A327" s="1"/>
      <c r="B327" s="1"/>
      <c r="C327" s="1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5.75" customHeight="1">
      <c r="A328" s="1"/>
      <c r="B328" s="1"/>
      <c r="C328" s="1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5.75" customHeight="1">
      <c r="A329" s="1"/>
      <c r="B329" s="1"/>
      <c r="C329" s="1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5.75" customHeight="1">
      <c r="A330" s="1"/>
      <c r="B330" s="1"/>
      <c r="C330" s="1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5.75" customHeight="1">
      <c r="A331" s="1"/>
      <c r="B331" s="1"/>
      <c r="C331" s="1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5.75" customHeight="1">
      <c r="A332" s="1"/>
      <c r="B332" s="1"/>
      <c r="C332" s="1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5.75" customHeight="1">
      <c r="A333" s="1"/>
      <c r="B333" s="1"/>
      <c r="C333" s="1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5.75" customHeight="1">
      <c r="A334" s="1"/>
      <c r="B334" s="1"/>
      <c r="C334" s="1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5.75" customHeight="1">
      <c r="A335" s="1"/>
      <c r="B335" s="1"/>
      <c r="C335" s="1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5.75" customHeight="1">
      <c r="A336" s="1"/>
      <c r="B336" s="1"/>
      <c r="C336" s="1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5.75" customHeight="1">
      <c r="A337" s="1"/>
      <c r="B337" s="1"/>
      <c r="C337" s="1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5.75" customHeight="1">
      <c r="A338" s="1"/>
      <c r="B338" s="1"/>
      <c r="C338" s="1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5.75" customHeight="1">
      <c r="A339" s="1"/>
      <c r="B339" s="1"/>
      <c r="C339" s="1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5.75" customHeight="1">
      <c r="A340" s="1"/>
      <c r="B340" s="1"/>
      <c r="C340" s="1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5.75" customHeight="1">
      <c r="A341" s="1"/>
      <c r="B341" s="1"/>
      <c r="C341" s="1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5.75" customHeight="1">
      <c r="A342" s="1"/>
      <c r="B342" s="1"/>
      <c r="C342" s="1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5.75" customHeight="1">
      <c r="A343" s="1"/>
      <c r="B343" s="1"/>
      <c r="C343" s="1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5.75" customHeight="1">
      <c r="A344" s="1"/>
      <c r="B344" s="1"/>
      <c r="C344" s="1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5.75" customHeight="1">
      <c r="A345" s="1"/>
      <c r="B345" s="1"/>
      <c r="C345" s="1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5.75" customHeight="1">
      <c r="A346" s="1"/>
      <c r="B346" s="1"/>
      <c r="C346" s="1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5.75" customHeight="1">
      <c r="A347" s="1"/>
      <c r="B347" s="1"/>
      <c r="C347" s="1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5.75" customHeight="1">
      <c r="A348" s="1"/>
      <c r="B348" s="1"/>
      <c r="C348" s="1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5.75" customHeight="1">
      <c r="A349" s="1"/>
      <c r="B349" s="1"/>
      <c r="C349" s="1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5.75" customHeight="1">
      <c r="A350" s="1"/>
      <c r="B350" s="1"/>
      <c r="C350" s="1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5.75" customHeight="1">
      <c r="A351" s="1"/>
      <c r="B351" s="1"/>
      <c r="C351" s="1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5.75" customHeight="1">
      <c r="A352" s="1"/>
      <c r="B352" s="1"/>
      <c r="C352" s="1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5.75" customHeight="1">
      <c r="A353" s="1"/>
      <c r="B353" s="1"/>
      <c r="C353" s="1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5.75" customHeight="1">
      <c r="A354" s="1"/>
      <c r="B354" s="1"/>
      <c r="C354" s="1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5.75" customHeight="1">
      <c r="A355" s="1"/>
      <c r="B355" s="1"/>
      <c r="C355" s="1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5.75" customHeight="1">
      <c r="A356" s="1"/>
      <c r="B356" s="1"/>
      <c r="C356" s="1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5.75" customHeight="1">
      <c r="A357" s="1"/>
      <c r="B357" s="1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5.75" customHeight="1">
      <c r="A358" s="1"/>
      <c r="B358" s="1"/>
      <c r="C358" s="1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5.75" customHeight="1">
      <c r="A359" s="1"/>
      <c r="B359" s="1"/>
      <c r="C359" s="1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5.75" customHeight="1">
      <c r="A360" s="1"/>
      <c r="B360" s="1"/>
      <c r="C360" s="1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5.75" customHeight="1">
      <c r="A361" s="1"/>
      <c r="B361" s="1"/>
      <c r="C361" s="1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5.75" customHeight="1">
      <c r="A362" s="1"/>
      <c r="B362" s="1"/>
      <c r="C362" s="1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5.75" customHeight="1">
      <c r="A363" s="1"/>
      <c r="B363" s="1"/>
      <c r="C363" s="1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5.75" customHeight="1">
      <c r="A364" s="1"/>
      <c r="B364" s="1"/>
      <c r="C364" s="1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5.75" customHeight="1">
      <c r="A365" s="1"/>
      <c r="B365" s="1"/>
      <c r="C365" s="1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5.75" customHeight="1">
      <c r="A366" s="1"/>
      <c r="B366" s="1"/>
      <c r="C366" s="1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5.75" customHeight="1">
      <c r="A367" s="1"/>
      <c r="B367" s="1"/>
      <c r="C367" s="1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5.75" customHeight="1">
      <c r="A368" s="1"/>
      <c r="B368" s="1"/>
      <c r="C368" s="1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5.75" customHeight="1">
      <c r="A369" s="1"/>
      <c r="B369" s="1"/>
      <c r="C369" s="1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5.75" customHeight="1">
      <c r="A370" s="1"/>
      <c r="B370" s="1"/>
      <c r="C370" s="1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5.75" customHeight="1">
      <c r="A371" s="1"/>
      <c r="B371" s="1"/>
      <c r="C371" s="1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5.75" customHeight="1">
      <c r="A372" s="1"/>
      <c r="B372" s="1"/>
      <c r="C372" s="1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5.75" customHeight="1">
      <c r="A373" s="1"/>
      <c r="B373" s="1"/>
      <c r="C373" s="1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5.75" customHeight="1">
      <c r="A374" s="1"/>
      <c r="B374" s="1"/>
      <c r="C374" s="1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5.75" customHeight="1">
      <c r="A375" s="1"/>
      <c r="B375" s="1"/>
      <c r="C375" s="1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5.75" customHeight="1">
      <c r="A376" s="1"/>
      <c r="B376" s="1"/>
      <c r="C376" s="1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5.75" customHeight="1">
      <c r="A377" s="1"/>
      <c r="B377" s="1"/>
      <c r="C377" s="1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5.75" customHeight="1">
      <c r="A378" s="1"/>
      <c r="B378" s="1"/>
      <c r="C378" s="1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5.75" customHeight="1">
      <c r="A379" s="1"/>
      <c r="B379" s="1"/>
      <c r="C379" s="1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5.75" customHeight="1">
      <c r="A380" s="1"/>
      <c r="B380" s="1"/>
      <c r="C380" s="1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5.75" customHeight="1">
      <c r="A381" s="1"/>
      <c r="B381" s="1"/>
      <c r="C381" s="1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5.75" customHeight="1">
      <c r="A382" s="1"/>
      <c r="B382" s="1"/>
      <c r="C382" s="1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5.75" customHeight="1">
      <c r="A383" s="1"/>
      <c r="B383" s="1"/>
      <c r="C383" s="1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5.75" customHeight="1">
      <c r="A384" s="1"/>
      <c r="B384" s="1"/>
      <c r="C384" s="1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5.75" customHeight="1">
      <c r="A385" s="1"/>
      <c r="B385" s="1"/>
      <c r="C385" s="1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5.75" customHeight="1">
      <c r="A386" s="1"/>
      <c r="B386" s="1"/>
      <c r="C386" s="1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5.75" customHeight="1">
      <c r="A387" s="1"/>
      <c r="B387" s="1"/>
      <c r="C387" s="1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5.75" customHeight="1">
      <c r="A388" s="1"/>
      <c r="B388" s="1"/>
      <c r="C388" s="1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5.75" customHeight="1">
      <c r="A389" s="1"/>
      <c r="B389" s="1"/>
      <c r="C389" s="1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5.75" customHeight="1">
      <c r="A390" s="1"/>
      <c r="B390" s="1"/>
      <c r="C390" s="1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5.75" customHeight="1">
      <c r="A391" s="1"/>
      <c r="B391" s="1"/>
      <c r="C391" s="1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5.75" customHeight="1">
      <c r="A392" s="1"/>
      <c r="B392" s="1"/>
      <c r="C392" s="1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5.75" customHeight="1">
      <c r="A393" s="1"/>
      <c r="B393" s="1"/>
      <c r="C393" s="1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5.75" customHeight="1">
      <c r="A394" s="1"/>
      <c r="B394" s="1"/>
      <c r="C394" s="1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5.75" customHeight="1">
      <c r="A395" s="1"/>
      <c r="B395" s="1"/>
      <c r="C395" s="1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5.75" customHeight="1">
      <c r="A396" s="1"/>
      <c r="B396" s="1"/>
      <c r="C396" s="1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5.75" customHeight="1">
      <c r="A397" s="1"/>
      <c r="B397" s="1"/>
      <c r="C397" s="1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5.75" customHeight="1">
      <c r="A398" s="1"/>
      <c r="B398" s="1"/>
      <c r="C398" s="1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5.75" customHeight="1">
      <c r="A399" s="1"/>
      <c r="B399" s="1"/>
      <c r="C399" s="1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5.75" customHeight="1">
      <c r="A400" s="1"/>
      <c r="B400" s="1"/>
      <c r="C400" s="1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5.75" customHeight="1">
      <c r="A401" s="1"/>
      <c r="B401" s="1"/>
      <c r="C401" s="1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5.75" customHeight="1">
      <c r="A402" s="1"/>
      <c r="B402" s="1"/>
      <c r="C402" s="1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5.75" customHeight="1">
      <c r="A403" s="1"/>
      <c r="B403" s="1"/>
      <c r="C403" s="1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5.75" customHeight="1">
      <c r="A404" s="1"/>
      <c r="B404" s="1"/>
      <c r="C404" s="1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5.75" customHeight="1">
      <c r="A405" s="1"/>
      <c r="B405" s="1"/>
      <c r="C405" s="1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5.75" customHeight="1">
      <c r="A406" s="1"/>
      <c r="B406" s="1"/>
      <c r="C406" s="1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5.75" customHeight="1">
      <c r="A407" s="1"/>
      <c r="B407" s="1"/>
      <c r="C407" s="1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5.75" customHeight="1">
      <c r="A408" s="1"/>
      <c r="B408" s="1"/>
      <c r="C408" s="1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5.75" customHeight="1">
      <c r="A409" s="1"/>
      <c r="B409" s="1"/>
      <c r="C409" s="1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5.75" customHeight="1">
      <c r="A410" s="1"/>
      <c r="B410" s="1"/>
      <c r="C410" s="1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5.75" customHeight="1">
      <c r="A411" s="1"/>
      <c r="B411" s="1"/>
      <c r="C411" s="1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5.75" customHeight="1">
      <c r="A412" s="1"/>
      <c r="B412" s="1"/>
      <c r="C412" s="1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5.75" customHeight="1">
      <c r="A413" s="1"/>
      <c r="B413" s="1"/>
      <c r="C413" s="1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5.75" customHeight="1">
      <c r="A414" s="1"/>
      <c r="B414" s="1"/>
      <c r="C414" s="1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5.75" customHeight="1">
      <c r="A415" s="1"/>
      <c r="B415" s="1"/>
      <c r="C415" s="1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5.75" customHeight="1">
      <c r="A416" s="1"/>
      <c r="B416" s="1"/>
      <c r="C416" s="1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5.75" customHeight="1">
      <c r="A417" s="1"/>
      <c r="B417" s="1"/>
      <c r="C417" s="1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5.75" customHeight="1">
      <c r="A418" s="1"/>
      <c r="B418" s="1"/>
      <c r="C418" s="1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5.75" customHeight="1">
      <c r="A419" s="1"/>
      <c r="B419" s="1"/>
      <c r="C419" s="1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5.75" customHeight="1">
      <c r="A420" s="1"/>
      <c r="B420" s="1"/>
      <c r="C420" s="1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5.75" customHeight="1">
      <c r="A421" s="1"/>
      <c r="B421" s="1"/>
      <c r="C421" s="1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5.75" customHeight="1">
      <c r="A422" s="1"/>
      <c r="B422" s="1"/>
      <c r="C422" s="1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5.75" customHeight="1">
      <c r="A423" s="1"/>
      <c r="B423" s="1"/>
      <c r="C423" s="1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5.75" customHeight="1">
      <c r="A424" s="1"/>
      <c r="B424" s="1"/>
      <c r="C424" s="1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5.75" customHeight="1">
      <c r="A425" s="1"/>
      <c r="B425" s="1"/>
      <c r="C425" s="1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5.75" customHeight="1">
      <c r="A426" s="1"/>
      <c r="B426" s="1"/>
      <c r="C426" s="1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5.75" customHeight="1">
      <c r="A427" s="1"/>
      <c r="B427" s="1"/>
      <c r="C427" s="1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5.75" customHeight="1">
      <c r="A428" s="1"/>
      <c r="B428" s="1"/>
      <c r="C428" s="1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5.75" customHeight="1">
      <c r="A429" s="1"/>
      <c r="B429" s="1"/>
      <c r="C429" s="1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5.75" customHeight="1">
      <c r="A430" s="1"/>
      <c r="B430" s="1"/>
      <c r="C430" s="1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5.75" customHeight="1">
      <c r="A431" s="1"/>
      <c r="B431" s="1"/>
      <c r="C431" s="1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5.75" customHeight="1">
      <c r="A432" s="1"/>
      <c r="B432" s="1"/>
      <c r="C432" s="1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5.75" customHeight="1">
      <c r="A433" s="1"/>
      <c r="B433" s="1"/>
      <c r="C433" s="1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5.75" customHeight="1">
      <c r="A434" s="1"/>
      <c r="B434" s="1"/>
      <c r="C434" s="1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5.75" customHeight="1">
      <c r="A435" s="1"/>
      <c r="B435" s="1"/>
      <c r="C435" s="1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5.75" customHeight="1">
      <c r="A436" s="1"/>
      <c r="B436" s="1"/>
      <c r="C436" s="1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5.75" customHeight="1">
      <c r="A437" s="1"/>
      <c r="B437" s="1"/>
      <c r="C437" s="1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5.75" customHeight="1">
      <c r="A438" s="1"/>
      <c r="B438" s="1"/>
      <c r="C438" s="1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5.75" customHeight="1">
      <c r="A439" s="1"/>
      <c r="B439" s="1"/>
      <c r="C439" s="1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5.75" customHeight="1">
      <c r="A440" s="1"/>
      <c r="B440" s="1"/>
      <c r="C440" s="1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5.75" customHeight="1">
      <c r="A441" s="1"/>
      <c r="B441" s="1"/>
      <c r="C441" s="1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5.75" customHeight="1">
      <c r="A442" s="1"/>
      <c r="B442" s="1"/>
      <c r="C442" s="1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5.75" customHeight="1">
      <c r="A443" s="1"/>
      <c r="B443" s="1"/>
      <c r="C443" s="1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5.75" customHeight="1">
      <c r="A444" s="1"/>
      <c r="B444" s="1"/>
      <c r="C444" s="1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5.75" customHeight="1">
      <c r="A445" s="1"/>
      <c r="B445" s="1"/>
      <c r="C445" s="1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5.75" customHeight="1">
      <c r="A446" s="1"/>
      <c r="B446" s="1"/>
      <c r="C446" s="1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5.75" customHeight="1">
      <c r="A447" s="1"/>
      <c r="B447" s="1"/>
      <c r="C447" s="1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5.75" customHeight="1">
      <c r="A448" s="1"/>
      <c r="B448" s="1"/>
      <c r="C448" s="1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5.75" customHeight="1">
      <c r="A449" s="1"/>
      <c r="B449" s="1"/>
      <c r="C449" s="1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5.75" customHeight="1">
      <c r="A450" s="1"/>
      <c r="B450" s="1"/>
      <c r="C450" s="1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5.75" customHeight="1">
      <c r="A451" s="1"/>
      <c r="B451" s="1"/>
      <c r="C451" s="1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5.75" customHeight="1">
      <c r="A452" s="1"/>
      <c r="B452" s="1"/>
      <c r="C452" s="1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5.75" customHeight="1">
      <c r="A453" s="1"/>
      <c r="B453" s="1"/>
      <c r="C453" s="1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5.75" customHeight="1">
      <c r="A454" s="1"/>
      <c r="B454" s="1"/>
      <c r="C454" s="1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5.75" customHeight="1">
      <c r="A455" s="1"/>
      <c r="B455" s="1"/>
      <c r="C455" s="1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5.75" customHeight="1">
      <c r="A456" s="1"/>
      <c r="B456" s="1"/>
      <c r="C456" s="1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5.75" customHeight="1">
      <c r="A457" s="1"/>
      <c r="B457" s="1"/>
      <c r="C457" s="1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5.75" customHeight="1">
      <c r="A458" s="1"/>
      <c r="B458" s="1"/>
      <c r="C458" s="1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5.75" customHeight="1">
      <c r="A459" s="1"/>
      <c r="B459" s="1"/>
      <c r="C459" s="1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5.75" customHeight="1">
      <c r="A460" s="1"/>
      <c r="B460" s="1"/>
      <c r="C460" s="1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5.75" customHeight="1">
      <c r="A461" s="1"/>
      <c r="B461" s="1"/>
      <c r="C461" s="1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5.75" customHeight="1">
      <c r="A462" s="1"/>
      <c r="B462" s="1"/>
      <c r="C462" s="1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5.75" customHeight="1">
      <c r="A463" s="1"/>
      <c r="B463" s="1"/>
      <c r="C463" s="1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5.75" customHeight="1">
      <c r="A464" s="1"/>
      <c r="B464" s="1"/>
      <c r="C464" s="1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5.75" customHeight="1">
      <c r="A465" s="1"/>
      <c r="B465" s="1"/>
      <c r="C465" s="1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5.75" customHeight="1">
      <c r="A466" s="1"/>
      <c r="B466" s="1"/>
      <c r="C466" s="1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5.75" customHeight="1">
      <c r="A467" s="1"/>
      <c r="B467" s="1"/>
      <c r="C467" s="1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5.75" customHeight="1">
      <c r="A468" s="1"/>
      <c r="B468" s="1"/>
      <c r="C468" s="1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5.75" customHeight="1">
      <c r="A469" s="1"/>
      <c r="B469" s="1"/>
      <c r="C469" s="1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5.75" customHeight="1">
      <c r="A470" s="1"/>
      <c r="B470" s="1"/>
      <c r="C470" s="1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5.75" customHeight="1">
      <c r="A471" s="1"/>
      <c r="B471" s="1"/>
      <c r="C471" s="1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5.75" customHeight="1">
      <c r="A472" s="1"/>
      <c r="B472" s="1"/>
      <c r="C472" s="1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5.75" customHeight="1">
      <c r="A473" s="1"/>
      <c r="B473" s="1"/>
      <c r="C473" s="1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5.75" customHeight="1">
      <c r="A474" s="1"/>
      <c r="B474" s="1"/>
      <c r="C474" s="1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5.75" customHeight="1">
      <c r="A475" s="1"/>
      <c r="B475" s="1"/>
      <c r="C475" s="1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5.75" customHeight="1">
      <c r="A476" s="1"/>
      <c r="B476" s="1"/>
      <c r="C476" s="1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5.75" customHeight="1">
      <c r="A477" s="1"/>
      <c r="B477" s="1"/>
      <c r="C477" s="1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5.75" customHeight="1">
      <c r="A478" s="1"/>
      <c r="B478" s="1"/>
      <c r="C478" s="1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5.75" customHeight="1">
      <c r="A479" s="1"/>
      <c r="B479" s="1"/>
      <c r="C479" s="1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5.75" customHeight="1">
      <c r="A480" s="1"/>
      <c r="B480" s="1"/>
      <c r="C480" s="1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5.75" customHeight="1">
      <c r="A481" s="1"/>
      <c r="B481" s="1"/>
      <c r="C481" s="1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5.75" customHeight="1">
      <c r="A482" s="1"/>
      <c r="B482" s="1"/>
      <c r="C482" s="1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5.75" customHeight="1">
      <c r="A483" s="1"/>
      <c r="B483" s="1"/>
      <c r="C483" s="1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5.75" customHeight="1">
      <c r="A484" s="1"/>
      <c r="B484" s="1"/>
      <c r="C484" s="1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5.75" customHeight="1">
      <c r="A485" s="1"/>
      <c r="B485" s="1"/>
      <c r="C485" s="1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5.75" customHeight="1">
      <c r="A486" s="1"/>
      <c r="B486" s="1"/>
      <c r="C486" s="1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5.75" customHeight="1">
      <c r="A487" s="1"/>
      <c r="B487" s="1"/>
      <c r="C487" s="1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5.75" customHeight="1">
      <c r="A488" s="1"/>
      <c r="B488" s="1"/>
      <c r="C488" s="1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5.75" customHeight="1">
      <c r="A489" s="1"/>
      <c r="B489" s="1"/>
      <c r="C489" s="1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5.75" customHeight="1">
      <c r="A490" s="1"/>
      <c r="B490" s="1"/>
      <c r="C490" s="1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5.75" customHeight="1">
      <c r="A491" s="1"/>
      <c r="B491" s="1"/>
      <c r="C491" s="1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5.75" customHeight="1">
      <c r="A492" s="1"/>
      <c r="B492" s="1"/>
      <c r="C492" s="1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5.75" customHeight="1">
      <c r="A493" s="1"/>
      <c r="B493" s="1"/>
      <c r="C493" s="1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5.75" customHeight="1">
      <c r="A494" s="1"/>
      <c r="B494" s="1"/>
      <c r="C494" s="1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5.75" customHeight="1">
      <c r="A495" s="1"/>
      <c r="B495" s="1"/>
      <c r="C495" s="1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5.75" customHeight="1">
      <c r="A496" s="1"/>
      <c r="B496" s="1"/>
      <c r="C496" s="1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5.75" customHeight="1">
      <c r="A497" s="1"/>
      <c r="B497" s="1"/>
      <c r="C497" s="1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5.75" customHeight="1">
      <c r="A498" s="1"/>
      <c r="B498" s="1"/>
      <c r="C498" s="1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5.75" customHeight="1">
      <c r="A499" s="1"/>
      <c r="B499" s="1"/>
      <c r="C499" s="1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5.75" customHeight="1">
      <c r="A500" s="1"/>
      <c r="B500" s="1"/>
      <c r="C500" s="1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5.75" customHeight="1">
      <c r="A501" s="1"/>
      <c r="B501" s="1"/>
      <c r="C501" s="1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5.75" customHeight="1">
      <c r="A502" s="1"/>
      <c r="B502" s="1"/>
      <c r="C502" s="1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5.75" customHeight="1">
      <c r="A503" s="1"/>
      <c r="B503" s="1"/>
      <c r="C503" s="1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5.75" customHeight="1">
      <c r="A504" s="1"/>
      <c r="B504" s="1"/>
      <c r="C504" s="1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5.75" customHeight="1">
      <c r="A505" s="1"/>
      <c r="B505" s="1"/>
      <c r="C505" s="1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5.75" customHeight="1">
      <c r="A506" s="1"/>
      <c r="B506" s="1"/>
      <c r="C506" s="1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5.75" customHeight="1">
      <c r="A507" s="1"/>
      <c r="B507" s="1"/>
      <c r="C507" s="1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5.75" customHeight="1">
      <c r="A508" s="1"/>
      <c r="B508" s="1"/>
      <c r="C508" s="1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5.75" customHeight="1">
      <c r="A509" s="1"/>
      <c r="B509" s="1"/>
      <c r="C509" s="1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5.75" customHeight="1">
      <c r="A510" s="1"/>
      <c r="B510" s="1"/>
      <c r="C510" s="1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5.75" customHeight="1">
      <c r="A511" s="1"/>
      <c r="B511" s="1"/>
      <c r="C511" s="1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5.75" customHeight="1">
      <c r="A512" s="1"/>
      <c r="B512" s="1"/>
      <c r="C512" s="1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5.75" customHeight="1">
      <c r="A513" s="1"/>
      <c r="B513" s="1"/>
      <c r="C513" s="1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5.75" customHeight="1">
      <c r="A514" s="1"/>
      <c r="B514" s="1"/>
      <c r="C514" s="1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5.75" customHeight="1">
      <c r="A515" s="1"/>
      <c r="B515" s="1"/>
      <c r="C515" s="1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5.75" customHeight="1">
      <c r="A516" s="1"/>
      <c r="B516" s="1"/>
      <c r="C516" s="1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5.75" customHeight="1">
      <c r="A517" s="1"/>
      <c r="B517" s="1"/>
      <c r="C517" s="1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5.75" customHeight="1">
      <c r="A518" s="1"/>
      <c r="B518" s="1"/>
      <c r="C518" s="1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5.75" customHeight="1">
      <c r="A519" s="1"/>
      <c r="B519" s="1"/>
      <c r="C519" s="1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5.75" customHeight="1">
      <c r="A520" s="1"/>
      <c r="B520" s="1"/>
      <c r="C520" s="1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5.75" customHeight="1">
      <c r="A521" s="1"/>
      <c r="B521" s="1"/>
      <c r="C521" s="1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5.75" customHeight="1">
      <c r="A522" s="1"/>
      <c r="B522" s="1"/>
      <c r="C522" s="1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5.75" customHeight="1">
      <c r="A523" s="1"/>
      <c r="B523" s="1"/>
      <c r="C523" s="1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5.75" customHeight="1">
      <c r="A524" s="1"/>
      <c r="B524" s="1"/>
      <c r="C524" s="1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5.75" customHeight="1">
      <c r="A525" s="1"/>
      <c r="B525" s="1"/>
      <c r="C525" s="1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5.75" customHeight="1">
      <c r="A526" s="1"/>
      <c r="B526" s="1"/>
      <c r="C526" s="1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5.75" customHeight="1">
      <c r="A527" s="1"/>
      <c r="B527" s="1"/>
      <c r="C527" s="1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5.75" customHeight="1">
      <c r="A528" s="1"/>
      <c r="B528" s="1"/>
      <c r="C528" s="1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5.75" customHeight="1">
      <c r="A529" s="1"/>
      <c r="B529" s="1"/>
      <c r="C529" s="1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5.75" customHeight="1">
      <c r="A530" s="1"/>
      <c r="B530" s="1"/>
      <c r="C530" s="1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5.75" customHeight="1">
      <c r="A531" s="1"/>
      <c r="B531" s="1"/>
      <c r="C531" s="1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5.75" customHeight="1">
      <c r="A532" s="1"/>
      <c r="B532" s="1"/>
      <c r="C532" s="1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5.75" customHeight="1">
      <c r="A533" s="1"/>
      <c r="B533" s="1"/>
      <c r="C533" s="1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5.75" customHeight="1">
      <c r="A534" s="1"/>
      <c r="B534" s="1"/>
      <c r="C534" s="1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5.75" customHeight="1">
      <c r="A535" s="1"/>
      <c r="B535" s="1"/>
      <c r="C535" s="1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5.75" customHeight="1">
      <c r="A536" s="1"/>
      <c r="B536" s="1"/>
      <c r="C536" s="1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5.75" customHeight="1">
      <c r="A537" s="1"/>
      <c r="B537" s="1"/>
      <c r="C537" s="1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5.75" customHeight="1">
      <c r="A538" s="1"/>
      <c r="B538" s="1"/>
      <c r="C538" s="1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5.75" customHeight="1">
      <c r="A539" s="1"/>
      <c r="B539" s="1"/>
      <c r="C539" s="1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5.75" customHeight="1">
      <c r="A540" s="1"/>
      <c r="B540" s="1"/>
      <c r="C540" s="1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5.75" customHeight="1">
      <c r="A541" s="1"/>
      <c r="B541" s="1"/>
      <c r="C541" s="1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5.75" customHeight="1">
      <c r="A542" s="1"/>
      <c r="B542" s="1"/>
      <c r="C542" s="1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5.75" customHeight="1">
      <c r="A543" s="1"/>
      <c r="B543" s="1"/>
      <c r="C543" s="1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5.75" customHeight="1">
      <c r="A544" s="1"/>
      <c r="B544" s="1"/>
      <c r="C544" s="1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5.75" customHeight="1">
      <c r="A545" s="1"/>
      <c r="B545" s="1"/>
      <c r="C545" s="1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5.75" customHeight="1">
      <c r="A546" s="1"/>
      <c r="B546" s="1"/>
      <c r="C546" s="1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5.75" customHeight="1">
      <c r="A547" s="1"/>
      <c r="B547" s="1"/>
      <c r="C547" s="1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5.75" customHeight="1">
      <c r="A548" s="1"/>
      <c r="B548" s="1"/>
      <c r="C548" s="1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5.75" customHeight="1">
      <c r="A549" s="1"/>
      <c r="B549" s="1"/>
      <c r="C549" s="1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5.75" customHeight="1">
      <c r="A550" s="1"/>
      <c r="B550" s="1"/>
      <c r="C550" s="1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5.75" customHeight="1">
      <c r="A551" s="1"/>
      <c r="B551" s="1"/>
      <c r="C551" s="1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5.75" customHeight="1">
      <c r="A552" s="1"/>
      <c r="B552" s="1"/>
      <c r="C552" s="1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5.75" customHeight="1">
      <c r="A553" s="1"/>
      <c r="B553" s="1"/>
      <c r="C553" s="1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5.75" customHeight="1">
      <c r="A554" s="1"/>
      <c r="B554" s="1"/>
      <c r="C554" s="1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5.75" customHeight="1">
      <c r="A555" s="1"/>
      <c r="B555" s="1"/>
      <c r="C555" s="1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5.75" customHeight="1">
      <c r="A556" s="1"/>
      <c r="B556" s="1"/>
      <c r="C556" s="1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5.75" customHeight="1">
      <c r="A557" s="1"/>
      <c r="B557" s="1"/>
      <c r="C557" s="1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5.75" customHeight="1">
      <c r="A558" s="1"/>
      <c r="B558" s="1"/>
      <c r="C558" s="1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5.75" customHeight="1">
      <c r="A559" s="1"/>
      <c r="B559" s="1"/>
      <c r="C559" s="1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5.75" customHeight="1">
      <c r="A560" s="1"/>
      <c r="B560" s="1"/>
      <c r="C560" s="1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5.75" customHeight="1">
      <c r="A561" s="1"/>
      <c r="B561" s="1"/>
      <c r="C561" s="1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5.75" customHeight="1">
      <c r="A562" s="1"/>
      <c r="B562" s="1"/>
      <c r="C562" s="1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5.75" customHeight="1">
      <c r="A563" s="1"/>
      <c r="B563" s="1"/>
      <c r="C563" s="1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5.75" customHeight="1">
      <c r="A564" s="1"/>
      <c r="B564" s="1"/>
      <c r="C564" s="1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5.75" customHeight="1">
      <c r="A565" s="1"/>
      <c r="B565" s="1"/>
      <c r="C565" s="1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5.75" customHeight="1">
      <c r="A566" s="1"/>
      <c r="B566" s="1"/>
      <c r="C566" s="1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5.75" customHeight="1">
      <c r="A567" s="1"/>
      <c r="B567" s="1"/>
      <c r="C567" s="1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5.75" customHeight="1">
      <c r="A568" s="1"/>
      <c r="B568" s="1"/>
      <c r="C568" s="1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5.75" customHeight="1">
      <c r="A569" s="1"/>
      <c r="B569" s="1"/>
      <c r="C569" s="1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5.75" customHeight="1">
      <c r="A570" s="1"/>
      <c r="B570" s="1"/>
      <c r="C570" s="1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5.75" customHeight="1">
      <c r="A571" s="1"/>
      <c r="B571" s="1"/>
      <c r="C571" s="1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5.75" customHeight="1">
      <c r="A572" s="1"/>
      <c r="B572" s="1"/>
      <c r="C572" s="1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5.75" customHeight="1">
      <c r="A573" s="1"/>
      <c r="B573" s="1"/>
      <c r="C573" s="1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5.75" customHeight="1">
      <c r="A574" s="1"/>
      <c r="B574" s="1"/>
      <c r="C574" s="1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5.75" customHeight="1">
      <c r="A575" s="1"/>
      <c r="B575" s="1"/>
      <c r="C575" s="1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5.75" customHeight="1">
      <c r="A576" s="1"/>
      <c r="B576" s="1"/>
      <c r="C576" s="1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5.75" customHeight="1">
      <c r="A577" s="1"/>
      <c r="B577" s="1"/>
      <c r="C577" s="1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5.75" customHeight="1">
      <c r="A578" s="1"/>
      <c r="B578" s="1"/>
      <c r="C578" s="1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5.75" customHeight="1">
      <c r="A579" s="1"/>
      <c r="B579" s="1"/>
      <c r="C579" s="1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5.75" customHeight="1">
      <c r="A580" s="1"/>
      <c r="B580" s="1"/>
      <c r="C580" s="1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5.75" customHeight="1">
      <c r="A581" s="1"/>
      <c r="B581" s="1"/>
      <c r="C581" s="1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5.75" customHeight="1">
      <c r="A582" s="1"/>
      <c r="B582" s="1"/>
      <c r="C582" s="1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5.75" customHeight="1">
      <c r="A583" s="1"/>
      <c r="B583" s="1"/>
      <c r="C583" s="1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5.75" customHeight="1">
      <c r="A584" s="1"/>
      <c r="B584" s="1"/>
      <c r="C584" s="1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5.75" customHeight="1">
      <c r="A585" s="1"/>
      <c r="B585" s="1"/>
      <c r="C585" s="1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5.75" customHeight="1">
      <c r="A586" s="1"/>
      <c r="B586" s="1"/>
      <c r="C586" s="1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5.75" customHeight="1">
      <c r="A587" s="1"/>
      <c r="B587" s="1"/>
      <c r="C587" s="1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5.75" customHeight="1">
      <c r="A588" s="1"/>
      <c r="B588" s="1"/>
      <c r="C588" s="1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5.75" customHeight="1">
      <c r="A589" s="1"/>
      <c r="B589" s="1"/>
      <c r="C589" s="1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5.75" customHeight="1">
      <c r="A590" s="1"/>
      <c r="B590" s="1"/>
      <c r="C590" s="1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5.75" customHeight="1">
      <c r="A591" s="1"/>
      <c r="B591" s="1"/>
      <c r="C591" s="1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5.75" customHeight="1">
      <c r="A592" s="1"/>
      <c r="B592" s="1"/>
      <c r="C592" s="1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5.75" customHeight="1">
      <c r="A593" s="1"/>
      <c r="B593" s="1"/>
      <c r="C593" s="1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5.75" customHeight="1">
      <c r="A594" s="1"/>
      <c r="B594" s="1"/>
      <c r="C594" s="1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5.75" customHeight="1">
      <c r="A595" s="1"/>
      <c r="B595" s="1"/>
      <c r="C595" s="1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5.75" customHeight="1">
      <c r="A596" s="1"/>
      <c r="B596" s="1"/>
      <c r="C596" s="1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5.75" customHeight="1">
      <c r="A597" s="1"/>
      <c r="B597" s="1"/>
      <c r="C597" s="1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5.75" customHeight="1">
      <c r="A598" s="1"/>
      <c r="B598" s="1"/>
      <c r="C598" s="1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5.75" customHeight="1">
      <c r="A599" s="1"/>
      <c r="B599" s="1"/>
      <c r="C599" s="1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5.75" customHeight="1">
      <c r="A600" s="1"/>
      <c r="B600" s="1"/>
      <c r="C600" s="1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5.75" customHeight="1">
      <c r="A601" s="1"/>
      <c r="B601" s="1"/>
      <c r="C601" s="1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5.75" customHeight="1">
      <c r="A602" s="1"/>
      <c r="B602" s="1"/>
      <c r="C602" s="1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5.75" customHeight="1">
      <c r="A603" s="1"/>
      <c r="B603" s="1"/>
      <c r="C603" s="1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5.75" customHeight="1">
      <c r="A604" s="1"/>
      <c r="B604" s="1"/>
      <c r="C604" s="1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5.75" customHeight="1">
      <c r="A605" s="1"/>
      <c r="B605" s="1"/>
      <c r="C605" s="1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5.75" customHeight="1">
      <c r="A606" s="1"/>
      <c r="B606" s="1"/>
      <c r="C606" s="1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5.75" customHeight="1">
      <c r="A607" s="1"/>
      <c r="B607" s="1"/>
      <c r="C607" s="1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5.75" customHeight="1">
      <c r="A608" s="1"/>
      <c r="B608" s="1"/>
      <c r="C608" s="1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5.75" customHeight="1">
      <c r="A609" s="1"/>
      <c r="B609" s="1"/>
      <c r="C609" s="1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5.75" customHeight="1">
      <c r="A610" s="1"/>
      <c r="B610" s="1"/>
      <c r="C610" s="1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5.75" customHeight="1">
      <c r="A611" s="1"/>
      <c r="B611" s="1"/>
      <c r="C611" s="1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5.75" customHeight="1">
      <c r="A612" s="1"/>
      <c r="B612" s="1"/>
      <c r="C612" s="1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5.75" customHeight="1">
      <c r="A613" s="1"/>
      <c r="B613" s="1"/>
      <c r="C613" s="1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5.75" customHeight="1">
      <c r="A614" s="1"/>
      <c r="B614" s="1"/>
      <c r="C614" s="1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5.75" customHeight="1">
      <c r="A615" s="1"/>
      <c r="B615" s="1"/>
      <c r="C615" s="1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5.75" customHeight="1">
      <c r="A616" s="1"/>
      <c r="B616" s="1"/>
      <c r="C616" s="1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5.75" customHeight="1">
      <c r="A617" s="1"/>
      <c r="B617" s="1"/>
      <c r="C617" s="1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5.75" customHeight="1">
      <c r="A618" s="1"/>
      <c r="B618" s="1"/>
      <c r="C618" s="1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5.75" customHeight="1">
      <c r="A619" s="1"/>
      <c r="B619" s="1"/>
      <c r="C619" s="1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5.75" customHeight="1">
      <c r="A620" s="1"/>
      <c r="B620" s="1"/>
      <c r="C620" s="1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5.75" customHeight="1">
      <c r="A621" s="1"/>
      <c r="B621" s="1"/>
      <c r="C621" s="1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5.75" customHeight="1">
      <c r="A622" s="1"/>
      <c r="B622" s="1"/>
      <c r="C622" s="1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5.75" customHeight="1">
      <c r="A623" s="1"/>
      <c r="B623" s="1"/>
      <c r="C623" s="1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5.75" customHeight="1">
      <c r="A624" s="1"/>
      <c r="B624" s="1"/>
      <c r="C624" s="1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5.75" customHeight="1">
      <c r="A625" s="1"/>
      <c r="B625" s="1"/>
      <c r="C625" s="1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5.75" customHeight="1">
      <c r="A626" s="1"/>
      <c r="B626" s="1"/>
      <c r="C626" s="1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5.75" customHeight="1">
      <c r="A627" s="1"/>
      <c r="B627" s="1"/>
      <c r="C627" s="1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5.75" customHeight="1">
      <c r="A628" s="1"/>
      <c r="B628" s="1"/>
      <c r="C628" s="1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5.75" customHeight="1">
      <c r="A629" s="1"/>
      <c r="B629" s="1"/>
      <c r="C629" s="1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5.75" customHeight="1">
      <c r="A630" s="1"/>
      <c r="B630" s="1"/>
      <c r="C630" s="1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5.75" customHeight="1">
      <c r="A631" s="1"/>
      <c r="B631" s="1"/>
      <c r="C631" s="1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5.75" customHeight="1">
      <c r="A632" s="1"/>
      <c r="B632" s="1"/>
      <c r="C632" s="1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5.75" customHeight="1">
      <c r="A633" s="1"/>
      <c r="B633" s="1"/>
      <c r="C633" s="1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5.75" customHeight="1">
      <c r="A634" s="1"/>
      <c r="B634" s="1"/>
      <c r="C634" s="1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5.75" customHeight="1">
      <c r="A635" s="1"/>
      <c r="B635" s="1"/>
      <c r="C635" s="1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5.75" customHeight="1">
      <c r="A636" s="1"/>
      <c r="B636" s="1"/>
      <c r="C636" s="1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5.75" customHeight="1">
      <c r="A637" s="1"/>
      <c r="B637" s="1"/>
      <c r="C637" s="1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5.75" customHeight="1">
      <c r="A638" s="1"/>
      <c r="B638" s="1"/>
      <c r="C638" s="1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5.75" customHeight="1">
      <c r="A639" s="1"/>
      <c r="B639" s="1"/>
      <c r="C639" s="1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5.75" customHeight="1">
      <c r="A640" s="1"/>
      <c r="B640" s="1"/>
      <c r="C640" s="1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5.75" customHeight="1">
      <c r="A641" s="1"/>
      <c r="B641" s="1"/>
      <c r="C641" s="1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5.75" customHeight="1">
      <c r="A642" s="1"/>
      <c r="B642" s="1"/>
      <c r="C642" s="1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5.75" customHeight="1">
      <c r="A643" s="1"/>
      <c r="B643" s="1"/>
      <c r="C643" s="1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5.75" customHeight="1">
      <c r="A644" s="1"/>
      <c r="B644" s="1"/>
      <c r="C644" s="1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5.75" customHeight="1">
      <c r="A645" s="1"/>
      <c r="B645" s="1"/>
      <c r="C645" s="1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5.75" customHeight="1">
      <c r="A646" s="1"/>
      <c r="B646" s="1"/>
      <c r="C646" s="1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5.75" customHeight="1">
      <c r="A647" s="1"/>
      <c r="B647" s="1"/>
      <c r="C647" s="1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5.75" customHeight="1">
      <c r="A648" s="1"/>
      <c r="B648" s="1"/>
      <c r="C648" s="1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5.75" customHeight="1">
      <c r="A649" s="1"/>
      <c r="B649" s="1"/>
      <c r="C649" s="1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5.75" customHeight="1">
      <c r="A650" s="1"/>
      <c r="B650" s="1"/>
      <c r="C650" s="1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5.75" customHeight="1">
      <c r="A651" s="1"/>
      <c r="B651" s="1"/>
      <c r="C651" s="1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5.75" customHeight="1">
      <c r="A652" s="1"/>
      <c r="B652" s="1"/>
      <c r="C652" s="1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5.75" customHeight="1">
      <c r="A653" s="1"/>
      <c r="B653" s="1"/>
      <c r="C653" s="1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5.75" customHeight="1">
      <c r="A654" s="1"/>
      <c r="B654" s="1"/>
      <c r="C654" s="1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5.75" customHeight="1">
      <c r="A655" s="1"/>
      <c r="B655" s="1"/>
      <c r="C655" s="1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5.75" customHeight="1">
      <c r="A656" s="1"/>
      <c r="B656" s="1"/>
      <c r="C656" s="1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5.75" customHeight="1">
      <c r="A657" s="1"/>
      <c r="B657" s="1"/>
      <c r="C657" s="1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5.75" customHeight="1">
      <c r="A658" s="1"/>
      <c r="B658" s="1"/>
      <c r="C658" s="1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5.75" customHeight="1">
      <c r="A659" s="1"/>
      <c r="B659" s="1"/>
      <c r="C659" s="1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5.75" customHeight="1">
      <c r="A660" s="1"/>
      <c r="B660" s="1"/>
      <c r="C660" s="1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5.75" customHeight="1">
      <c r="A661" s="1"/>
      <c r="B661" s="1"/>
      <c r="C661" s="1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5.75" customHeight="1">
      <c r="A662" s="1"/>
      <c r="B662" s="1"/>
      <c r="C662" s="1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5.75" customHeight="1">
      <c r="A663" s="1"/>
      <c r="B663" s="1"/>
      <c r="C663" s="1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5.75" customHeight="1">
      <c r="A664" s="1"/>
      <c r="B664" s="1"/>
      <c r="C664" s="1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5.75" customHeight="1">
      <c r="A665" s="1"/>
      <c r="B665" s="1"/>
      <c r="C665" s="1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5.75" customHeight="1">
      <c r="A666" s="1"/>
      <c r="B666" s="1"/>
      <c r="C666" s="1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5.75" customHeight="1">
      <c r="A667" s="1"/>
      <c r="B667" s="1"/>
      <c r="C667" s="1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5.75" customHeight="1">
      <c r="A668" s="1"/>
      <c r="B668" s="1"/>
      <c r="C668" s="1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5.75" customHeight="1">
      <c r="A669" s="1"/>
      <c r="B669" s="1"/>
      <c r="C669" s="1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5.75" customHeight="1">
      <c r="A670" s="1"/>
      <c r="B670" s="1"/>
      <c r="C670" s="1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5.75" customHeight="1">
      <c r="A671" s="1"/>
      <c r="B671" s="1"/>
      <c r="C671" s="1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5.75" customHeight="1">
      <c r="A672" s="1"/>
      <c r="B672" s="1"/>
      <c r="C672" s="1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5.75" customHeight="1">
      <c r="A673" s="1"/>
      <c r="B673" s="1"/>
      <c r="C673" s="1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5.75" customHeight="1">
      <c r="A674" s="1"/>
      <c r="B674" s="1"/>
      <c r="C674" s="1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5.75" customHeight="1">
      <c r="A675" s="1"/>
      <c r="B675" s="1"/>
      <c r="C675" s="1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5.75" customHeight="1">
      <c r="A676" s="1"/>
      <c r="B676" s="1"/>
      <c r="C676" s="1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5.75" customHeight="1">
      <c r="A677" s="1"/>
      <c r="B677" s="1"/>
      <c r="C677" s="1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5.75" customHeight="1">
      <c r="A678" s="1"/>
      <c r="B678" s="1"/>
      <c r="C678" s="1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5.75" customHeight="1">
      <c r="A679" s="1"/>
      <c r="B679" s="1"/>
      <c r="C679" s="1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5.75" customHeight="1">
      <c r="A680" s="1"/>
      <c r="B680" s="1"/>
      <c r="C680" s="1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5.75" customHeight="1">
      <c r="A681" s="1"/>
      <c r="B681" s="1"/>
      <c r="C681" s="1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5.75" customHeight="1">
      <c r="A682" s="1"/>
      <c r="B682" s="1"/>
      <c r="C682" s="1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5.75" customHeight="1">
      <c r="A683" s="1"/>
      <c r="B683" s="1"/>
      <c r="C683" s="1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5.75" customHeight="1">
      <c r="A684" s="1"/>
      <c r="B684" s="1"/>
      <c r="C684" s="1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5.75" customHeight="1">
      <c r="A685" s="1"/>
      <c r="B685" s="1"/>
      <c r="C685" s="1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5.75" customHeight="1">
      <c r="A686" s="1"/>
      <c r="B686" s="1"/>
      <c r="C686" s="1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5.75" customHeight="1">
      <c r="A687" s="1"/>
      <c r="B687" s="1"/>
      <c r="C687" s="1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5.75" customHeight="1">
      <c r="A688" s="1"/>
      <c r="B688" s="1"/>
      <c r="C688" s="1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5.75" customHeight="1">
      <c r="A689" s="1"/>
      <c r="B689" s="1"/>
      <c r="C689" s="1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5.75" customHeight="1">
      <c r="A690" s="1"/>
      <c r="B690" s="1"/>
      <c r="C690" s="1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5.75" customHeight="1">
      <c r="A691" s="1"/>
      <c r="B691" s="1"/>
      <c r="C691" s="1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5.75" customHeight="1">
      <c r="A692" s="1"/>
      <c r="B692" s="1"/>
      <c r="C692" s="1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5.75" customHeight="1">
      <c r="A693" s="1"/>
      <c r="B693" s="1"/>
      <c r="C693" s="1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5.75" customHeight="1">
      <c r="A694" s="1"/>
      <c r="B694" s="1"/>
      <c r="C694" s="1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5.75" customHeight="1">
      <c r="A695" s="1"/>
      <c r="B695" s="1"/>
      <c r="C695" s="1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5.75" customHeight="1">
      <c r="A696" s="1"/>
      <c r="B696" s="1"/>
      <c r="C696" s="1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5.75" customHeight="1">
      <c r="A697" s="1"/>
      <c r="B697" s="1"/>
      <c r="C697" s="1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5.75" customHeight="1">
      <c r="A698" s="1"/>
      <c r="B698" s="1"/>
      <c r="C698" s="1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5.75" customHeight="1">
      <c r="A699" s="1"/>
      <c r="B699" s="1"/>
      <c r="C699" s="1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5.75" customHeight="1">
      <c r="A700" s="1"/>
      <c r="B700" s="1"/>
      <c r="C700" s="1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5.75" customHeight="1">
      <c r="A701" s="1"/>
      <c r="B701" s="1"/>
      <c r="C701" s="1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5.75" customHeight="1">
      <c r="A702" s="1"/>
      <c r="B702" s="1"/>
      <c r="C702" s="1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5.75" customHeight="1">
      <c r="A703" s="1"/>
      <c r="B703" s="1"/>
      <c r="C703" s="1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5.75" customHeight="1">
      <c r="A704" s="1"/>
      <c r="B704" s="1"/>
      <c r="C704" s="1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5.75" customHeight="1">
      <c r="A705" s="1"/>
      <c r="B705" s="1"/>
      <c r="C705" s="1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5.75" customHeight="1">
      <c r="A706" s="1"/>
      <c r="B706" s="1"/>
      <c r="C706" s="1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5.75" customHeight="1">
      <c r="A707" s="1"/>
      <c r="B707" s="1"/>
      <c r="C707" s="1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5.75" customHeight="1">
      <c r="A708" s="1"/>
      <c r="B708" s="1"/>
      <c r="C708" s="1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5.75" customHeight="1">
      <c r="A709" s="1"/>
      <c r="B709" s="1"/>
      <c r="C709" s="1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5.75" customHeight="1">
      <c r="A710" s="1"/>
      <c r="B710" s="1"/>
      <c r="C710" s="1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5.75" customHeight="1">
      <c r="A711" s="1"/>
      <c r="B711" s="1"/>
      <c r="C711" s="1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5.75" customHeight="1">
      <c r="A712" s="1"/>
      <c r="B712" s="1"/>
      <c r="C712" s="1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5.75" customHeight="1">
      <c r="A713" s="1"/>
      <c r="B713" s="1"/>
      <c r="C713" s="1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5.75" customHeight="1">
      <c r="A714" s="1"/>
      <c r="B714" s="1"/>
      <c r="C714" s="1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5.75" customHeight="1">
      <c r="A715" s="1"/>
      <c r="B715" s="1"/>
      <c r="C715" s="1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5.75" customHeight="1">
      <c r="A716" s="1"/>
      <c r="B716" s="1"/>
      <c r="C716" s="1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5.75" customHeight="1">
      <c r="A717" s="1"/>
      <c r="B717" s="1"/>
      <c r="C717" s="1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5.75" customHeight="1">
      <c r="A718" s="1"/>
      <c r="B718" s="1"/>
      <c r="C718" s="1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5.75" customHeight="1">
      <c r="A719" s="1"/>
      <c r="B719" s="1"/>
      <c r="C719" s="1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5.75" customHeight="1">
      <c r="A720" s="1"/>
      <c r="B720" s="1"/>
      <c r="C720" s="1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5.75" customHeight="1">
      <c r="A721" s="1"/>
      <c r="B721" s="1"/>
      <c r="C721" s="1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5.75" customHeight="1">
      <c r="A722" s="1"/>
      <c r="B722" s="1"/>
      <c r="C722" s="1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5.75" customHeight="1">
      <c r="A723" s="1"/>
      <c r="B723" s="1"/>
      <c r="C723" s="1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5.75" customHeight="1">
      <c r="A724" s="1"/>
      <c r="B724" s="1"/>
      <c r="C724" s="1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5.75" customHeight="1">
      <c r="A725" s="1"/>
      <c r="B725" s="1"/>
      <c r="C725" s="1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5.75" customHeight="1">
      <c r="A726" s="1"/>
      <c r="B726" s="1"/>
      <c r="C726" s="1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5.75" customHeight="1">
      <c r="A727" s="1"/>
      <c r="B727" s="1"/>
      <c r="C727" s="1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5.75" customHeight="1">
      <c r="A728" s="1"/>
      <c r="B728" s="1"/>
      <c r="C728" s="1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5.75" customHeight="1">
      <c r="A729" s="1"/>
      <c r="B729" s="1"/>
      <c r="C729" s="1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5.75" customHeight="1">
      <c r="A730" s="1"/>
      <c r="B730" s="1"/>
      <c r="C730" s="1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5.75" customHeight="1">
      <c r="A731" s="1"/>
      <c r="B731" s="1"/>
      <c r="C731" s="1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5.75" customHeight="1">
      <c r="A732" s="1"/>
      <c r="B732" s="1"/>
      <c r="C732" s="1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5.75" customHeight="1">
      <c r="A733" s="1"/>
      <c r="B733" s="1"/>
      <c r="C733" s="1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5.75" customHeight="1">
      <c r="A734" s="1"/>
      <c r="B734" s="1"/>
      <c r="C734" s="1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5.75" customHeight="1">
      <c r="A735" s="1"/>
      <c r="B735" s="1"/>
      <c r="C735" s="1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5.75" customHeight="1">
      <c r="A736" s="1"/>
      <c r="B736" s="1"/>
      <c r="C736" s="1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5.75" customHeight="1">
      <c r="A737" s="1"/>
      <c r="B737" s="1"/>
      <c r="C737" s="1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5.75" customHeight="1">
      <c r="A738" s="1"/>
      <c r="B738" s="1"/>
      <c r="C738" s="1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5.75" customHeight="1">
      <c r="A739" s="1"/>
      <c r="B739" s="1"/>
      <c r="C739" s="1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5.75" customHeight="1">
      <c r="A740" s="1"/>
      <c r="B740" s="1"/>
      <c r="C740" s="1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5.75" customHeight="1">
      <c r="A741" s="1"/>
      <c r="B741" s="1"/>
      <c r="C741" s="1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5.75" customHeight="1">
      <c r="A742" s="1"/>
      <c r="B742" s="1"/>
      <c r="C742" s="1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5.75" customHeight="1">
      <c r="A743" s="1"/>
      <c r="B743" s="1"/>
      <c r="C743" s="1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5.75" customHeight="1">
      <c r="A744" s="1"/>
      <c r="B744" s="1"/>
      <c r="C744" s="1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5.75" customHeight="1">
      <c r="A745" s="1"/>
      <c r="B745" s="1"/>
      <c r="C745" s="1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5.75" customHeight="1">
      <c r="A746" s="1"/>
      <c r="B746" s="1"/>
      <c r="C746" s="1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5.75" customHeight="1">
      <c r="A747" s="1"/>
      <c r="B747" s="1"/>
      <c r="C747" s="1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5.75" customHeight="1">
      <c r="A748" s="1"/>
      <c r="B748" s="1"/>
      <c r="C748" s="1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5.75" customHeight="1">
      <c r="A749" s="1"/>
      <c r="B749" s="1"/>
      <c r="C749" s="1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5.75" customHeight="1">
      <c r="A750" s="1"/>
      <c r="B750" s="1"/>
      <c r="C750" s="1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5.75" customHeight="1">
      <c r="A751" s="1"/>
      <c r="B751" s="1"/>
      <c r="C751" s="1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5.75" customHeight="1">
      <c r="A752" s="1"/>
      <c r="B752" s="1"/>
      <c r="C752" s="1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5.75" customHeight="1">
      <c r="A753" s="1"/>
      <c r="B753" s="1"/>
      <c r="C753" s="1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5.75" customHeight="1">
      <c r="A754" s="1"/>
      <c r="B754" s="1"/>
      <c r="C754" s="1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5.75" customHeight="1">
      <c r="A755" s="1"/>
      <c r="B755" s="1"/>
      <c r="C755" s="1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5.75" customHeight="1">
      <c r="A756" s="1"/>
      <c r="B756" s="1"/>
      <c r="C756" s="1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5.75" customHeight="1">
      <c r="A757" s="1"/>
      <c r="B757" s="1"/>
      <c r="C757" s="1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5.75" customHeight="1">
      <c r="A758" s="1"/>
      <c r="B758" s="1"/>
      <c r="C758" s="1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5.75" customHeight="1">
      <c r="A759" s="1"/>
      <c r="B759" s="1"/>
      <c r="C759" s="1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5.75" customHeight="1">
      <c r="A760" s="1"/>
      <c r="B760" s="1"/>
      <c r="C760" s="1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5.75" customHeight="1">
      <c r="A761" s="1"/>
      <c r="B761" s="1"/>
      <c r="C761" s="1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5.75" customHeight="1">
      <c r="A762" s="1"/>
      <c r="B762" s="1"/>
      <c r="C762" s="1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5.75" customHeight="1">
      <c r="A763" s="1"/>
      <c r="B763" s="1"/>
      <c r="C763" s="1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5.75" customHeight="1">
      <c r="A764" s="1"/>
      <c r="B764" s="1"/>
      <c r="C764" s="1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5.75" customHeight="1">
      <c r="A765" s="1"/>
      <c r="B765" s="1"/>
      <c r="C765" s="1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5.75" customHeight="1">
      <c r="A766" s="1"/>
      <c r="B766" s="1"/>
      <c r="C766" s="1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5.75" customHeight="1">
      <c r="A767" s="1"/>
      <c r="B767" s="1"/>
      <c r="C767" s="1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5.75" customHeight="1">
      <c r="A768" s="1"/>
      <c r="B768" s="1"/>
      <c r="C768" s="1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5.75" customHeight="1">
      <c r="A769" s="1"/>
      <c r="B769" s="1"/>
      <c r="C769" s="1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5.75" customHeight="1">
      <c r="A770" s="1"/>
      <c r="B770" s="1"/>
      <c r="C770" s="1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5.75" customHeight="1">
      <c r="A771" s="1"/>
      <c r="B771" s="1"/>
      <c r="C771" s="1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5.75" customHeight="1">
      <c r="A772" s="1"/>
      <c r="B772" s="1"/>
      <c r="C772" s="1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5.75" customHeight="1">
      <c r="A773" s="1"/>
      <c r="B773" s="1"/>
      <c r="C773" s="1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5.75" customHeight="1">
      <c r="A774" s="1"/>
      <c r="B774" s="1"/>
      <c r="C774" s="1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5.75" customHeight="1">
      <c r="A775" s="1"/>
      <c r="B775" s="1"/>
      <c r="C775" s="1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5.75" customHeight="1">
      <c r="A776" s="1"/>
      <c r="B776" s="1"/>
      <c r="C776" s="1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5.75" customHeight="1">
      <c r="A777" s="1"/>
      <c r="B777" s="1"/>
      <c r="C777" s="1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5.75" customHeight="1">
      <c r="A778" s="1"/>
      <c r="B778" s="1"/>
      <c r="C778" s="1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5.75" customHeight="1">
      <c r="A779" s="1"/>
      <c r="B779" s="1"/>
      <c r="C779" s="1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5.75" customHeight="1">
      <c r="A780" s="1"/>
      <c r="B780" s="1"/>
      <c r="C780" s="1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5.75" customHeight="1">
      <c r="A781" s="1"/>
      <c r="B781" s="1"/>
      <c r="C781" s="1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5.75" customHeight="1">
      <c r="A782" s="1"/>
      <c r="B782" s="1"/>
      <c r="C782" s="1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5.75" customHeight="1">
      <c r="A783" s="1"/>
      <c r="B783" s="1"/>
      <c r="C783" s="1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5.75" customHeight="1">
      <c r="A784" s="1"/>
      <c r="B784" s="1"/>
      <c r="C784" s="1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5.75" customHeight="1">
      <c r="A785" s="1"/>
      <c r="B785" s="1"/>
      <c r="C785" s="1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5.75" customHeight="1">
      <c r="A786" s="1"/>
      <c r="B786" s="1"/>
      <c r="C786" s="1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5.75" customHeight="1">
      <c r="A787" s="1"/>
      <c r="B787" s="1"/>
      <c r="C787" s="1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5.75" customHeight="1">
      <c r="A788" s="1"/>
      <c r="B788" s="1"/>
      <c r="C788" s="1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5.75" customHeight="1">
      <c r="A789" s="1"/>
      <c r="B789" s="1"/>
      <c r="C789" s="1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5.75" customHeight="1">
      <c r="A790" s="1"/>
      <c r="B790" s="1"/>
      <c r="C790" s="1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5.75" customHeight="1">
      <c r="A791" s="1"/>
      <c r="B791" s="1"/>
      <c r="C791" s="1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5.75" customHeight="1">
      <c r="A792" s="1"/>
      <c r="B792" s="1"/>
      <c r="C792" s="1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5.75" customHeight="1">
      <c r="A793" s="1"/>
      <c r="B793" s="1"/>
      <c r="C793" s="1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5.75" customHeight="1">
      <c r="A794" s="1"/>
      <c r="B794" s="1"/>
      <c r="C794" s="1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5.75" customHeight="1">
      <c r="A795" s="1"/>
      <c r="B795" s="1"/>
      <c r="C795" s="1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5.75" customHeight="1">
      <c r="A796" s="1"/>
      <c r="B796" s="1"/>
      <c r="C796" s="1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5.75" customHeight="1">
      <c r="A797" s="1"/>
      <c r="B797" s="1"/>
      <c r="C797" s="1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5.75" customHeight="1">
      <c r="A798" s="1"/>
      <c r="B798" s="1"/>
      <c r="C798" s="1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5.75" customHeight="1">
      <c r="A799" s="1"/>
      <c r="B799" s="1"/>
      <c r="C799" s="1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5.75" customHeight="1">
      <c r="A800" s="1"/>
      <c r="B800" s="1"/>
      <c r="C800" s="1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5.75" customHeight="1">
      <c r="A801" s="1"/>
      <c r="B801" s="1"/>
      <c r="C801" s="1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5.75" customHeight="1">
      <c r="A802" s="1"/>
      <c r="B802" s="1"/>
      <c r="C802" s="1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5.75" customHeight="1">
      <c r="A803" s="1"/>
      <c r="B803" s="1"/>
      <c r="C803" s="1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5.75" customHeight="1">
      <c r="A804" s="1"/>
      <c r="B804" s="1"/>
      <c r="C804" s="1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5.75" customHeight="1">
      <c r="A805" s="1"/>
      <c r="B805" s="1"/>
      <c r="C805" s="1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5.75" customHeight="1">
      <c r="A806" s="1"/>
      <c r="B806" s="1"/>
      <c r="C806" s="1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5.75" customHeight="1">
      <c r="A807" s="1"/>
      <c r="B807" s="1"/>
      <c r="C807" s="1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5.75" customHeight="1">
      <c r="A808" s="1"/>
      <c r="B808" s="1"/>
      <c r="C808" s="1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5.75" customHeight="1">
      <c r="A809" s="1"/>
      <c r="B809" s="1"/>
      <c r="C809" s="1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5.75" customHeight="1">
      <c r="A810" s="1"/>
      <c r="B810" s="1"/>
      <c r="C810" s="1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5.75" customHeight="1">
      <c r="A811" s="1"/>
      <c r="B811" s="1"/>
      <c r="C811" s="1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5.75" customHeight="1">
      <c r="A812" s="1"/>
      <c r="B812" s="1"/>
      <c r="C812" s="1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5.75" customHeight="1">
      <c r="A813" s="1"/>
      <c r="B813" s="1"/>
      <c r="C813" s="1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5.75" customHeight="1">
      <c r="A814" s="1"/>
      <c r="B814" s="1"/>
      <c r="C814" s="1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5.75" customHeight="1">
      <c r="A815" s="1"/>
      <c r="B815" s="1"/>
      <c r="C815" s="1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5.75" customHeight="1">
      <c r="A816" s="1"/>
      <c r="B816" s="1"/>
      <c r="C816" s="1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5.75" customHeight="1">
      <c r="A817" s="1"/>
      <c r="B817" s="1"/>
      <c r="C817" s="1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5.75" customHeight="1">
      <c r="A818" s="1"/>
      <c r="B818" s="1"/>
      <c r="C818" s="1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5.75" customHeight="1">
      <c r="A819" s="1"/>
      <c r="B819" s="1"/>
      <c r="C819" s="1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5.75" customHeight="1">
      <c r="A820" s="1"/>
      <c r="B820" s="1"/>
      <c r="C820" s="1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5.75" customHeight="1">
      <c r="A821" s="1"/>
      <c r="B821" s="1"/>
      <c r="C821" s="1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5.75" customHeight="1">
      <c r="A822" s="1"/>
      <c r="B822" s="1"/>
      <c r="C822" s="1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5.75" customHeight="1">
      <c r="A823" s="1"/>
      <c r="B823" s="1"/>
      <c r="C823" s="1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5.75" customHeight="1">
      <c r="A824" s="1"/>
      <c r="B824" s="1"/>
      <c r="C824" s="1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5.75" customHeight="1">
      <c r="A825" s="1"/>
      <c r="B825" s="1"/>
      <c r="C825" s="1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5.75" customHeight="1">
      <c r="A826" s="1"/>
      <c r="B826" s="1"/>
      <c r="C826" s="1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5.75" customHeight="1">
      <c r="A827" s="1"/>
      <c r="B827" s="1"/>
      <c r="C827" s="1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5.75" customHeight="1">
      <c r="A828" s="1"/>
      <c r="B828" s="1"/>
      <c r="C828" s="1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5.75" customHeight="1">
      <c r="A829" s="1"/>
      <c r="B829" s="1"/>
      <c r="C829" s="1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5.75" customHeight="1">
      <c r="A830" s="1"/>
      <c r="B830" s="1"/>
      <c r="C830" s="1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5.75" customHeight="1">
      <c r="A831" s="1"/>
      <c r="B831" s="1"/>
      <c r="C831" s="1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5.75" customHeight="1">
      <c r="A832" s="1"/>
      <c r="B832" s="1"/>
      <c r="C832" s="1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5.75" customHeight="1">
      <c r="A833" s="1"/>
      <c r="B833" s="1"/>
      <c r="C833" s="1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5.75" customHeight="1">
      <c r="A834" s="1"/>
      <c r="B834" s="1"/>
      <c r="C834" s="1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5.75" customHeight="1">
      <c r="A835" s="1"/>
      <c r="B835" s="1"/>
      <c r="C835" s="1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5.75" customHeight="1">
      <c r="A836" s="1"/>
      <c r="B836" s="1"/>
      <c r="C836" s="1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5.75" customHeight="1">
      <c r="A837" s="1"/>
      <c r="B837" s="1"/>
      <c r="C837" s="1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5.75" customHeight="1">
      <c r="A838" s="1"/>
      <c r="B838" s="1"/>
      <c r="C838" s="1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5.75" customHeight="1">
      <c r="A839" s="1"/>
      <c r="B839" s="1"/>
      <c r="C839" s="1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5.75" customHeight="1">
      <c r="A840" s="1"/>
      <c r="B840" s="1"/>
      <c r="C840" s="1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5.75" customHeight="1">
      <c r="A841" s="1"/>
      <c r="B841" s="1"/>
      <c r="C841" s="1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5.75" customHeight="1">
      <c r="A842" s="1"/>
      <c r="B842" s="1"/>
      <c r="C842" s="1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5.75" customHeight="1">
      <c r="A843" s="1"/>
      <c r="B843" s="1"/>
      <c r="C843" s="1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5.75" customHeight="1">
      <c r="A844" s="1"/>
      <c r="B844" s="1"/>
      <c r="C844" s="1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5.75" customHeight="1">
      <c r="A845" s="1"/>
      <c r="B845" s="1"/>
      <c r="C845" s="1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5.75" customHeight="1">
      <c r="A846" s="1"/>
      <c r="B846" s="1"/>
      <c r="C846" s="1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5.75" customHeight="1">
      <c r="A847" s="1"/>
      <c r="B847" s="1"/>
      <c r="C847" s="1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5.75" customHeight="1">
      <c r="A848" s="1"/>
      <c r="B848" s="1"/>
      <c r="C848" s="1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5.75" customHeight="1">
      <c r="A849" s="1"/>
      <c r="B849" s="1"/>
      <c r="C849" s="1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5.75" customHeight="1">
      <c r="A850" s="1"/>
      <c r="B850" s="1"/>
      <c r="C850" s="1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5.75" customHeight="1">
      <c r="A851" s="1"/>
      <c r="B851" s="1"/>
      <c r="C851" s="1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5.75" customHeight="1">
      <c r="A852" s="1"/>
      <c r="B852" s="1"/>
      <c r="C852" s="1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5.75" customHeight="1">
      <c r="A853" s="1"/>
      <c r="B853" s="1"/>
      <c r="C853" s="1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5.75" customHeight="1">
      <c r="A854" s="1"/>
      <c r="B854" s="1"/>
      <c r="C854" s="1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5.75" customHeight="1">
      <c r="A855" s="1"/>
      <c r="B855" s="1"/>
      <c r="C855" s="1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5.75" customHeight="1">
      <c r="A856" s="1"/>
      <c r="B856" s="1"/>
      <c r="C856" s="1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5.75" customHeight="1">
      <c r="A857" s="1"/>
      <c r="B857" s="1"/>
      <c r="C857" s="1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5.75" customHeight="1">
      <c r="A858" s="1"/>
      <c r="B858" s="1"/>
      <c r="C858" s="1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5.75" customHeight="1">
      <c r="A859" s="1"/>
      <c r="B859" s="1"/>
      <c r="C859" s="1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5.75" customHeight="1">
      <c r="A860" s="1"/>
      <c r="B860" s="1"/>
      <c r="C860" s="1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5.75" customHeight="1">
      <c r="A861" s="1"/>
      <c r="B861" s="1"/>
      <c r="C861" s="1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5.75" customHeight="1">
      <c r="A862" s="1"/>
      <c r="B862" s="1"/>
      <c r="C862" s="1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5.75" customHeight="1">
      <c r="A863" s="1"/>
      <c r="B863" s="1"/>
      <c r="C863" s="1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5.75" customHeight="1">
      <c r="A864" s="1"/>
      <c r="B864" s="1"/>
      <c r="C864" s="1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5.75" customHeight="1">
      <c r="A865" s="1"/>
      <c r="B865" s="1"/>
      <c r="C865" s="1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5.75" customHeight="1">
      <c r="A866" s="1"/>
      <c r="B866" s="1"/>
      <c r="C866" s="1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5.75" customHeight="1">
      <c r="A867" s="1"/>
      <c r="B867" s="1"/>
      <c r="C867" s="1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5.75" customHeight="1">
      <c r="A868" s="1"/>
      <c r="B868" s="1"/>
      <c r="C868" s="1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5.75" customHeight="1">
      <c r="A869" s="1"/>
      <c r="B869" s="1"/>
      <c r="C869" s="1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5.75" customHeight="1">
      <c r="A870" s="1"/>
      <c r="B870" s="1"/>
      <c r="C870" s="1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5.75" customHeight="1">
      <c r="A871" s="1"/>
      <c r="B871" s="1"/>
      <c r="C871" s="1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5.75" customHeight="1">
      <c r="A872" s="1"/>
      <c r="B872" s="1"/>
      <c r="C872" s="1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5.75" customHeight="1">
      <c r="A873" s="1"/>
      <c r="B873" s="1"/>
      <c r="C873" s="1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5.75" customHeight="1">
      <c r="A874" s="1"/>
      <c r="B874" s="1"/>
      <c r="C874" s="1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5.75" customHeight="1">
      <c r="A875" s="1"/>
      <c r="B875" s="1"/>
      <c r="C875" s="1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5.75" customHeight="1">
      <c r="A876" s="1"/>
      <c r="B876" s="1"/>
      <c r="C876" s="1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5.75" customHeight="1">
      <c r="A877" s="1"/>
      <c r="B877" s="1"/>
      <c r="C877" s="1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5.75" customHeight="1">
      <c r="A878" s="1"/>
      <c r="B878" s="1"/>
      <c r="C878" s="1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5.75" customHeight="1">
      <c r="A879" s="1"/>
      <c r="B879" s="1"/>
      <c r="C879" s="1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5.75" customHeight="1">
      <c r="A880" s="1"/>
      <c r="B880" s="1"/>
      <c r="C880" s="1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5.75" customHeight="1">
      <c r="A881" s="1"/>
      <c r="B881" s="1"/>
      <c r="C881" s="1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5.75" customHeight="1">
      <c r="A882" s="1"/>
      <c r="B882" s="1"/>
      <c r="C882" s="1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5.75" customHeight="1">
      <c r="A883" s="1"/>
      <c r="B883" s="1"/>
      <c r="C883" s="1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5.75" customHeight="1">
      <c r="A884" s="1"/>
      <c r="B884" s="1"/>
      <c r="C884" s="1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5.75" customHeight="1">
      <c r="A885" s="1"/>
      <c r="B885" s="1"/>
      <c r="C885" s="1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5.75" customHeight="1">
      <c r="A886" s="1"/>
      <c r="B886" s="1"/>
      <c r="C886" s="1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5.75" customHeight="1">
      <c r="A887" s="1"/>
      <c r="B887" s="1"/>
      <c r="C887" s="1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5.75" customHeight="1">
      <c r="A888" s="1"/>
      <c r="B888" s="1"/>
      <c r="C888" s="1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5.75" customHeight="1">
      <c r="A889" s="1"/>
      <c r="B889" s="1"/>
      <c r="C889" s="1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5.75" customHeight="1">
      <c r="A890" s="1"/>
      <c r="B890" s="1"/>
      <c r="C890" s="1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5.75" customHeight="1">
      <c r="A891" s="1"/>
      <c r="B891" s="1"/>
      <c r="C891" s="1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5.75" customHeight="1">
      <c r="A892" s="1"/>
      <c r="B892" s="1"/>
      <c r="C892" s="1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5.75" customHeight="1">
      <c r="A893" s="1"/>
      <c r="B893" s="1"/>
      <c r="C893" s="1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5.75" customHeight="1">
      <c r="A894" s="1"/>
      <c r="B894" s="1"/>
      <c r="C894" s="1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5.75" customHeight="1">
      <c r="A895" s="1"/>
      <c r="B895" s="1"/>
      <c r="C895" s="1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5.75" customHeight="1">
      <c r="A896" s="1"/>
      <c r="B896" s="1"/>
      <c r="C896" s="1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5.75" customHeight="1">
      <c r="A897" s="1"/>
      <c r="B897" s="1"/>
      <c r="C897" s="1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5.75" customHeight="1">
      <c r="A898" s="1"/>
      <c r="B898" s="1"/>
      <c r="C898" s="1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5.75" customHeight="1">
      <c r="A899" s="1"/>
      <c r="B899" s="1"/>
      <c r="C899" s="1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5.75" customHeight="1">
      <c r="A900" s="1"/>
      <c r="B900" s="1"/>
      <c r="C900" s="1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5.75" customHeight="1">
      <c r="A901" s="1"/>
      <c r="B901" s="1"/>
      <c r="C901" s="1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5.75" customHeight="1">
      <c r="A902" s="1"/>
      <c r="B902" s="1"/>
      <c r="C902" s="1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5.75" customHeight="1">
      <c r="A903" s="1"/>
      <c r="B903" s="1"/>
      <c r="C903" s="1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5.75" customHeight="1">
      <c r="A904" s="1"/>
      <c r="B904" s="1"/>
      <c r="C904" s="1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5.75" customHeight="1">
      <c r="A905" s="1"/>
      <c r="B905" s="1"/>
      <c r="C905" s="1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5.75" customHeight="1">
      <c r="A906" s="1"/>
      <c r="B906" s="1"/>
      <c r="C906" s="1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5.75" customHeight="1">
      <c r="A907" s="1"/>
      <c r="B907" s="1"/>
      <c r="C907" s="1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5.75" customHeight="1">
      <c r="A908" s="1"/>
      <c r="B908" s="1"/>
      <c r="C908" s="1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5.75" customHeight="1">
      <c r="A909" s="1"/>
      <c r="B909" s="1"/>
      <c r="C909" s="1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5.75" customHeight="1">
      <c r="A910" s="1"/>
      <c r="B910" s="1"/>
      <c r="C910" s="1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5.75" customHeight="1">
      <c r="A911" s="1"/>
      <c r="B911" s="1"/>
      <c r="C911" s="1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5.75" customHeight="1">
      <c r="A912" s="1"/>
      <c r="B912" s="1"/>
      <c r="C912" s="1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5.75" customHeight="1">
      <c r="A913" s="1"/>
      <c r="B913" s="1"/>
      <c r="C913" s="1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5.75" customHeight="1">
      <c r="A914" s="1"/>
      <c r="B914" s="1"/>
      <c r="C914" s="1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5.75" customHeight="1">
      <c r="A915" s="1"/>
      <c r="B915" s="1"/>
      <c r="C915" s="1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5.75" customHeight="1">
      <c r="A916" s="1"/>
      <c r="B916" s="1"/>
      <c r="C916" s="1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5.75" customHeight="1">
      <c r="A917" s="1"/>
      <c r="B917" s="1"/>
      <c r="C917" s="1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5.75" customHeight="1">
      <c r="A918" s="1"/>
      <c r="B918" s="1"/>
      <c r="C918" s="1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5.75" customHeight="1">
      <c r="A919" s="1"/>
      <c r="B919" s="1"/>
      <c r="C919" s="1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5.75" customHeight="1">
      <c r="A920" s="1"/>
      <c r="B920" s="1"/>
      <c r="C920" s="1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5.75" customHeight="1">
      <c r="A921" s="1"/>
      <c r="B921" s="1"/>
      <c r="C921" s="1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5.75" customHeight="1">
      <c r="A922" s="1"/>
      <c r="B922" s="1"/>
      <c r="C922" s="1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5.75" customHeight="1">
      <c r="A923" s="1"/>
      <c r="B923" s="1"/>
      <c r="C923" s="1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5.75" customHeight="1">
      <c r="A924" s="1"/>
      <c r="B924" s="1"/>
      <c r="C924" s="1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5.75" customHeight="1">
      <c r="A925" s="1"/>
      <c r="B925" s="1"/>
      <c r="C925" s="1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5.75" customHeight="1">
      <c r="A926" s="1"/>
      <c r="B926" s="1"/>
      <c r="C926" s="1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5.75" customHeight="1">
      <c r="A927" s="1"/>
      <c r="B927" s="1"/>
      <c r="C927" s="1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5.75" customHeight="1">
      <c r="A928" s="1"/>
      <c r="B928" s="1"/>
      <c r="C928" s="1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5.75" customHeight="1">
      <c r="A929" s="1"/>
      <c r="B929" s="1"/>
      <c r="C929" s="1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5.75" customHeight="1">
      <c r="A930" s="1"/>
      <c r="B930" s="1"/>
      <c r="C930" s="1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5.75" customHeight="1">
      <c r="A931" s="1"/>
      <c r="B931" s="1"/>
      <c r="C931" s="1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5.75" customHeight="1">
      <c r="A932" s="1"/>
      <c r="B932" s="1"/>
      <c r="C932" s="1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5.75" customHeight="1">
      <c r="A933" s="1"/>
      <c r="B933" s="1"/>
      <c r="C933" s="1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5.75" customHeight="1">
      <c r="A934" s="1"/>
      <c r="B934" s="1"/>
      <c r="C934" s="1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5.75" customHeight="1">
      <c r="A935" s="1"/>
      <c r="B935" s="1"/>
      <c r="C935" s="1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5.75" customHeight="1">
      <c r="A936" s="1"/>
      <c r="B936" s="1"/>
      <c r="C936" s="1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5.75" customHeight="1">
      <c r="A937" s="1"/>
      <c r="B937" s="1"/>
      <c r="C937" s="1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5.75" customHeight="1">
      <c r="A938" s="1"/>
      <c r="B938" s="1"/>
      <c r="C938" s="1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5.75" customHeight="1">
      <c r="A939" s="1"/>
      <c r="B939" s="1"/>
      <c r="C939" s="1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5.75" customHeight="1">
      <c r="A940" s="1"/>
      <c r="B940" s="1"/>
      <c r="C940" s="1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5.75" customHeight="1">
      <c r="A941" s="1"/>
      <c r="B941" s="1"/>
      <c r="C941" s="1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5.75" customHeight="1">
      <c r="A942" s="1"/>
      <c r="B942" s="1"/>
      <c r="C942" s="1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5.75" customHeight="1">
      <c r="A943" s="1"/>
      <c r="B943" s="1"/>
      <c r="C943" s="1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5.75" customHeight="1">
      <c r="A944" s="1"/>
      <c r="B944" s="1"/>
      <c r="C944" s="1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5.75" customHeight="1">
      <c r="A945" s="1"/>
      <c r="B945" s="1"/>
      <c r="C945" s="1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5.75" customHeight="1">
      <c r="A946" s="1"/>
      <c r="B946" s="1"/>
      <c r="C946" s="1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5.75" customHeight="1">
      <c r="A947" s="1"/>
      <c r="B947" s="1"/>
      <c r="C947" s="1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5.75" customHeight="1">
      <c r="A948" s="1"/>
      <c r="B948" s="1"/>
      <c r="C948" s="1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5.75" customHeight="1">
      <c r="A949" s="1"/>
      <c r="B949" s="1"/>
      <c r="C949" s="1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5.75" customHeight="1">
      <c r="A950" s="1"/>
      <c r="B950" s="1"/>
      <c r="C950" s="1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5.75" customHeight="1">
      <c r="A951" s="1"/>
      <c r="B951" s="1"/>
      <c r="C951" s="1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5.75" customHeight="1">
      <c r="A952" s="1"/>
      <c r="B952" s="1"/>
      <c r="C952" s="1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5.75" customHeight="1">
      <c r="A953" s="1"/>
      <c r="B953" s="1"/>
      <c r="C953" s="1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5.75" customHeight="1">
      <c r="A954" s="1"/>
      <c r="B954" s="1"/>
      <c r="C954" s="1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5.75" customHeight="1">
      <c r="A955" s="1"/>
      <c r="B955" s="1"/>
      <c r="C955" s="1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5.75" customHeight="1">
      <c r="A956" s="1"/>
      <c r="B956" s="1"/>
      <c r="C956" s="1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5.75" customHeight="1">
      <c r="A957" s="1"/>
      <c r="B957" s="1"/>
      <c r="C957" s="1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5.75" customHeight="1">
      <c r="A958" s="1"/>
      <c r="B958" s="1"/>
      <c r="C958" s="1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5.75" customHeight="1">
      <c r="A959" s="1"/>
      <c r="B959" s="1"/>
      <c r="C959" s="1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5.75" customHeight="1">
      <c r="A960" s="1"/>
      <c r="B960" s="1"/>
      <c r="C960" s="1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5.75" customHeight="1">
      <c r="A961" s="1"/>
      <c r="B961" s="1"/>
      <c r="C961" s="1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5.75" customHeight="1">
      <c r="A962" s="1"/>
      <c r="B962" s="1"/>
      <c r="C962" s="1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5.75" customHeight="1">
      <c r="A963" s="1"/>
      <c r="B963" s="1"/>
      <c r="C963" s="1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5.75" customHeight="1">
      <c r="A964" s="1"/>
      <c r="B964" s="1"/>
      <c r="C964" s="1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5.75" customHeight="1">
      <c r="A965" s="1"/>
      <c r="B965" s="1"/>
      <c r="C965" s="1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5.75" customHeight="1">
      <c r="A966" s="1"/>
      <c r="B966" s="1"/>
      <c r="C966" s="1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5.75" customHeight="1">
      <c r="A967" s="1"/>
      <c r="B967" s="1"/>
      <c r="C967" s="1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5.75" customHeight="1">
      <c r="A968" s="1"/>
      <c r="B968" s="1"/>
      <c r="C968" s="1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5.75" customHeight="1">
      <c r="A969" s="1"/>
      <c r="B969" s="1"/>
      <c r="C969" s="1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5.75" customHeight="1">
      <c r="A970" s="1"/>
      <c r="B970" s="1"/>
      <c r="C970" s="1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5.75" customHeight="1">
      <c r="A971" s="1"/>
      <c r="B971" s="1"/>
      <c r="C971" s="1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5.75" customHeight="1">
      <c r="A972" s="1"/>
      <c r="B972" s="1"/>
      <c r="C972" s="1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5.75" customHeight="1">
      <c r="A973" s="1"/>
      <c r="B973" s="1"/>
      <c r="C973" s="1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5.75" customHeight="1">
      <c r="A974" s="1"/>
      <c r="B974" s="1"/>
      <c r="C974" s="1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5.75" customHeight="1">
      <c r="A975" s="1"/>
      <c r="B975" s="1"/>
      <c r="C975" s="1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5.75" customHeight="1">
      <c r="A976" s="1"/>
      <c r="B976" s="1"/>
      <c r="C976" s="1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5.75" customHeight="1">
      <c r="A977" s="1"/>
      <c r="B977" s="1"/>
      <c r="C977" s="1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5.75" customHeight="1">
      <c r="A978" s="1"/>
      <c r="B978" s="1"/>
      <c r="C978" s="1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5.75" customHeight="1">
      <c r="A979" s="1"/>
      <c r="B979" s="1"/>
      <c r="C979" s="1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5.75" customHeight="1">
      <c r="A980" s="1"/>
      <c r="B980" s="1"/>
      <c r="C980" s="1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5.75" customHeight="1">
      <c r="A981" s="1"/>
      <c r="B981" s="1"/>
      <c r="C981" s="1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5.75" customHeight="1">
      <c r="A982" s="1"/>
      <c r="B982" s="1"/>
      <c r="C982" s="1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5.75" customHeight="1">
      <c r="A983" s="1"/>
      <c r="B983" s="1"/>
      <c r="C983" s="1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5.75" customHeight="1">
      <c r="A984" s="1"/>
      <c r="B984" s="1"/>
      <c r="C984" s="1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5.75" customHeight="1">
      <c r="A985" s="1"/>
      <c r="B985" s="1"/>
      <c r="C985" s="1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5.75" customHeight="1">
      <c r="A986" s="1"/>
      <c r="B986" s="1"/>
      <c r="C986" s="1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5.75" customHeight="1">
      <c r="A987" s="1"/>
      <c r="B987" s="1"/>
      <c r="C987" s="1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5.75" customHeight="1">
      <c r="A988" s="1"/>
      <c r="B988" s="1"/>
      <c r="C988" s="1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5.75" customHeight="1">
      <c r="A989" s="1"/>
      <c r="B989" s="1"/>
      <c r="C989" s="1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5.75" customHeight="1">
      <c r="A990" s="1"/>
      <c r="B990" s="1"/>
      <c r="C990" s="1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5.75" customHeight="1">
      <c r="A991" s="1"/>
      <c r="B991" s="1"/>
      <c r="C991" s="1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5.75" customHeight="1">
      <c r="A992" s="1"/>
      <c r="B992" s="1"/>
      <c r="C992" s="1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5.75" customHeight="1">
      <c r="A993" s="1"/>
      <c r="B993" s="1"/>
      <c r="C993" s="1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5.75" customHeight="1">
      <c r="A994" s="1"/>
      <c r="B994" s="1"/>
      <c r="C994" s="1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5.75" customHeight="1">
      <c r="A995" s="1"/>
      <c r="B995" s="1"/>
      <c r="C995" s="1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5.75" customHeight="1">
      <c r="A996" s="1"/>
      <c r="B996" s="1"/>
      <c r="C996" s="1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5.75" customHeight="1">
      <c r="A997" s="1"/>
      <c r="B997" s="1"/>
      <c r="C997" s="1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5.75" customHeight="1">
      <c r="A998" s="1"/>
      <c r="B998" s="1"/>
      <c r="C998" s="1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5.75" customHeight="1">
      <c r="A999" s="1"/>
      <c r="B999" s="1"/>
      <c r="C999" s="1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5.75" customHeight="1">
      <c r="A1000" s="1"/>
      <c r="B1000" s="1"/>
      <c r="C1000" s="1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6">
    <mergeCell ref="E18:I18"/>
    <mergeCell ref="J18:S18"/>
    <mergeCell ref="E164:I164"/>
    <mergeCell ref="J164:S164"/>
    <mergeCell ref="E198:I198"/>
    <mergeCell ref="J198:S198"/>
  </mergeCells>
  <dataValidations>
    <dataValidation type="decimal" allowBlank="1" showErrorMessage="1" sqref="I30:I32">
      <formula1>-1.0</formula1>
      <formula2>1.0</formula2>
    </dataValidation>
    <dataValidation type="list" allowBlank="1" showErrorMessage="1" sqref="D14">
      <formula1>$C$35:$C$37</formula1>
    </dataValidation>
  </dataValidations>
  <printOptions/>
  <pageMargins bottom="0.75" footer="0.0" header="0.0" left="0.7" right="0.7" top="0.75"/>
  <pageSetup orientation="portrait"/>
  <rowBreaks count="1" manualBreakCount="1">
    <brk id="19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86"/>
    <col customWidth="1" min="3" max="3" width="23.29"/>
    <col customWidth="1" min="4" max="4" width="33.14"/>
    <col customWidth="1" min="5" max="5" width="30.29"/>
    <col customWidth="1" min="6" max="6" width="29.14"/>
  </cols>
  <sheetData>
    <row r="1">
      <c r="A1" s="118" t="s">
        <v>148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</row>
    <row r="2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</row>
    <row r="3">
      <c r="A3" s="120" t="s">
        <v>149</v>
      </c>
      <c r="B3" s="120" t="s">
        <v>150</v>
      </c>
      <c r="C3" s="120" t="s">
        <v>151</v>
      </c>
      <c r="D3" s="120" t="s">
        <v>152</v>
      </c>
      <c r="E3" s="120" t="s">
        <v>153</v>
      </c>
      <c r="F3" s="121" t="s">
        <v>154</v>
      </c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>
      <c r="A4" s="122" t="s">
        <v>155</v>
      </c>
      <c r="B4" s="122" t="s">
        <v>156</v>
      </c>
      <c r="C4" s="123" t="s">
        <v>157</v>
      </c>
      <c r="D4" s="123" t="s">
        <v>158</v>
      </c>
      <c r="E4" s="124" t="s">
        <v>159</v>
      </c>
      <c r="F4" s="125">
        <v>89190.0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</row>
    <row r="5">
      <c r="A5" s="122" t="s">
        <v>160</v>
      </c>
      <c r="B5" s="122" t="s">
        <v>161</v>
      </c>
      <c r="C5" s="123" t="s">
        <v>157</v>
      </c>
      <c r="D5" s="123" t="s">
        <v>158</v>
      </c>
      <c r="E5" s="124" t="s">
        <v>159</v>
      </c>
      <c r="F5" s="125">
        <v>55520.0</v>
      </c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</row>
    <row r="6">
      <c r="A6" s="122" t="s">
        <v>162</v>
      </c>
      <c r="B6" s="122" t="s">
        <v>163</v>
      </c>
      <c r="C6" s="123" t="s">
        <v>164</v>
      </c>
      <c r="D6" s="123" t="s">
        <v>158</v>
      </c>
      <c r="E6" s="124" t="s">
        <v>159</v>
      </c>
      <c r="F6" s="125">
        <v>53729.0</v>
      </c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</row>
    <row r="7">
      <c r="A7" s="122" t="s">
        <v>165</v>
      </c>
      <c r="B7" s="119" t="s">
        <v>166</v>
      </c>
      <c r="C7" s="123" t="s">
        <v>157</v>
      </c>
      <c r="D7" s="123" t="s">
        <v>158</v>
      </c>
      <c r="E7" s="124" t="s">
        <v>159</v>
      </c>
      <c r="F7" s="125">
        <v>50382.0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</row>
    <row r="8">
      <c r="A8" s="122" t="s">
        <v>167</v>
      </c>
      <c r="B8" s="119" t="s">
        <v>168</v>
      </c>
      <c r="C8" s="123" t="s">
        <v>157</v>
      </c>
      <c r="D8" s="123" t="s">
        <v>158</v>
      </c>
      <c r="E8" s="124" t="s">
        <v>159</v>
      </c>
      <c r="F8" s="125">
        <v>44384.0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</row>
    <row r="9">
      <c r="A9" s="122" t="s">
        <v>169</v>
      </c>
      <c r="B9" s="119" t="s">
        <v>170</v>
      </c>
      <c r="C9" s="123" t="s">
        <v>157</v>
      </c>
      <c r="D9" s="123" t="s">
        <v>158</v>
      </c>
      <c r="E9" s="124" t="s">
        <v>159</v>
      </c>
      <c r="F9" s="125">
        <v>26726.3</v>
      </c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</row>
    <row r="10">
      <c r="A10" s="122" t="s">
        <v>171</v>
      </c>
      <c r="B10" s="119" t="s">
        <v>172</v>
      </c>
      <c r="C10" s="123" t="s">
        <v>164</v>
      </c>
      <c r="D10" s="123" t="s">
        <v>158</v>
      </c>
      <c r="E10" s="124" t="s">
        <v>159</v>
      </c>
      <c r="F10" s="125">
        <v>26638.0</v>
      </c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</row>
    <row r="11">
      <c r="A11" s="122" t="s">
        <v>173</v>
      </c>
      <c r="B11" s="119" t="s">
        <v>174</v>
      </c>
      <c r="C11" s="123" t="s">
        <v>164</v>
      </c>
      <c r="D11" s="123" t="s">
        <v>158</v>
      </c>
      <c r="E11" s="124" t="s">
        <v>159</v>
      </c>
      <c r="F11" s="125">
        <v>25484.0</v>
      </c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>
      <c r="A12" s="122" t="s">
        <v>175</v>
      </c>
      <c r="B12" s="119" t="s">
        <v>176</v>
      </c>
      <c r="C12" s="123" t="s">
        <v>157</v>
      </c>
      <c r="D12" s="123" t="s">
        <v>158</v>
      </c>
      <c r="E12" s="124" t="s">
        <v>159</v>
      </c>
      <c r="F12" s="125">
        <v>15603.7</v>
      </c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>
      <c r="A13" s="122" t="s">
        <v>177</v>
      </c>
      <c r="B13" s="119" t="s">
        <v>178</v>
      </c>
      <c r="C13" s="123" t="s">
        <v>164</v>
      </c>
      <c r="D13" s="123" t="s">
        <v>158</v>
      </c>
      <c r="E13" s="124" t="s">
        <v>159</v>
      </c>
      <c r="F13" s="125">
        <v>12197.4</v>
      </c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</row>
    <row r="14">
      <c r="A14" s="122" t="s">
        <v>179</v>
      </c>
      <c r="B14" s="119" t="s">
        <v>180</v>
      </c>
      <c r="C14" s="123" t="s">
        <v>164</v>
      </c>
      <c r="D14" s="123" t="s">
        <v>158</v>
      </c>
      <c r="E14" s="124" t="s">
        <v>159</v>
      </c>
      <c r="F14" s="125">
        <v>11697.7</v>
      </c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</row>
    <row r="15">
      <c r="A15" s="122" t="s">
        <v>181</v>
      </c>
      <c r="B15" s="119" t="s">
        <v>182</v>
      </c>
      <c r="C15" s="123" t="s">
        <v>157</v>
      </c>
      <c r="D15" s="123" t="s">
        <v>158</v>
      </c>
      <c r="E15" s="124" t="s">
        <v>159</v>
      </c>
      <c r="F15" s="125">
        <v>7891.0</v>
      </c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</row>
    <row r="16">
      <c r="A16" s="122" t="s">
        <v>183</v>
      </c>
      <c r="B16" s="119" t="s">
        <v>184</v>
      </c>
      <c r="C16" s="123" t="s">
        <v>157</v>
      </c>
      <c r="D16" s="123" t="s">
        <v>158</v>
      </c>
      <c r="E16" s="124" t="s">
        <v>159</v>
      </c>
      <c r="F16" s="125">
        <v>7412.0</v>
      </c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</row>
    <row r="17">
      <c r="A17" s="122" t="s">
        <v>185</v>
      </c>
      <c r="B17" s="119" t="s">
        <v>186</v>
      </c>
      <c r="C17" s="123" t="s">
        <v>164</v>
      </c>
      <c r="D17" s="123" t="s">
        <v>158</v>
      </c>
      <c r="E17" s="124" t="s">
        <v>159</v>
      </c>
      <c r="F17" s="125">
        <v>7019.4</v>
      </c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</row>
    <row r="18">
      <c r="A18" s="122" t="s">
        <v>187</v>
      </c>
      <c r="B18" s="119" t="s">
        <v>188</v>
      </c>
      <c r="C18" s="123" t="s">
        <v>164</v>
      </c>
      <c r="D18" s="123" t="s">
        <v>158</v>
      </c>
      <c r="E18" s="124" t="s">
        <v>159</v>
      </c>
      <c r="F18" s="125">
        <v>6683.8</v>
      </c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</row>
    <row r="19">
      <c r="A19" s="122" t="s">
        <v>189</v>
      </c>
      <c r="B19" s="119" t="s">
        <v>190</v>
      </c>
      <c r="C19" s="123" t="s">
        <v>157</v>
      </c>
      <c r="D19" s="123" t="s">
        <v>158</v>
      </c>
      <c r="E19" s="124" t="s">
        <v>159</v>
      </c>
      <c r="F19" s="125">
        <v>4550.3</v>
      </c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</row>
    <row r="20">
      <c r="A20" s="122" t="s">
        <v>191</v>
      </c>
      <c r="B20" s="119" t="s">
        <v>192</v>
      </c>
      <c r="C20" s="123" t="s">
        <v>157</v>
      </c>
      <c r="D20" s="123" t="s">
        <v>158</v>
      </c>
      <c r="E20" s="124" t="s">
        <v>159</v>
      </c>
      <c r="F20" s="125">
        <v>3998.0</v>
      </c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</row>
    <row r="21">
      <c r="A21" s="122" t="s">
        <v>193</v>
      </c>
      <c r="B21" s="119" t="s">
        <v>194</v>
      </c>
      <c r="C21" s="123" t="s">
        <v>164</v>
      </c>
      <c r="D21" s="123" t="s">
        <v>158</v>
      </c>
      <c r="E21" s="124" t="s">
        <v>159</v>
      </c>
      <c r="F21" s="125">
        <v>2720.6</v>
      </c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</row>
    <row r="22">
      <c r="A22" s="122" t="s">
        <v>195</v>
      </c>
      <c r="B22" s="119" t="s">
        <v>196</v>
      </c>
      <c r="C22" s="123" t="s">
        <v>164</v>
      </c>
      <c r="D22" s="123" t="s">
        <v>158</v>
      </c>
      <c r="E22" s="124" t="s">
        <v>159</v>
      </c>
      <c r="F22" s="125">
        <v>2383.5</v>
      </c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</row>
    <row r="23">
      <c r="A23" s="122" t="s">
        <v>197</v>
      </c>
      <c r="B23" s="119" t="s">
        <v>198</v>
      </c>
      <c r="C23" s="123" t="s">
        <v>157</v>
      </c>
      <c r="D23" s="123" t="s">
        <v>158</v>
      </c>
      <c r="E23" s="124" t="s">
        <v>159</v>
      </c>
      <c r="F23" s="125">
        <v>2238.5</v>
      </c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</row>
    <row r="24">
      <c r="A24" s="122" t="s">
        <v>199</v>
      </c>
      <c r="B24" s="119" t="s">
        <v>200</v>
      </c>
      <c r="C24" s="123" t="s">
        <v>157</v>
      </c>
      <c r="D24" s="123" t="s">
        <v>158</v>
      </c>
      <c r="E24" s="124" t="s">
        <v>159</v>
      </c>
      <c r="F24" s="125">
        <v>2057.5</v>
      </c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>
      <c r="A25" s="122" t="s">
        <v>201</v>
      </c>
      <c r="B25" s="119" t="s">
        <v>202</v>
      </c>
      <c r="C25" s="123" t="s">
        <v>164</v>
      </c>
      <c r="D25" s="123" t="s">
        <v>158</v>
      </c>
      <c r="E25" s="124" t="s">
        <v>159</v>
      </c>
      <c r="F25" s="125">
        <v>1916.6</v>
      </c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</row>
    <row r="26">
      <c r="A26" s="122" t="s">
        <v>203</v>
      </c>
      <c r="B26" s="119" t="s">
        <v>204</v>
      </c>
      <c r="C26" s="123" t="s">
        <v>164</v>
      </c>
      <c r="D26" s="123" t="s">
        <v>158</v>
      </c>
      <c r="E26" s="124" t="s">
        <v>159</v>
      </c>
      <c r="F26" s="125">
        <v>1910.3</v>
      </c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>
      <c r="A27" s="122" t="s">
        <v>205</v>
      </c>
      <c r="B27" s="119" t="s">
        <v>206</v>
      </c>
      <c r="C27" s="123" t="s">
        <v>164</v>
      </c>
      <c r="D27" s="123" t="s">
        <v>158</v>
      </c>
      <c r="E27" s="124" t="s">
        <v>159</v>
      </c>
      <c r="F27" s="125">
        <v>1711.6</v>
      </c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</row>
    <row r="28">
      <c r="A28" s="122" t="s">
        <v>207</v>
      </c>
      <c r="B28" s="119" t="s">
        <v>208</v>
      </c>
      <c r="C28" s="123" t="s">
        <v>164</v>
      </c>
      <c r="D28" s="123" t="s">
        <v>158</v>
      </c>
      <c r="E28" s="124" t="s">
        <v>159</v>
      </c>
      <c r="F28" s="125">
        <v>1708.7</v>
      </c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</row>
    <row r="29">
      <c r="A29" s="122" t="s">
        <v>209</v>
      </c>
      <c r="B29" s="119" t="s">
        <v>210</v>
      </c>
      <c r="C29" s="123" t="s">
        <v>164</v>
      </c>
      <c r="D29" s="123" t="s">
        <v>158</v>
      </c>
      <c r="E29" s="124" t="s">
        <v>159</v>
      </c>
      <c r="F29" s="125">
        <v>1590.6</v>
      </c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</row>
    <row r="30">
      <c r="A30" s="122" t="s">
        <v>211</v>
      </c>
      <c r="B30" s="119" t="s">
        <v>212</v>
      </c>
      <c r="C30" s="123" t="s">
        <v>164</v>
      </c>
      <c r="D30" s="123" t="s">
        <v>158</v>
      </c>
      <c r="E30" s="124" t="s">
        <v>159</v>
      </c>
      <c r="F30" s="125">
        <v>1156.6</v>
      </c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</row>
    <row r="31">
      <c r="A31" s="122" t="s">
        <v>213</v>
      </c>
      <c r="B31" s="119" t="s">
        <v>214</v>
      </c>
      <c r="C31" s="123" t="s">
        <v>164</v>
      </c>
      <c r="D31" s="123" t="s">
        <v>158</v>
      </c>
      <c r="E31" s="124" t="s">
        <v>159</v>
      </c>
      <c r="F31" s="125">
        <v>1114.1</v>
      </c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</row>
    <row r="32">
      <c r="A32" s="122" t="s">
        <v>215</v>
      </c>
      <c r="B32" s="119" t="s">
        <v>216</v>
      </c>
      <c r="C32" s="123" t="s">
        <v>164</v>
      </c>
      <c r="D32" s="123" t="s">
        <v>158</v>
      </c>
      <c r="E32" s="124" t="s">
        <v>159</v>
      </c>
      <c r="F32" s="125">
        <v>1031.9</v>
      </c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</row>
    <row r="33">
      <c r="A33" s="122" t="s">
        <v>217</v>
      </c>
      <c r="B33" s="119" t="s">
        <v>218</v>
      </c>
      <c r="C33" s="123" t="s">
        <v>157</v>
      </c>
      <c r="D33" s="123" t="s">
        <v>158</v>
      </c>
      <c r="E33" s="124" t="s">
        <v>159</v>
      </c>
      <c r="F33" s="125">
        <v>985.2</v>
      </c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</row>
    <row r="34">
      <c r="A34" s="122" t="s">
        <v>219</v>
      </c>
      <c r="B34" s="119" t="s">
        <v>220</v>
      </c>
      <c r="C34" s="123" t="s">
        <v>157</v>
      </c>
      <c r="D34" s="123" t="s">
        <v>158</v>
      </c>
      <c r="E34" s="124" t="s">
        <v>159</v>
      </c>
      <c r="F34" s="125">
        <v>983.2</v>
      </c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</row>
    <row r="35">
      <c r="A35" s="122" t="s">
        <v>221</v>
      </c>
      <c r="B35" s="119" t="s">
        <v>222</v>
      </c>
      <c r="C35" s="123" t="s">
        <v>157</v>
      </c>
      <c r="D35" s="123" t="s">
        <v>158</v>
      </c>
      <c r="E35" s="124" t="s">
        <v>159</v>
      </c>
      <c r="F35" s="125">
        <v>833.4</v>
      </c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</row>
    <row r="36">
      <c r="A36" s="122" t="s">
        <v>223</v>
      </c>
      <c r="B36" s="119" t="s">
        <v>224</v>
      </c>
      <c r="C36" s="123" t="s">
        <v>164</v>
      </c>
      <c r="D36" s="123" t="s">
        <v>158</v>
      </c>
      <c r="E36" s="124" t="s">
        <v>159</v>
      </c>
      <c r="F36" s="125">
        <v>828.1</v>
      </c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</row>
    <row r="37">
      <c r="A37" s="122" t="s">
        <v>225</v>
      </c>
      <c r="B37" s="119" t="s">
        <v>226</v>
      </c>
      <c r="C37" s="123" t="s">
        <v>157</v>
      </c>
      <c r="D37" s="123" t="s">
        <v>158</v>
      </c>
      <c r="E37" s="124" t="s">
        <v>159</v>
      </c>
      <c r="F37" s="125">
        <v>750.6</v>
      </c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</row>
    <row r="38">
      <c r="A38" s="122" t="s">
        <v>227</v>
      </c>
      <c r="B38" s="119" t="s">
        <v>228</v>
      </c>
      <c r="C38" s="123" t="s">
        <v>157</v>
      </c>
      <c r="D38" s="123" t="s">
        <v>158</v>
      </c>
      <c r="E38" s="124" t="s">
        <v>159</v>
      </c>
      <c r="F38" s="125">
        <v>725.0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</row>
    <row r="39">
      <c r="A39" s="122" t="s">
        <v>229</v>
      </c>
      <c r="B39" s="119" t="s">
        <v>230</v>
      </c>
      <c r="C39" s="123" t="s">
        <v>157</v>
      </c>
      <c r="D39" s="123" t="s">
        <v>158</v>
      </c>
      <c r="E39" s="124" t="s">
        <v>159</v>
      </c>
      <c r="F39" s="125">
        <v>713.7</v>
      </c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</row>
    <row r="40">
      <c r="A40" s="122" t="s">
        <v>231</v>
      </c>
      <c r="B40" s="119" t="s">
        <v>232</v>
      </c>
      <c r="C40" s="123" t="s">
        <v>164</v>
      </c>
      <c r="D40" s="123" t="s">
        <v>158</v>
      </c>
      <c r="E40" s="124" t="s">
        <v>159</v>
      </c>
      <c r="F40" s="125">
        <v>704.9</v>
      </c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</row>
    <row r="41">
      <c r="A41" s="122" t="s">
        <v>233</v>
      </c>
      <c r="B41" s="119" t="s">
        <v>234</v>
      </c>
      <c r="C41" s="123" t="s">
        <v>164</v>
      </c>
      <c r="D41" s="123" t="s">
        <v>158</v>
      </c>
      <c r="E41" s="124" t="s">
        <v>159</v>
      </c>
      <c r="F41" s="125">
        <v>687.7</v>
      </c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</row>
    <row r="42">
      <c r="A42" s="122" t="s">
        <v>235</v>
      </c>
      <c r="B42" s="119" t="s">
        <v>236</v>
      </c>
      <c r="C42" s="123" t="s">
        <v>164</v>
      </c>
      <c r="D42" s="123" t="s">
        <v>158</v>
      </c>
      <c r="E42" s="124" t="s">
        <v>159</v>
      </c>
      <c r="F42" s="125">
        <v>687.5</v>
      </c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</row>
    <row r="43">
      <c r="A43" s="122" t="s">
        <v>237</v>
      </c>
      <c r="B43" s="119" t="s">
        <v>238</v>
      </c>
      <c r="C43" s="123" t="s">
        <v>157</v>
      </c>
      <c r="D43" s="123" t="s">
        <v>158</v>
      </c>
      <c r="E43" s="124" t="s">
        <v>159</v>
      </c>
      <c r="F43" s="125">
        <v>686.7</v>
      </c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</row>
    <row r="44">
      <c r="A44" s="122" t="s">
        <v>239</v>
      </c>
      <c r="B44" s="119" t="s">
        <v>240</v>
      </c>
      <c r="C44" s="123" t="s">
        <v>164</v>
      </c>
      <c r="D44" s="123" t="s">
        <v>158</v>
      </c>
      <c r="E44" s="124" t="s">
        <v>159</v>
      </c>
      <c r="F44" s="125">
        <v>600.1</v>
      </c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</row>
    <row r="45">
      <c r="A45" s="122" t="s">
        <v>241</v>
      </c>
      <c r="B45" s="119" t="s">
        <v>242</v>
      </c>
      <c r="C45" s="123" t="s">
        <v>157</v>
      </c>
      <c r="D45" s="123" t="s">
        <v>158</v>
      </c>
      <c r="E45" s="124" t="s">
        <v>159</v>
      </c>
      <c r="F45" s="125">
        <v>571.0</v>
      </c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</row>
    <row r="46">
      <c r="A46" s="122" t="s">
        <v>243</v>
      </c>
      <c r="B46" s="119" t="s">
        <v>244</v>
      </c>
      <c r="C46" s="123" t="s">
        <v>157</v>
      </c>
      <c r="D46" s="123" t="s">
        <v>158</v>
      </c>
      <c r="E46" s="124" t="s">
        <v>159</v>
      </c>
      <c r="F46" s="125">
        <v>513.1</v>
      </c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</row>
    <row r="47">
      <c r="A47" s="122" t="s">
        <v>245</v>
      </c>
      <c r="B47" s="119" t="s">
        <v>246</v>
      </c>
      <c r="C47" s="123" t="s">
        <v>164</v>
      </c>
      <c r="D47" s="123" t="s">
        <v>158</v>
      </c>
      <c r="E47" s="124" t="s">
        <v>159</v>
      </c>
      <c r="F47" s="125">
        <v>504.9</v>
      </c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</row>
    <row r="48">
      <c r="A48" s="122" t="s">
        <v>247</v>
      </c>
      <c r="B48" s="119" t="s">
        <v>248</v>
      </c>
      <c r="C48" s="123" t="s">
        <v>157</v>
      </c>
      <c r="D48" s="123" t="s">
        <v>158</v>
      </c>
      <c r="E48" s="124" t="s">
        <v>159</v>
      </c>
      <c r="F48" s="125">
        <v>503.1</v>
      </c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</row>
    <row r="49">
      <c r="A49" s="119"/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</row>
    <row r="50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</row>
    <row r="51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</row>
    <row r="52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</row>
    <row r="53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</row>
    <row r="54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</row>
    <row r="55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</row>
    <row r="56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</row>
    <row r="57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</row>
    <row r="58">
      <c r="A58" s="119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</row>
    <row r="59">
      <c r="A59" s="119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</row>
    <row r="60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</row>
    <row r="61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</row>
    <row r="62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</row>
    <row r="63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</row>
    <row r="64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</row>
    <row r="65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</row>
    <row r="66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</row>
    <row r="67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</row>
    <row r="68">
      <c r="A68" s="119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</row>
    <row r="69">
      <c r="A69" s="119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</row>
    <row r="70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</row>
    <row r="71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</row>
    <row r="72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</row>
    <row r="73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</row>
    <row r="74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</row>
    <row r="75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</row>
    <row r="76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</row>
    <row r="77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</row>
    <row r="78">
      <c r="A78" s="119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</row>
    <row r="79">
      <c r="A79" s="119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</row>
    <row r="80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</row>
    <row r="81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</row>
    <row r="82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</row>
    <row r="83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</row>
    <row r="84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</row>
    <row r="85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</row>
    <row r="86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</row>
    <row r="87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</row>
    <row r="88">
      <c r="A88" s="119"/>
      <c r="B88" s="119"/>
      <c r="C88" s="119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</row>
    <row r="89">
      <c r="A89" s="119"/>
      <c r="B89" s="119"/>
      <c r="C89" s="119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</row>
    <row r="90">
      <c r="A90" s="119"/>
      <c r="B90" s="119"/>
      <c r="C90" s="119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</row>
    <row r="91">
      <c r="A91" s="119"/>
      <c r="B91" s="119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</row>
    <row r="92">
      <c r="A92" s="119"/>
      <c r="B92" s="119"/>
      <c r="C92" s="119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</row>
    <row r="93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</row>
    <row r="94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</row>
    <row r="95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19"/>
      <c r="T95" s="119"/>
      <c r="U95" s="119"/>
      <c r="V95" s="119"/>
      <c r="W95" s="119"/>
      <c r="X95" s="119"/>
      <c r="Y95" s="119"/>
      <c r="Z95" s="119"/>
    </row>
    <row r="96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</row>
    <row r="97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119"/>
      <c r="T97" s="119"/>
      <c r="U97" s="119"/>
      <c r="V97" s="119"/>
      <c r="W97" s="119"/>
      <c r="X97" s="119"/>
      <c r="Y97" s="119"/>
      <c r="Z97" s="119"/>
    </row>
    <row r="98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119"/>
      <c r="T98" s="119"/>
      <c r="U98" s="119"/>
      <c r="V98" s="119"/>
      <c r="W98" s="119"/>
      <c r="X98" s="119"/>
      <c r="Y98" s="119"/>
      <c r="Z98" s="119"/>
    </row>
    <row r="99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  <c r="Z99" s="119"/>
    </row>
    <row r="100">
      <c r="A100" s="119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</row>
    <row r="101">
      <c r="A101" s="119"/>
      <c r="B101" s="119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</row>
    <row r="102">
      <c r="A102" s="119"/>
      <c r="B102" s="119"/>
      <c r="C102" s="119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119"/>
      <c r="T102" s="119"/>
      <c r="U102" s="119"/>
      <c r="V102" s="119"/>
      <c r="W102" s="119"/>
      <c r="X102" s="119"/>
      <c r="Y102" s="119"/>
      <c r="Z102" s="119"/>
    </row>
    <row r="103">
      <c r="A103" s="119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19"/>
      <c r="U103" s="119"/>
      <c r="V103" s="119"/>
      <c r="W103" s="119"/>
      <c r="X103" s="119"/>
      <c r="Y103" s="119"/>
      <c r="Z103" s="119"/>
    </row>
    <row r="104">
      <c r="A104" s="119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119"/>
      <c r="Q104" s="119"/>
      <c r="R104" s="119"/>
      <c r="S104" s="119"/>
      <c r="T104" s="119"/>
      <c r="U104" s="119"/>
      <c r="V104" s="119"/>
      <c r="W104" s="119"/>
      <c r="X104" s="119"/>
      <c r="Y104" s="119"/>
      <c r="Z104" s="119"/>
    </row>
    <row r="105">
      <c r="A105" s="119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</row>
    <row r="106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</row>
    <row r="107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</row>
    <row r="108">
      <c r="A108" s="119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119"/>
      <c r="T108" s="119"/>
      <c r="U108" s="119"/>
      <c r="V108" s="119"/>
      <c r="W108" s="119"/>
      <c r="X108" s="119"/>
      <c r="Y108" s="119"/>
      <c r="Z108" s="119"/>
    </row>
    <row r="109">
      <c r="A109" s="119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119"/>
      <c r="T109" s="119"/>
      <c r="U109" s="119"/>
      <c r="V109" s="119"/>
      <c r="W109" s="119"/>
      <c r="X109" s="119"/>
      <c r="Y109" s="119"/>
      <c r="Z109" s="119"/>
    </row>
    <row r="110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</row>
    <row r="111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  <c r="Z111" s="119"/>
    </row>
    <row r="112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119"/>
      <c r="T112" s="119"/>
      <c r="U112" s="119"/>
      <c r="V112" s="119"/>
      <c r="W112" s="119"/>
      <c r="X112" s="119"/>
      <c r="Y112" s="119"/>
      <c r="Z112" s="119"/>
    </row>
    <row r="113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119"/>
      <c r="T113" s="119"/>
      <c r="U113" s="119"/>
      <c r="V113" s="119"/>
      <c r="W113" s="119"/>
      <c r="X113" s="119"/>
      <c r="Y113" s="119"/>
      <c r="Z113" s="119"/>
    </row>
    <row r="114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19"/>
      <c r="V114" s="119"/>
      <c r="W114" s="119"/>
      <c r="X114" s="119"/>
      <c r="Y114" s="119"/>
      <c r="Z114" s="119"/>
    </row>
    <row r="115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6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</row>
    <row r="117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</row>
    <row r="118">
      <c r="A118" s="119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</row>
    <row r="119">
      <c r="A119" s="119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</row>
    <row r="120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</row>
    <row r="121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</row>
    <row r="122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</row>
    <row r="123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</row>
    <row r="124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</row>
    <row r="125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</row>
    <row r="126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</row>
    <row r="127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</row>
    <row r="128">
      <c r="A128" s="119"/>
      <c r="B128" s="119"/>
      <c r="C128" s="119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</row>
    <row r="129">
      <c r="A129" s="119"/>
      <c r="B129" s="119"/>
      <c r="C129" s="119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</row>
    <row r="130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</row>
    <row r="131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</row>
    <row r="132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</row>
    <row r="133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</row>
    <row r="134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</row>
    <row r="135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</row>
    <row r="136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</row>
    <row r="137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</row>
    <row r="138">
      <c r="A138" s="119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</row>
    <row r="139">
      <c r="A139" s="119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</row>
    <row r="140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</row>
    <row r="141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</row>
    <row r="142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</row>
    <row r="143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</row>
    <row r="144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</row>
    <row r="145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</row>
    <row r="146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</row>
    <row r="147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</row>
    <row r="148">
      <c r="A148" s="119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</row>
    <row r="149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</row>
    <row r="150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</row>
    <row r="151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</row>
    <row r="152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</row>
    <row r="153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</row>
    <row r="154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</row>
    <row r="155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</row>
    <row r="156">
      <c r="A156" s="119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</row>
    <row r="157">
      <c r="A157" s="119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</row>
    <row r="158">
      <c r="A158" s="119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</row>
    <row r="159">
      <c r="A159" s="119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</row>
    <row r="160">
      <c r="A160" s="119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</row>
    <row r="161">
      <c r="A161" s="119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</row>
    <row r="162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</row>
    <row r="163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</row>
    <row r="164">
      <c r="A164" s="119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</row>
    <row r="165">
      <c r="A165" s="119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</row>
    <row r="166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</row>
    <row r="167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</row>
    <row r="168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</row>
    <row r="169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</row>
    <row r="170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</row>
    <row r="171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</row>
    <row r="172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</row>
    <row r="173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</row>
    <row r="174">
      <c r="A174" s="119"/>
      <c r="B174" s="119"/>
      <c r="C174" s="119"/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</row>
    <row r="175">
      <c r="A175" s="119"/>
      <c r="B175" s="119"/>
      <c r="C175" s="119"/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</row>
    <row r="176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</row>
    <row r="177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</row>
    <row r="178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</row>
    <row r="179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</row>
    <row r="180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</row>
    <row r="181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</row>
    <row r="182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</row>
    <row r="183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</row>
    <row r="184">
      <c r="A184" s="119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</row>
    <row r="185">
      <c r="A185" s="119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</row>
    <row r="186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</row>
    <row r="187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</row>
    <row r="188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</row>
    <row r="189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</row>
    <row r="190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</row>
    <row r="191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119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</row>
    <row r="192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119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</row>
    <row r="193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119"/>
      <c r="Q193" s="119"/>
      <c r="R193" s="119"/>
      <c r="S193" s="119"/>
      <c r="T193" s="119"/>
      <c r="U193" s="119"/>
      <c r="V193" s="119"/>
      <c r="W193" s="119"/>
      <c r="X193" s="119"/>
      <c r="Y193" s="119"/>
      <c r="Z193" s="119"/>
    </row>
    <row r="194">
      <c r="A194" s="119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119"/>
      <c r="Q194" s="119"/>
      <c r="R194" s="119"/>
      <c r="S194" s="119"/>
      <c r="T194" s="119"/>
      <c r="U194" s="119"/>
      <c r="V194" s="119"/>
      <c r="W194" s="119"/>
      <c r="X194" s="119"/>
      <c r="Y194" s="119"/>
      <c r="Z194" s="119"/>
    </row>
    <row r="195">
      <c r="A195" s="119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119"/>
      <c r="Q195" s="119"/>
      <c r="R195" s="119"/>
      <c r="S195" s="119"/>
      <c r="T195" s="119"/>
      <c r="U195" s="119"/>
      <c r="V195" s="119"/>
      <c r="W195" s="119"/>
      <c r="X195" s="119"/>
      <c r="Y195" s="119"/>
      <c r="Z195" s="119"/>
    </row>
    <row r="196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119"/>
      <c r="Q196" s="119"/>
      <c r="R196" s="119"/>
      <c r="S196" s="119"/>
      <c r="T196" s="119"/>
      <c r="U196" s="119"/>
      <c r="V196" s="119"/>
      <c r="W196" s="119"/>
      <c r="X196" s="119"/>
      <c r="Y196" s="119"/>
      <c r="Z196" s="119"/>
    </row>
    <row r="197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19"/>
      <c r="L197" s="119"/>
      <c r="M197" s="119"/>
      <c r="N197" s="119"/>
      <c r="O197" s="119"/>
      <c r="P197" s="119"/>
      <c r="Q197" s="119"/>
      <c r="R197" s="119"/>
      <c r="S197" s="119"/>
      <c r="T197" s="119"/>
      <c r="U197" s="119"/>
      <c r="V197" s="119"/>
      <c r="W197" s="119"/>
      <c r="X197" s="119"/>
      <c r="Y197" s="119"/>
      <c r="Z197" s="119"/>
    </row>
    <row r="198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119"/>
      <c r="Q198" s="119"/>
      <c r="R198" s="119"/>
      <c r="S198" s="119"/>
      <c r="T198" s="119"/>
      <c r="U198" s="119"/>
      <c r="V198" s="119"/>
      <c r="W198" s="119"/>
      <c r="X198" s="119"/>
      <c r="Y198" s="119"/>
      <c r="Z198" s="119"/>
    </row>
    <row r="199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  <c r="Z199" s="119"/>
    </row>
    <row r="200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  <c r="Z200" s="119"/>
    </row>
    <row r="20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</row>
    <row r="202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</row>
    <row r="203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</row>
    <row r="204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</row>
    <row r="205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</row>
    <row r="206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</row>
    <row r="207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</row>
    <row r="208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</row>
    <row r="209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</row>
    <row r="210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  <c r="Z210" s="119"/>
    </row>
    <row r="21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</row>
    <row r="212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</row>
    <row r="213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</row>
    <row r="214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  <c r="Z214" s="119"/>
    </row>
    <row r="215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  <c r="Z215" s="119"/>
    </row>
    <row r="216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  <c r="Z216" s="119"/>
    </row>
    <row r="217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</row>
    <row r="218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  <c r="Z218" s="119"/>
    </row>
    <row r="219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  <c r="Z219" s="119"/>
    </row>
    <row r="220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</row>
    <row r="22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</row>
    <row r="222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  <c r="Z222" s="119"/>
    </row>
    <row r="223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</row>
    <row r="224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  <c r="Z224" s="119"/>
    </row>
    <row r="225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  <c r="Z225" s="119"/>
    </row>
    <row r="226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</row>
    <row r="227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</row>
    <row r="228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  <c r="Z228" s="119"/>
    </row>
    <row r="229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</row>
    <row r="230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</row>
    <row r="23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  <c r="Z231" s="119"/>
    </row>
    <row r="232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  <c r="Z232" s="119"/>
    </row>
    <row r="233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  <c r="Z233" s="119"/>
    </row>
    <row r="234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</row>
    <row r="235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</row>
    <row r="236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  <c r="Z236" s="119"/>
    </row>
    <row r="237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  <c r="Z237" s="119"/>
    </row>
    <row r="238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  <c r="Z238" s="119"/>
    </row>
    <row r="239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  <c r="Z239" s="119"/>
    </row>
    <row r="240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  <c r="Z240" s="119"/>
    </row>
    <row r="24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  <c r="Z241" s="119"/>
    </row>
    <row r="242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  <c r="Z242" s="119"/>
    </row>
    <row r="243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  <c r="Z243" s="119"/>
    </row>
    <row r="244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</row>
    <row r="245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</row>
    <row r="246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  <c r="Z246" s="119"/>
    </row>
    <row r="247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</row>
    <row r="248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  <c r="Z248" s="119"/>
    </row>
    <row r="249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  <c r="Z249" s="119"/>
    </row>
    <row r="250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  <c r="Z250" s="119"/>
    </row>
    <row r="25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  <c r="Z251" s="119"/>
    </row>
    <row r="252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</row>
    <row r="253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  <c r="Z253" s="119"/>
    </row>
    <row r="254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</row>
    <row r="255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</row>
    <row r="256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</row>
    <row r="257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  <c r="Z257" s="119"/>
    </row>
    <row r="258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  <c r="Z258" s="119"/>
    </row>
    <row r="259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</row>
    <row r="260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  <c r="Z260" s="119"/>
    </row>
    <row r="26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  <c r="Z261" s="119"/>
    </row>
    <row r="262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</row>
    <row r="263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</row>
    <row r="264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</row>
    <row r="265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  <c r="Z265" s="119"/>
    </row>
    <row r="266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  <c r="Z266" s="119"/>
    </row>
    <row r="267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  <c r="Z267" s="119"/>
    </row>
    <row r="268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  <c r="Z268" s="119"/>
    </row>
    <row r="269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</row>
    <row r="270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</row>
    <row r="27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  <c r="Z271" s="119"/>
    </row>
    <row r="272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</row>
    <row r="273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</row>
    <row r="274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  <c r="Z274" s="119"/>
    </row>
    <row r="275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  <c r="Z275" s="119"/>
    </row>
    <row r="276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  <c r="Z276" s="119"/>
    </row>
    <row r="277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</row>
    <row r="278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</row>
    <row r="279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  <c r="Z279" s="119"/>
    </row>
    <row r="280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  <c r="Z280" s="119"/>
    </row>
    <row r="28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  <c r="Z281" s="119"/>
    </row>
    <row r="282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  <c r="Z282" s="119"/>
    </row>
    <row r="283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  <c r="Z283" s="119"/>
    </row>
    <row r="284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  <c r="Z284" s="119"/>
    </row>
    <row r="285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  <c r="Z285" s="119"/>
    </row>
    <row r="286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  <c r="Z286" s="119"/>
    </row>
    <row r="287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</row>
    <row r="288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</row>
    <row r="289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</row>
    <row r="290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</row>
    <row r="29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</row>
    <row r="292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</row>
    <row r="293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</row>
    <row r="294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</row>
    <row r="295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</row>
    <row r="296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  <c r="Z296" s="119"/>
    </row>
    <row r="297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</row>
    <row r="298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</row>
    <row r="299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</row>
    <row r="300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  <c r="Z300" s="119"/>
    </row>
    <row r="30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  <c r="Z301" s="119"/>
    </row>
    <row r="302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  <c r="Z302" s="119"/>
    </row>
    <row r="303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  <c r="Z303" s="119"/>
    </row>
    <row r="304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  <c r="Z304" s="119"/>
    </row>
    <row r="305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  <c r="Z305" s="119"/>
    </row>
    <row r="306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  <c r="Z306" s="119"/>
    </row>
    <row r="307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  <c r="Z307" s="119"/>
    </row>
    <row r="308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  <c r="Z308" s="119"/>
    </row>
    <row r="309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  <c r="Z309" s="119"/>
    </row>
    <row r="310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  <c r="Z310" s="119"/>
    </row>
    <row r="31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  <c r="Z311" s="119"/>
    </row>
    <row r="312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  <c r="Z312" s="119"/>
    </row>
    <row r="313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  <c r="Z313" s="119"/>
    </row>
    <row r="314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  <c r="Z314" s="119"/>
    </row>
    <row r="315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  <c r="Z315" s="119"/>
    </row>
    <row r="316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  <c r="Z316" s="119"/>
    </row>
    <row r="317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  <c r="Z317" s="119"/>
    </row>
    <row r="318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  <c r="Z318" s="119"/>
    </row>
    <row r="319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  <c r="Z319" s="119"/>
    </row>
    <row r="320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  <c r="Z320" s="119"/>
    </row>
    <row r="32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</row>
    <row r="322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  <c r="Z322" s="119"/>
    </row>
    <row r="323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  <c r="Z323" s="119"/>
    </row>
    <row r="324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  <c r="Z324" s="119"/>
    </row>
    <row r="325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  <c r="Z325" s="119"/>
    </row>
    <row r="326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  <c r="Z326" s="119"/>
    </row>
    <row r="327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  <c r="Z327" s="119"/>
    </row>
    <row r="328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  <c r="Z328" s="119"/>
    </row>
    <row r="329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  <c r="Z329" s="119"/>
    </row>
    <row r="330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  <c r="Z330" s="119"/>
    </row>
    <row r="33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  <c r="Z331" s="119"/>
    </row>
    <row r="332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  <c r="Z332" s="119"/>
    </row>
    <row r="333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  <c r="Z333" s="119"/>
    </row>
    <row r="334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</row>
    <row r="335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</row>
    <row r="336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  <c r="Z336" s="119"/>
    </row>
    <row r="337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  <c r="Z337" s="119"/>
    </row>
    <row r="338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  <c r="Z338" s="119"/>
    </row>
    <row r="339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  <c r="Z339" s="119"/>
    </row>
    <row r="340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  <c r="Z340" s="119"/>
    </row>
    <row r="34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  <c r="Z341" s="119"/>
    </row>
    <row r="342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  <c r="Z342" s="119"/>
    </row>
    <row r="343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  <c r="Z343" s="119"/>
    </row>
    <row r="344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  <c r="Z344" s="119"/>
    </row>
    <row r="345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  <c r="Z345" s="119"/>
    </row>
    <row r="346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  <c r="Z346" s="119"/>
    </row>
    <row r="347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  <c r="Z347" s="119"/>
    </row>
    <row r="348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  <c r="Z348" s="119"/>
    </row>
    <row r="349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  <c r="Z349" s="119"/>
    </row>
    <row r="350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  <c r="Z350" s="119"/>
    </row>
    <row r="35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  <c r="Z351" s="119"/>
    </row>
    <row r="352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  <c r="Z352" s="119"/>
    </row>
    <row r="353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  <c r="Z353" s="119"/>
    </row>
    <row r="354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  <c r="Z354" s="119"/>
    </row>
    <row r="355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  <c r="Z355" s="119"/>
    </row>
    <row r="356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  <c r="Z356" s="119"/>
    </row>
    <row r="357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  <c r="Z357" s="119"/>
    </row>
    <row r="358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  <c r="Z358" s="119"/>
    </row>
    <row r="359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  <c r="Z359" s="119"/>
    </row>
    <row r="360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  <c r="Z360" s="119"/>
    </row>
    <row r="36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  <c r="Z361" s="119"/>
    </row>
    <row r="362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  <c r="Z362" s="119"/>
    </row>
    <row r="363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  <c r="Z363" s="119"/>
    </row>
    <row r="364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  <c r="Z364" s="119"/>
    </row>
    <row r="365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  <c r="Z365" s="119"/>
    </row>
    <row r="366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  <c r="Z366" s="119"/>
    </row>
    <row r="367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  <c r="Z367" s="119"/>
    </row>
    <row r="368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  <c r="Z368" s="119"/>
    </row>
    <row r="369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  <c r="Z369" s="119"/>
    </row>
    <row r="370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</row>
    <row r="37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</row>
    <row r="372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  <c r="Z372" s="119"/>
    </row>
    <row r="373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  <c r="Z373" s="119"/>
    </row>
    <row r="374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  <c r="Z374" s="119"/>
    </row>
    <row r="375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  <c r="Z375" s="119"/>
    </row>
    <row r="376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  <c r="Z376" s="119"/>
    </row>
    <row r="377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  <c r="Z377" s="119"/>
    </row>
    <row r="378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  <c r="Z378" s="119"/>
    </row>
    <row r="379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  <c r="Z379" s="119"/>
    </row>
    <row r="380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  <c r="Z380" s="119"/>
    </row>
    <row r="38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  <c r="Z381" s="119"/>
    </row>
    <row r="382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  <c r="Z382" s="119"/>
    </row>
    <row r="383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  <c r="Z383" s="119"/>
    </row>
    <row r="384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  <c r="Z384" s="119"/>
    </row>
    <row r="385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  <c r="Z385" s="119"/>
    </row>
    <row r="386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  <c r="Z386" s="119"/>
    </row>
    <row r="387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  <c r="Z387" s="119"/>
    </row>
    <row r="388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  <c r="Z388" s="119"/>
    </row>
    <row r="389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  <c r="Z389" s="119"/>
    </row>
    <row r="390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  <c r="Z390" s="119"/>
    </row>
    <row r="39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  <c r="Z391" s="119"/>
    </row>
    <row r="392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  <c r="Z392" s="119"/>
    </row>
    <row r="393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  <c r="Z393" s="119"/>
    </row>
    <row r="394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  <c r="Z394" s="119"/>
    </row>
    <row r="395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  <c r="Z395" s="119"/>
    </row>
    <row r="396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  <c r="Z396" s="119"/>
    </row>
    <row r="397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  <c r="Z397" s="119"/>
    </row>
    <row r="398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  <c r="Z398" s="119"/>
    </row>
    <row r="399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  <c r="Z399" s="119"/>
    </row>
    <row r="400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  <c r="Z400" s="119"/>
    </row>
    <row r="40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  <c r="Z401" s="119"/>
    </row>
    <row r="402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  <c r="Z402" s="119"/>
    </row>
    <row r="403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  <c r="Z403" s="119"/>
    </row>
    <row r="404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  <c r="Z404" s="119"/>
    </row>
    <row r="405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  <c r="Z405" s="119"/>
    </row>
    <row r="406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  <c r="Z406" s="119"/>
    </row>
    <row r="407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</row>
    <row r="408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</row>
    <row r="409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</row>
    <row r="410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</row>
    <row r="41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</row>
    <row r="412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</row>
    <row r="413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</row>
    <row r="414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</row>
    <row r="415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</row>
    <row r="416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</row>
    <row r="417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</row>
    <row r="418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</row>
    <row r="419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</row>
    <row r="420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</row>
    <row r="42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</row>
    <row r="422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</row>
    <row r="423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</row>
    <row r="424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</row>
    <row r="425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</row>
    <row r="426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</row>
    <row r="427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</row>
    <row r="428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</row>
    <row r="429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</row>
    <row r="430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</row>
    <row r="43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</row>
    <row r="432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</row>
    <row r="433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</row>
    <row r="434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</row>
    <row r="435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</row>
    <row r="436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</row>
    <row r="437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</row>
    <row r="438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</row>
    <row r="439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</row>
    <row r="440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</row>
    <row r="44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</row>
    <row r="442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</row>
    <row r="443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</row>
    <row r="444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</row>
    <row r="445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</row>
    <row r="446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</row>
    <row r="447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</row>
    <row r="448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</row>
    <row r="449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</row>
    <row r="450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</row>
    <row r="45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</row>
    <row r="452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</row>
    <row r="453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</row>
    <row r="454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</row>
    <row r="455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</row>
    <row r="456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</row>
    <row r="457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</row>
    <row r="458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</row>
    <row r="459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</row>
    <row r="460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</row>
    <row r="46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</row>
    <row r="462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</row>
    <row r="463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</row>
    <row r="464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</row>
    <row r="465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</row>
    <row r="466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</row>
    <row r="467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</row>
    <row r="468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</row>
    <row r="469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</row>
    <row r="470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</row>
    <row r="47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</row>
    <row r="472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</row>
    <row r="473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</row>
    <row r="474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</row>
    <row r="475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</row>
    <row r="476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</row>
    <row r="477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</row>
    <row r="478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  <c r="Z478" s="119"/>
    </row>
    <row r="479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</row>
    <row r="480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</row>
    <row r="48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</row>
    <row r="482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</row>
    <row r="483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</row>
    <row r="484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</row>
    <row r="485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</row>
    <row r="486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</row>
    <row r="487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</row>
    <row r="488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</row>
    <row r="489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</row>
    <row r="490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</row>
    <row r="49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</row>
    <row r="492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</row>
    <row r="493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</row>
    <row r="494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</row>
    <row r="495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</row>
    <row r="496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</row>
    <row r="497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</row>
    <row r="498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</row>
    <row r="499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</row>
    <row r="500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</row>
    <row r="50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</row>
    <row r="502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</row>
    <row r="503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</row>
    <row r="504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</row>
    <row r="505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</row>
    <row r="506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</row>
    <row r="507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</row>
    <row r="508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</row>
    <row r="509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</row>
    <row r="510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</row>
    <row r="51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</row>
    <row r="512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</row>
    <row r="513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</row>
    <row r="514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</row>
    <row r="515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</row>
    <row r="516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</row>
    <row r="517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</row>
    <row r="518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</row>
    <row r="519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</row>
    <row r="520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</row>
    <row r="52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</row>
    <row r="522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</row>
    <row r="523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</row>
    <row r="524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</row>
    <row r="525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</row>
    <row r="526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</row>
    <row r="527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</row>
    <row r="528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</row>
    <row r="529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</row>
    <row r="530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</row>
    <row r="53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</row>
    <row r="532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</row>
    <row r="533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</row>
    <row r="534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</row>
    <row r="535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</row>
    <row r="536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</row>
    <row r="537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</row>
    <row r="538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</row>
    <row r="539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</row>
    <row r="540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</row>
    <row r="54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</row>
    <row r="542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</row>
    <row r="543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</row>
    <row r="544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</row>
    <row r="545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</row>
    <row r="546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</row>
    <row r="547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</row>
    <row r="548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</row>
    <row r="549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</row>
    <row r="550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  <c r="Z550" s="119"/>
    </row>
    <row r="55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</row>
    <row r="552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  <c r="Z552" s="119"/>
    </row>
    <row r="553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  <c r="Z553" s="119"/>
    </row>
    <row r="554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  <c r="Z554" s="119"/>
    </row>
    <row r="555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  <c r="Z555" s="119"/>
    </row>
    <row r="556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  <c r="Z556" s="119"/>
    </row>
    <row r="557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  <c r="Z557" s="119"/>
    </row>
    <row r="558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  <c r="Z558" s="119"/>
    </row>
    <row r="559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  <c r="Z559" s="119"/>
    </row>
    <row r="560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  <c r="Z560" s="119"/>
    </row>
    <row r="56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  <c r="Z561" s="119"/>
    </row>
    <row r="562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  <c r="Z562" s="119"/>
    </row>
    <row r="563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  <c r="Z563" s="119"/>
    </row>
    <row r="564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  <c r="Z564" s="119"/>
    </row>
    <row r="565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  <c r="Z565" s="119"/>
    </row>
    <row r="566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  <c r="Z566" s="119"/>
    </row>
    <row r="567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  <c r="Z567" s="119"/>
    </row>
    <row r="568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  <c r="Z568" s="119"/>
    </row>
    <row r="569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  <c r="Z569" s="119"/>
    </row>
    <row r="570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  <c r="Z570" s="119"/>
    </row>
    <row r="57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  <c r="Z571" s="119"/>
    </row>
    <row r="572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  <c r="Z572" s="119"/>
    </row>
    <row r="573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  <c r="Z573" s="119"/>
    </row>
    <row r="574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  <c r="Z574" s="119"/>
    </row>
    <row r="575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  <c r="Z575" s="119"/>
    </row>
    <row r="576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  <c r="Z576" s="119"/>
    </row>
    <row r="577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  <c r="Z577" s="119"/>
    </row>
    <row r="578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  <c r="Z578" s="119"/>
    </row>
    <row r="579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  <c r="Z579" s="119"/>
    </row>
    <row r="580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  <c r="Z580" s="119"/>
    </row>
    <row r="58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  <c r="Z581" s="119"/>
    </row>
    <row r="582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  <c r="Z582" s="119"/>
    </row>
    <row r="583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  <c r="Z583" s="119"/>
    </row>
    <row r="584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  <c r="Z584" s="119"/>
    </row>
    <row r="585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  <c r="Z585" s="119"/>
    </row>
    <row r="586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  <c r="Z586" s="119"/>
    </row>
    <row r="587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</row>
    <row r="588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  <c r="Z588" s="119"/>
    </row>
    <row r="589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  <c r="Z589" s="119"/>
    </row>
    <row r="590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  <c r="Z590" s="119"/>
    </row>
    <row r="59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  <c r="Z591" s="119"/>
    </row>
    <row r="592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  <c r="Z592" s="119"/>
    </row>
    <row r="593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  <c r="Z593" s="119"/>
    </row>
    <row r="594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  <c r="Z594" s="119"/>
    </row>
    <row r="595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  <c r="Z595" s="119"/>
    </row>
    <row r="596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  <c r="Z596" s="119"/>
    </row>
    <row r="597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  <c r="Z597" s="119"/>
    </row>
    <row r="598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  <c r="Z598" s="119"/>
    </row>
    <row r="599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  <c r="Z599" s="119"/>
    </row>
    <row r="600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  <c r="Z600" s="119"/>
    </row>
    <row r="60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  <c r="Z601" s="119"/>
    </row>
    <row r="602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  <c r="Z602" s="119"/>
    </row>
    <row r="603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  <c r="Z603" s="119"/>
    </row>
    <row r="604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  <c r="Z604" s="119"/>
    </row>
    <row r="605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  <c r="Z605" s="119"/>
    </row>
    <row r="606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  <c r="Z606" s="119"/>
    </row>
    <row r="607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  <c r="Z607" s="119"/>
    </row>
    <row r="608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  <c r="Z608" s="119"/>
    </row>
    <row r="609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  <c r="Z609" s="119"/>
    </row>
    <row r="610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  <c r="Z610" s="119"/>
    </row>
    <row r="61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  <c r="Z611" s="119"/>
    </row>
    <row r="612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  <c r="Z612" s="119"/>
    </row>
    <row r="613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  <c r="Z613" s="119"/>
    </row>
    <row r="614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  <c r="Z614" s="119"/>
    </row>
    <row r="615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  <c r="Z615" s="119"/>
    </row>
    <row r="616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  <c r="Z616" s="119"/>
    </row>
    <row r="617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  <c r="Z617" s="119"/>
    </row>
    <row r="618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  <c r="Z618" s="119"/>
    </row>
    <row r="619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  <c r="Z619" s="119"/>
    </row>
    <row r="620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  <c r="Z620" s="119"/>
    </row>
    <row r="62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  <c r="Z621" s="119"/>
    </row>
    <row r="622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  <c r="Z622" s="119"/>
    </row>
    <row r="623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</row>
    <row r="624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  <c r="Z624" s="119"/>
    </row>
    <row r="625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  <c r="Z625" s="119"/>
    </row>
    <row r="626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  <c r="Z626" s="119"/>
    </row>
    <row r="627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  <c r="Z627" s="119"/>
    </row>
    <row r="628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  <c r="Z628" s="119"/>
    </row>
    <row r="629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  <c r="Z629" s="119"/>
    </row>
    <row r="630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  <c r="Z630" s="119"/>
    </row>
    <row r="63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  <c r="Z631" s="119"/>
    </row>
    <row r="632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  <c r="Z632" s="119"/>
    </row>
    <row r="633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  <c r="Z633" s="119"/>
    </row>
    <row r="634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  <c r="Z634" s="119"/>
    </row>
    <row r="635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  <c r="Z635" s="119"/>
    </row>
    <row r="636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  <c r="Z636" s="119"/>
    </row>
    <row r="637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  <c r="Z637" s="119"/>
    </row>
    <row r="638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  <c r="Z638" s="119"/>
    </row>
    <row r="639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  <c r="Z639" s="119"/>
    </row>
    <row r="640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  <c r="Z640" s="119"/>
    </row>
    <row r="64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  <c r="Z641" s="119"/>
    </row>
    <row r="642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  <c r="Z642" s="119"/>
    </row>
    <row r="643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  <c r="Z643" s="119"/>
    </row>
    <row r="644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  <c r="Z644" s="119"/>
    </row>
    <row r="645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  <c r="Z645" s="119"/>
    </row>
    <row r="646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  <c r="Z646" s="119"/>
    </row>
    <row r="647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  <c r="Z647" s="119"/>
    </row>
    <row r="648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  <c r="Z648" s="119"/>
    </row>
    <row r="649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  <c r="Z649" s="119"/>
    </row>
    <row r="650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  <c r="Z650" s="119"/>
    </row>
    <row r="65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  <c r="Z651" s="119"/>
    </row>
    <row r="652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  <c r="Z652" s="119"/>
    </row>
    <row r="653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  <c r="Z653" s="119"/>
    </row>
    <row r="654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  <c r="Z654" s="119"/>
    </row>
    <row r="655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  <c r="Z655" s="119"/>
    </row>
    <row r="656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  <c r="Z656" s="119"/>
    </row>
    <row r="657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  <c r="Z657" s="119"/>
    </row>
    <row r="658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  <c r="Z658" s="119"/>
    </row>
    <row r="659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</row>
    <row r="660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  <c r="Z660" s="119"/>
    </row>
    <row r="66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  <c r="Z661" s="119"/>
    </row>
    <row r="662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  <c r="Z662" s="119"/>
    </row>
    <row r="663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  <c r="Z663" s="119"/>
    </row>
    <row r="664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  <c r="Z664" s="119"/>
    </row>
    <row r="665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  <c r="Z665" s="119"/>
    </row>
    <row r="666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  <c r="Z666" s="119"/>
    </row>
    <row r="667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  <c r="Z667" s="119"/>
    </row>
    <row r="668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  <c r="Z668" s="119"/>
    </row>
    <row r="669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  <c r="Z669" s="119"/>
    </row>
    <row r="670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  <c r="Z670" s="119"/>
    </row>
    <row r="67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  <c r="Z671" s="119"/>
    </row>
    <row r="672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  <c r="Z672" s="119"/>
    </row>
    <row r="673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  <c r="Z673" s="119"/>
    </row>
    <row r="674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  <c r="Z674" s="119"/>
    </row>
    <row r="675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  <c r="Z675" s="119"/>
    </row>
    <row r="676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  <c r="Z676" s="119"/>
    </row>
    <row r="677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  <c r="Z677" s="119"/>
    </row>
    <row r="678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  <c r="Z678" s="119"/>
    </row>
    <row r="679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  <c r="Z679" s="119"/>
    </row>
    <row r="680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  <c r="Z680" s="119"/>
    </row>
    <row r="68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  <c r="Z681" s="119"/>
    </row>
    <row r="682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  <c r="Z682" s="119"/>
    </row>
    <row r="683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  <c r="Z683" s="119"/>
    </row>
    <row r="684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  <c r="Z684" s="119"/>
    </row>
    <row r="685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  <c r="Z685" s="119"/>
    </row>
    <row r="686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  <c r="Z686" s="119"/>
    </row>
    <row r="687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  <c r="Z687" s="119"/>
    </row>
    <row r="688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  <c r="Z688" s="119"/>
    </row>
    <row r="689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  <c r="Z689" s="119"/>
    </row>
    <row r="690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  <c r="Z690" s="119"/>
    </row>
    <row r="69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  <c r="Z691" s="119"/>
    </row>
    <row r="692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  <c r="Z692" s="119"/>
    </row>
    <row r="693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  <c r="Z693" s="119"/>
    </row>
    <row r="694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  <c r="Z694" s="119"/>
    </row>
    <row r="695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</row>
    <row r="696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  <c r="Z696" s="119"/>
    </row>
    <row r="697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  <c r="Z697" s="119"/>
    </row>
    <row r="698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  <c r="Z698" s="119"/>
    </row>
    <row r="699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  <c r="Z699" s="119"/>
    </row>
    <row r="700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  <c r="Z700" s="119"/>
    </row>
    <row r="70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  <c r="Z701" s="119"/>
    </row>
    <row r="702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  <c r="Z702" s="119"/>
    </row>
    <row r="703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  <c r="Z703" s="119"/>
    </row>
    <row r="704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  <c r="Z704" s="119"/>
    </row>
    <row r="705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  <c r="Z705" s="119"/>
    </row>
    <row r="706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  <c r="Z706" s="119"/>
    </row>
    <row r="707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  <c r="Z707" s="119"/>
    </row>
    <row r="708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  <c r="Z708" s="119"/>
    </row>
    <row r="709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  <c r="Z709" s="119"/>
    </row>
    <row r="710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  <c r="Z710" s="119"/>
    </row>
    <row r="71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  <c r="Z711" s="119"/>
    </row>
    <row r="712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  <c r="Z712" s="119"/>
    </row>
    <row r="713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  <c r="Z713" s="119"/>
    </row>
    <row r="714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  <c r="Z714" s="119"/>
    </row>
    <row r="715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  <c r="Z715" s="119"/>
    </row>
    <row r="716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  <c r="Z716" s="119"/>
    </row>
    <row r="717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  <c r="Z717" s="119"/>
    </row>
    <row r="718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  <c r="Z718" s="119"/>
    </row>
    <row r="719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  <c r="Z719" s="119"/>
    </row>
    <row r="720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  <c r="Z720" s="119"/>
    </row>
    <row r="72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  <c r="Z721" s="119"/>
    </row>
    <row r="722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  <c r="Z722" s="119"/>
    </row>
    <row r="723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  <c r="Z723" s="119"/>
    </row>
    <row r="724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  <c r="Z724" s="119"/>
    </row>
    <row r="725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  <c r="Z725" s="119"/>
    </row>
    <row r="726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  <c r="Z726" s="119"/>
    </row>
    <row r="727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  <c r="Z727" s="119"/>
    </row>
    <row r="728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  <c r="Z728" s="119"/>
    </row>
    <row r="729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  <c r="Z729" s="119"/>
    </row>
    <row r="730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  <c r="Z730" s="119"/>
    </row>
    <row r="73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</row>
    <row r="732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  <c r="Z732" s="119"/>
    </row>
    <row r="733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  <c r="Z733" s="119"/>
    </row>
    <row r="734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  <c r="Z734" s="119"/>
    </row>
    <row r="735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  <c r="Z735" s="119"/>
    </row>
    <row r="736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  <c r="Z736" s="119"/>
    </row>
    <row r="737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  <c r="Z737" s="119"/>
    </row>
    <row r="738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  <c r="Z738" s="119"/>
    </row>
    <row r="739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  <c r="Z739" s="119"/>
    </row>
    <row r="740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  <c r="Z740" s="119"/>
    </row>
    <row r="74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  <c r="Z741" s="119"/>
    </row>
    <row r="742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  <c r="Z742" s="119"/>
    </row>
    <row r="743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  <c r="Z743" s="119"/>
    </row>
    <row r="744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  <c r="Z744" s="119"/>
    </row>
    <row r="745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  <c r="Z745" s="119"/>
    </row>
    <row r="746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  <c r="Z746" s="119"/>
    </row>
    <row r="747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  <c r="Z747" s="119"/>
    </row>
    <row r="748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  <c r="Z748" s="119"/>
    </row>
    <row r="749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  <c r="Z749" s="119"/>
    </row>
    <row r="750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  <c r="Z750" s="119"/>
    </row>
    <row r="75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  <c r="Z751" s="119"/>
    </row>
    <row r="752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  <c r="Z752" s="119"/>
    </row>
    <row r="753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  <c r="Z753" s="119"/>
    </row>
    <row r="754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  <c r="Z754" s="119"/>
    </row>
    <row r="755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  <c r="Z755" s="119"/>
    </row>
    <row r="756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  <c r="Z756" s="119"/>
    </row>
    <row r="757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  <c r="Z757" s="119"/>
    </row>
    <row r="758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  <c r="Z758" s="119"/>
    </row>
    <row r="759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  <c r="Z759" s="119"/>
    </row>
    <row r="760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  <c r="Z760" s="119"/>
    </row>
    <row r="76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  <c r="Z761" s="119"/>
    </row>
    <row r="762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  <c r="Z762" s="119"/>
    </row>
    <row r="763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  <c r="Z763" s="119"/>
    </row>
    <row r="764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  <c r="Z764" s="119"/>
    </row>
    <row r="765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  <c r="Z765" s="119"/>
    </row>
    <row r="766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  <c r="Z766" s="119"/>
    </row>
    <row r="767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</row>
    <row r="768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  <c r="Z768" s="119"/>
    </row>
    <row r="769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  <c r="Z769" s="119"/>
    </row>
    <row r="770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  <c r="Z770" s="119"/>
    </row>
    <row r="77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  <c r="Z771" s="119"/>
    </row>
    <row r="772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  <c r="Z772" s="119"/>
    </row>
    <row r="773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  <c r="Z773" s="119"/>
    </row>
    <row r="774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  <c r="Z774" s="119"/>
    </row>
    <row r="775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  <c r="Z775" s="119"/>
    </row>
    <row r="776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  <c r="Z776" s="119"/>
    </row>
    <row r="777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  <c r="Z777" s="119"/>
    </row>
    <row r="778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  <c r="Z778" s="119"/>
    </row>
    <row r="779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  <c r="Z779" s="119"/>
    </row>
    <row r="780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  <c r="Z780" s="119"/>
    </row>
    <row r="78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  <c r="Z781" s="119"/>
    </row>
    <row r="782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  <c r="Z782" s="119"/>
    </row>
    <row r="783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  <c r="Z783" s="119"/>
    </row>
    <row r="784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  <c r="Z784" s="119"/>
    </row>
    <row r="785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  <c r="Z785" s="119"/>
    </row>
    <row r="786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  <c r="Z786" s="119"/>
    </row>
    <row r="787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  <c r="Z787" s="119"/>
    </row>
    <row r="788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  <c r="Z788" s="119"/>
    </row>
    <row r="789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  <c r="Z789" s="119"/>
    </row>
    <row r="790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  <c r="Z790" s="119"/>
    </row>
    <row r="79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  <c r="Z791" s="119"/>
    </row>
    <row r="792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  <c r="Z792" s="119"/>
    </row>
    <row r="793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  <c r="Z793" s="119"/>
    </row>
    <row r="794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  <c r="Z794" s="119"/>
    </row>
    <row r="795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  <c r="Z795" s="119"/>
    </row>
    <row r="796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  <c r="Z796" s="119"/>
    </row>
    <row r="797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  <c r="Z797" s="119"/>
    </row>
    <row r="798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  <c r="Z798" s="119"/>
    </row>
    <row r="799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  <c r="Z799" s="119"/>
    </row>
    <row r="800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  <c r="Z800" s="119"/>
    </row>
    <row r="80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  <c r="Z801" s="119"/>
    </row>
    <row r="802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  <c r="Z802" s="119"/>
    </row>
    <row r="803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</row>
    <row r="804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  <c r="Z804" s="119"/>
    </row>
    <row r="805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  <c r="Z805" s="119"/>
    </row>
    <row r="806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  <c r="Z806" s="119"/>
    </row>
    <row r="807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  <c r="Z807" s="119"/>
    </row>
    <row r="808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  <c r="Z808" s="119"/>
    </row>
    <row r="809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  <c r="Z809" s="119"/>
    </row>
    <row r="810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  <c r="Z810" s="119"/>
    </row>
    <row r="81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  <c r="Z811" s="119"/>
    </row>
    <row r="812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  <c r="Z812" s="119"/>
    </row>
    <row r="813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  <c r="Z813" s="119"/>
    </row>
    <row r="814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  <c r="Z814" s="119"/>
    </row>
    <row r="815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  <c r="Z815" s="119"/>
    </row>
    <row r="816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  <c r="Z816" s="119"/>
    </row>
    <row r="817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  <c r="Z817" s="119"/>
    </row>
    <row r="818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  <c r="Z818" s="119"/>
    </row>
    <row r="819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  <c r="Z819" s="119"/>
    </row>
    <row r="820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  <c r="Z820" s="119"/>
    </row>
    <row r="82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  <c r="Z821" s="119"/>
    </row>
    <row r="822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  <c r="Z822" s="119"/>
    </row>
    <row r="823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  <c r="Z823" s="119"/>
    </row>
    <row r="824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  <c r="Z824" s="119"/>
    </row>
    <row r="825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  <c r="Z825" s="119"/>
    </row>
    <row r="826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  <c r="Z826" s="119"/>
    </row>
    <row r="827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  <c r="Z827" s="119"/>
    </row>
    <row r="828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  <c r="Z828" s="119"/>
    </row>
    <row r="829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  <c r="Z829" s="119"/>
    </row>
    <row r="830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  <c r="Z830" s="119"/>
    </row>
    <row r="83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  <c r="Z831" s="119"/>
    </row>
    <row r="832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  <c r="Z832" s="119"/>
    </row>
    <row r="833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  <c r="Z833" s="119"/>
    </row>
    <row r="834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  <c r="Z834" s="119"/>
    </row>
    <row r="835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  <c r="Z835" s="119"/>
    </row>
    <row r="836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  <c r="Z836" s="119"/>
    </row>
    <row r="837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  <c r="Z837" s="119"/>
    </row>
    <row r="838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  <c r="Z838" s="119"/>
    </row>
    <row r="839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</row>
    <row r="840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  <c r="Z840" s="119"/>
    </row>
    <row r="84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  <c r="Z841" s="119"/>
    </row>
    <row r="842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  <c r="Z842" s="119"/>
    </row>
    <row r="843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  <c r="Z843" s="119"/>
    </row>
    <row r="844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  <c r="Z844" s="119"/>
    </row>
    <row r="845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  <c r="Z845" s="119"/>
    </row>
    <row r="846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  <c r="Z846" s="119"/>
    </row>
    <row r="847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  <c r="Z847" s="119"/>
    </row>
    <row r="848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  <c r="Z848" s="119"/>
    </row>
    <row r="849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  <c r="Z849" s="119"/>
    </row>
    <row r="850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  <c r="Z850" s="119"/>
    </row>
    <row r="85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  <c r="Z851" s="119"/>
    </row>
    <row r="852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  <c r="Z852" s="119"/>
    </row>
    <row r="853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  <c r="Z853" s="119"/>
    </row>
    <row r="854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  <c r="Z854" s="119"/>
    </row>
    <row r="855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  <c r="Z855" s="119"/>
    </row>
    <row r="856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  <c r="Z856" s="119"/>
    </row>
    <row r="857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  <c r="Z857" s="119"/>
    </row>
    <row r="858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  <c r="Z858" s="119"/>
    </row>
    <row r="859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  <c r="Z859" s="119"/>
    </row>
    <row r="860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  <c r="Z860" s="119"/>
    </row>
    <row r="86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  <c r="Z861" s="119"/>
    </row>
    <row r="862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  <c r="Z862" s="119"/>
    </row>
    <row r="863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  <c r="Z863" s="119"/>
    </row>
    <row r="864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  <c r="Z864" s="119"/>
    </row>
    <row r="865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  <c r="Z865" s="119"/>
    </row>
    <row r="866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  <c r="Z866" s="119"/>
    </row>
    <row r="867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  <c r="Z867" s="119"/>
    </row>
    <row r="868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  <c r="Z868" s="119"/>
    </row>
    <row r="869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  <c r="Z869" s="119"/>
    </row>
    <row r="870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  <c r="Z870" s="119"/>
    </row>
    <row r="87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  <c r="Z871" s="119"/>
    </row>
    <row r="872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  <c r="Z872" s="119"/>
    </row>
    <row r="873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  <c r="Z873" s="119"/>
    </row>
    <row r="874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  <c r="Z874" s="119"/>
    </row>
    <row r="875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</row>
    <row r="876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  <c r="Z876" s="119"/>
    </row>
    <row r="877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  <c r="Z877" s="119"/>
    </row>
    <row r="878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  <c r="Z878" s="119"/>
    </row>
    <row r="879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  <c r="Z879" s="119"/>
    </row>
    <row r="880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  <c r="Z880" s="119"/>
    </row>
    <row r="88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  <c r="Z881" s="119"/>
    </row>
    <row r="882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  <c r="Z882" s="119"/>
    </row>
    <row r="883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  <c r="Z883" s="119"/>
    </row>
    <row r="884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  <c r="Z884" s="119"/>
    </row>
    <row r="885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  <c r="Z885" s="119"/>
    </row>
    <row r="886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  <c r="Z886" s="119"/>
    </row>
    <row r="887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  <c r="Z887" s="119"/>
    </row>
    <row r="888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  <c r="Z888" s="119"/>
    </row>
    <row r="889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  <c r="Z889" s="119"/>
    </row>
    <row r="890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  <c r="Z890" s="119"/>
    </row>
    <row r="89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  <c r="Z891" s="119"/>
    </row>
    <row r="892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  <c r="Z892" s="119"/>
    </row>
    <row r="893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  <c r="Z893" s="119"/>
    </row>
    <row r="894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  <c r="Z894" s="119"/>
    </row>
    <row r="895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  <c r="Z895" s="119"/>
    </row>
    <row r="896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  <c r="Z896" s="119"/>
    </row>
    <row r="897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  <c r="Z897" s="119"/>
    </row>
    <row r="898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  <c r="Z898" s="119"/>
    </row>
    <row r="899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  <c r="Z899" s="119"/>
    </row>
    <row r="900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  <c r="Z900" s="119"/>
    </row>
    <row r="90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  <c r="Z901" s="119"/>
    </row>
    <row r="902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  <c r="Z902" s="119"/>
    </row>
    <row r="903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  <c r="Z903" s="119"/>
    </row>
    <row r="904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  <c r="Z904" s="119"/>
    </row>
    <row r="905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  <c r="Z905" s="119"/>
    </row>
    <row r="906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  <c r="Z906" s="119"/>
    </row>
    <row r="907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  <c r="Z907" s="119"/>
    </row>
    <row r="908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  <c r="Z908" s="119"/>
    </row>
    <row r="909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  <c r="Z909" s="119"/>
    </row>
    <row r="910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  <c r="Z910" s="119"/>
    </row>
    <row r="91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  <c r="Z911" s="119"/>
    </row>
    <row r="912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  <c r="Z912" s="119"/>
    </row>
    <row r="913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  <c r="Z913" s="119"/>
    </row>
    <row r="914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  <c r="Z914" s="119"/>
    </row>
    <row r="915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  <c r="Z915" s="119"/>
    </row>
    <row r="916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  <c r="Z916" s="119"/>
    </row>
    <row r="917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  <c r="Z917" s="119"/>
    </row>
    <row r="918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  <c r="Z918" s="119"/>
    </row>
    <row r="919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  <c r="Z919" s="119"/>
    </row>
    <row r="920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  <c r="Z920" s="119"/>
    </row>
    <row r="92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  <c r="Z921" s="119"/>
    </row>
    <row r="922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  <c r="Z922" s="119"/>
    </row>
    <row r="923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  <c r="Z923" s="119"/>
    </row>
    <row r="924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  <c r="Z924" s="119"/>
    </row>
    <row r="925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  <c r="Z925" s="119"/>
    </row>
    <row r="926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  <c r="Z926" s="119"/>
    </row>
    <row r="927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  <c r="Z927" s="119"/>
    </row>
    <row r="928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  <c r="Z928" s="119"/>
    </row>
    <row r="929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  <c r="Z929" s="119"/>
    </row>
    <row r="930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  <c r="Z930" s="119"/>
    </row>
    <row r="93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  <c r="Z931" s="119"/>
    </row>
    <row r="932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  <c r="Z932" s="119"/>
    </row>
    <row r="933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  <c r="Z933" s="119"/>
    </row>
    <row r="934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  <c r="Z934" s="119"/>
    </row>
    <row r="935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  <c r="Z935" s="119"/>
    </row>
    <row r="936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  <c r="Z936" s="119"/>
    </row>
    <row r="937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  <c r="Z937" s="119"/>
    </row>
    <row r="938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  <c r="Z938" s="119"/>
    </row>
    <row r="939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  <c r="Z939" s="119"/>
    </row>
    <row r="940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  <c r="Z940" s="119"/>
    </row>
    <row r="94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  <c r="Z941" s="119"/>
    </row>
    <row r="942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  <c r="Z942" s="119"/>
    </row>
    <row r="943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  <c r="Z943" s="119"/>
    </row>
    <row r="944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  <c r="Z944" s="119"/>
    </row>
    <row r="945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  <c r="Z945" s="119"/>
    </row>
    <row r="946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  <c r="Z946" s="119"/>
    </row>
    <row r="947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  <c r="Z947" s="119"/>
    </row>
    <row r="948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  <c r="Z948" s="119"/>
    </row>
    <row r="949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  <c r="Z949" s="119"/>
    </row>
    <row r="950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  <c r="Z950" s="119"/>
    </row>
    <row r="95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  <c r="Z951" s="119"/>
    </row>
    <row r="952">
      <c r="A952" s="119"/>
      <c r="B952" s="119"/>
      <c r="C952" s="119"/>
      <c r="D952" s="119"/>
      <c r="E952" s="119"/>
      <c r="F952" s="119"/>
      <c r="G952" s="119"/>
      <c r="H952" s="119"/>
      <c r="I952" s="119"/>
      <c r="J952" s="119"/>
      <c r="K952" s="119"/>
      <c r="L952" s="119"/>
      <c r="M952" s="119"/>
      <c r="N952" s="119"/>
      <c r="O952" s="119"/>
      <c r="P952" s="119"/>
      <c r="Q952" s="119"/>
      <c r="R952" s="119"/>
      <c r="S952" s="119"/>
      <c r="T952" s="119"/>
      <c r="U952" s="119"/>
      <c r="V952" s="119"/>
      <c r="W952" s="119"/>
      <c r="X952" s="119"/>
      <c r="Y952" s="119"/>
      <c r="Z952" s="119"/>
    </row>
    <row r="953">
      <c r="A953" s="119"/>
      <c r="B953" s="119"/>
      <c r="C953" s="119"/>
      <c r="D953" s="119"/>
      <c r="E953" s="119"/>
      <c r="F953" s="119"/>
      <c r="G953" s="119"/>
      <c r="H953" s="119"/>
      <c r="I953" s="119"/>
      <c r="J953" s="119"/>
      <c r="K953" s="119"/>
      <c r="L953" s="119"/>
      <c r="M953" s="119"/>
      <c r="N953" s="119"/>
      <c r="O953" s="119"/>
      <c r="P953" s="119"/>
      <c r="Q953" s="119"/>
      <c r="R953" s="119"/>
      <c r="S953" s="119"/>
      <c r="T953" s="119"/>
      <c r="U953" s="119"/>
      <c r="V953" s="119"/>
      <c r="W953" s="119"/>
      <c r="X953" s="119"/>
      <c r="Y953" s="119"/>
      <c r="Z953" s="119"/>
    </row>
    <row r="954">
      <c r="A954" s="119"/>
      <c r="B954" s="119"/>
      <c r="C954" s="119"/>
      <c r="D954" s="119"/>
      <c r="E954" s="119"/>
      <c r="F954" s="119"/>
      <c r="G954" s="119"/>
      <c r="H954" s="119"/>
      <c r="I954" s="119"/>
      <c r="J954" s="119"/>
      <c r="K954" s="119"/>
      <c r="L954" s="119"/>
      <c r="M954" s="119"/>
      <c r="N954" s="119"/>
      <c r="O954" s="119"/>
      <c r="P954" s="119"/>
      <c r="Q954" s="119"/>
      <c r="R954" s="119"/>
      <c r="S954" s="119"/>
      <c r="T954" s="119"/>
      <c r="U954" s="119"/>
      <c r="V954" s="119"/>
      <c r="W954" s="119"/>
      <c r="X954" s="119"/>
      <c r="Y954" s="119"/>
      <c r="Z954" s="119"/>
    </row>
    <row r="955">
      <c r="A955" s="119"/>
      <c r="B955" s="119"/>
      <c r="C955" s="119"/>
      <c r="D955" s="119"/>
      <c r="E955" s="119"/>
      <c r="F955" s="119"/>
      <c r="G955" s="119"/>
      <c r="H955" s="119"/>
      <c r="I955" s="119"/>
      <c r="J955" s="119"/>
      <c r="K955" s="119"/>
      <c r="L955" s="119"/>
      <c r="M955" s="119"/>
      <c r="N955" s="119"/>
      <c r="O955" s="119"/>
      <c r="P955" s="119"/>
      <c r="Q955" s="119"/>
      <c r="R955" s="119"/>
      <c r="S955" s="119"/>
      <c r="T955" s="119"/>
      <c r="U955" s="119"/>
      <c r="V955" s="119"/>
      <c r="W955" s="119"/>
      <c r="X955" s="119"/>
      <c r="Y955" s="119"/>
      <c r="Z955" s="119"/>
    </row>
    <row r="956">
      <c r="A956" s="119"/>
      <c r="B956" s="119"/>
      <c r="C956" s="119"/>
      <c r="D956" s="119"/>
      <c r="E956" s="119"/>
      <c r="F956" s="119"/>
      <c r="G956" s="119"/>
      <c r="H956" s="119"/>
      <c r="I956" s="119"/>
      <c r="J956" s="119"/>
      <c r="K956" s="119"/>
      <c r="L956" s="119"/>
      <c r="M956" s="119"/>
      <c r="N956" s="119"/>
      <c r="O956" s="119"/>
      <c r="P956" s="119"/>
      <c r="Q956" s="119"/>
      <c r="R956" s="119"/>
      <c r="S956" s="119"/>
      <c r="T956" s="119"/>
      <c r="U956" s="119"/>
      <c r="V956" s="119"/>
      <c r="W956" s="119"/>
      <c r="X956" s="119"/>
      <c r="Y956" s="119"/>
      <c r="Z956" s="119"/>
    </row>
    <row r="957">
      <c r="A957" s="119"/>
      <c r="B957" s="119"/>
      <c r="C957" s="119"/>
      <c r="D957" s="119"/>
      <c r="E957" s="119"/>
      <c r="F957" s="119"/>
      <c r="G957" s="119"/>
      <c r="H957" s="119"/>
      <c r="I957" s="119"/>
      <c r="J957" s="119"/>
      <c r="K957" s="119"/>
      <c r="L957" s="119"/>
      <c r="M957" s="119"/>
      <c r="N957" s="119"/>
      <c r="O957" s="119"/>
      <c r="P957" s="119"/>
      <c r="Q957" s="119"/>
      <c r="R957" s="119"/>
      <c r="S957" s="119"/>
      <c r="T957" s="119"/>
      <c r="U957" s="119"/>
      <c r="V957" s="119"/>
      <c r="W957" s="119"/>
      <c r="X957" s="119"/>
      <c r="Y957" s="119"/>
      <c r="Z957" s="119"/>
    </row>
    <row r="958">
      <c r="A958" s="119"/>
      <c r="B958" s="119"/>
      <c r="C958" s="119"/>
      <c r="D958" s="119"/>
      <c r="E958" s="119"/>
      <c r="F958" s="119"/>
      <c r="G958" s="119"/>
      <c r="H958" s="119"/>
      <c r="I958" s="119"/>
      <c r="J958" s="119"/>
      <c r="K958" s="119"/>
      <c r="L958" s="119"/>
      <c r="M958" s="119"/>
      <c r="N958" s="119"/>
      <c r="O958" s="119"/>
      <c r="P958" s="119"/>
      <c r="Q958" s="119"/>
      <c r="R958" s="119"/>
      <c r="S958" s="119"/>
      <c r="T958" s="119"/>
      <c r="U958" s="119"/>
      <c r="V958" s="119"/>
      <c r="W958" s="119"/>
      <c r="X958" s="119"/>
      <c r="Y958" s="119"/>
      <c r="Z958" s="119"/>
    </row>
    <row r="959">
      <c r="A959" s="119"/>
      <c r="B959" s="119"/>
      <c r="C959" s="119"/>
      <c r="D959" s="119"/>
      <c r="E959" s="119"/>
      <c r="F959" s="119"/>
      <c r="G959" s="119"/>
      <c r="H959" s="119"/>
      <c r="I959" s="119"/>
      <c r="J959" s="119"/>
      <c r="K959" s="119"/>
      <c r="L959" s="119"/>
      <c r="M959" s="119"/>
      <c r="N959" s="119"/>
      <c r="O959" s="119"/>
      <c r="P959" s="119"/>
      <c r="Q959" s="119"/>
      <c r="R959" s="119"/>
      <c r="S959" s="119"/>
      <c r="T959" s="119"/>
      <c r="U959" s="119"/>
      <c r="V959" s="119"/>
      <c r="W959" s="119"/>
      <c r="X959" s="119"/>
      <c r="Y959" s="119"/>
      <c r="Z959" s="119"/>
    </row>
    <row r="960">
      <c r="A960" s="119"/>
      <c r="B960" s="119"/>
      <c r="C960" s="119"/>
      <c r="D960" s="119"/>
      <c r="E960" s="119"/>
      <c r="F960" s="119"/>
      <c r="G960" s="119"/>
      <c r="H960" s="119"/>
      <c r="I960" s="119"/>
      <c r="J960" s="119"/>
      <c r="K960" s="119"/>
      <c r="L960" s="119"/>
      <c r="M960" s="119"/>
      <c r="N960" s="119"/>
      <c r="O960" s="119"/>
      <c r="P960" s="119"/>
      <c r="Q960" s="119"/>
      <c r="R960" s="119"/>
      <c r="S960" s="119"/>
      <c r="T960" s="119"/>
      <c r="U960" s="119"/>
      <c r="V960" s="119"/>
      <c r="W960" s="119"/>
      <c r="X960" s="119"/>
      <c r="Y960" s="119"/>
      <c r="Z960" s="119"/>
    </row>
    <row r="961">
      <c r="A961" s="119"/>
      <c r="B961" s="119"/>
      <c r="C961" s="119"/>
      <c r="D961" s="119"/>
      <c r="E961" s="119"/>
      <c r="F961" s="119"/>
      <c r="G961" s="119"/>
      <c r="H961" s="119"/>
      <c r="I961" s="119"/>
      <c r="J961" s="119"/>
      <c r="K961" s="119"/>
      <c r="L961" s="119"/>
      <c r="M961" s="119"/>
      <c r="N961" s="119"/>
      <c r="O961" s="119"/>
      <c r="P961" s="119"/>
      <c r="Q961" s="119"/>
      <c r="R961" s="119"/>
      <c r="S961" s="119"/>
      <c r="T961" s="119"/>
      <c r="U961" s="119"/>
      <c r="V961" s="119"/>
      <c r="W961" s="119"/>
      <c r="X961" s="119"/>
      <c r="Y961" s="119"/>
      <c r="Z961" s="119"/>
    </row>
    <row r="962">
      <c r="A962" s="119"/>
      <c r="B962" s="119"/>
      <c r="C962" s="119"/>
      <c r="D962" s="119"/>
      <c r="E962" s="119"/>
      <c r="F962" s="119"/>
      <c r="G962" s="119"/>
      <c r="H962" s="119"/>
      <c r="I962" s="119"/>
      <c r="J962" s="119"/>
      <c r="K962" s="119"/>
      <c r="L962" s="119"/>
      <c r="M962" s="119"/>
      <c r="N962" s="119"/>
      <c r="O962" s="119"/>
      <c r="P962" s="119"/>
      <c r="Q962" s="119"/>
      <c r="R962" s="119"/>
      <c r="S962" s="119"/>
      <c r="T962" s="119"/>
      <c r="U962" s="119"/>
      <c r="V962" s="119"/>
      <c r="W962" s="119"/>
      <c r="X962" s="119"/>
      <c r="Y962" s="119"/>
      <c r="Z962" s="119"/>
    </row>
    <row r="963">
      <c r="A963" s="119"/>
      <c r="B963" s="119"/>
      <c r="C963" s="119"/>
      <c r="D963" s="119"/>
      <c r="E963" s="119"/>
      <c r="F963" s="119"/>
      <c r="G963" s="119"/>
      <c r="H963" s="119"/>
      <c r="I963" s="119"/>
      <c r="J963" s="119"/>
      <c r="K963" s="119"/>
      <c r="L963" s="119"/>
      <c r="M963" s="119"/>
      <c r="N963" s="119"/>
      <c r="O963" s="119"/>
      <c r="P963" s="119"/>
      <c r="Q963" s="119"/>
      <c r="R963" s="119"/>
      <c r="S963" s="119"/>
      <c r="T963" s="119"/>
      <c r="U963" s="119"/>
      <c r="V963" s="119"/>
      <c r="W963" s="119"/>
      <c r="X963" s="119"/>
      <c r="Y963" s="119"/>
      <c r="Z963" s="119"/>
    </row>
    <row r="964">
      <c r="A964" s="119"/>
      <c r="B964" s="119"/>
      <c r="C964" s="119"/>
      <c r="D964" s="119"/>
      <c r="E964" s="119"/>
      <c r="F964" s="119"/>
      <c r="G964" s="119"/>
      <c r="H964" s="119"/>
      <c r="I964" s="119"/>
      <c r="J964" s="119"/>
      <c r="K964" s="119"/>
      <c r="L964" s="119"/>
      <c r="M964" s="119"/>
      <c r="N964" s="119"/>
      <c r="O964" s="119"/>
      <c r="P964" s="119"/>
      <c r="Q964" s="119"/>
      <c r="R964" s="119"/>
      <c r="S964" s="119"/>
      <c r="T964" s="119"/>
      <c r="U964" s="119"/>
      <c r="V964" s="119"/>
      <c r="W964" s="119"/>
      <c r="X964" s="119"/>
      <c r="Y964" s="119"/>
      <c r="Z964" s="119"/>
    </row>
    <row r="965">
      <c r="A965" s="119"/>
      <c r="B965" s="119"/>
      <c r="C965" s="119"/>
      <c r="D965" s="119"/>
      <c r="E965" s="119"/>
      <c r="F965" s="119"/>
      <c r="G965" s="119"/>
      <c r="H965" s="119"/>
      <c r="I965" s="119"/>
      <c r="J965" s="119"/>
      <c r="K965" s="119"/>
      <c r="L965" s="119"/>
      <c r="M965" s="119"/>
      <c r="N965" s="119"/>
      <c r="O965" s="119"/>
      <c r="P965" s="119"/>
      <c r="Q965" s="119"/>
      <c r="R965" s="119"/>
      <c r="S965" s="119"/>
      <c r="T965" s="119"/>
      <c r="U965" s="119"/>
      <c r="V965" s="119"/>
      <c r="W965" s="119"/>
      <c r="X965" s="119"/>
      <c r="Y965" s="119"/>
      <c r="Z965" s="119"/>
    </row>
    <row r="966">
      <c r="A966" s="119"/>
      <c r="B966" s="119"/>
      <c r="C966" s="119"/>
      <c r="D966" s="119"/>
      <c r="E966" s="119"/>
      <c r="F966" s="119"/>
      <c r="G966" s="119"/>
      <c r="H966" s="119"/>
      <c r="I966" s="119"/>
      <c r="J966" s="119"/>
      <c r="K966" s="119"/>
      <c r="L966" s="119"/>
      <c r="M966" s="119"/>
      <c r="N966" s="119"/>
      <c r="O966" s="119"/>
      <c r="P966" s="119"/>
      <c r="Q966" s="119"/>
      <c r="R966" s="119"/>
      <c r="S966" s="119"/>
      <c r="T966" s="119"/>
      <c r="U966" s="119"/>
      <c r="V966" s="119"/>
      <c r="W966" s="119"/>
      <c r="X966" s="119"/>
      <c r="Y966" s="119"/>
      <c r="Z966" s="119"/>
    </row>
    <row r="967">
      <c r="A967" s="119"/>
      <c r="B967" s="119"/>
      <c r="C967" s="119"/>
      <c r="D967" s="119"/>
      <c r="E967" s="119"/>
      <c r="F967" s="119"/>
      <c r="G967" s="119"/>
      <c r="H967" s="119"/>
      <c r="I967" s="119"/>
      <c r="J967" s="119"/>
      <c r="K967" s="119"/>
      <c r="L967" s="119"/>
      <c r="M967" s="119"/>
      <c r="N967" s="119"/>
      <c r="O967" s="119"/>
      <c r="P967" s="119"/>
      <c r="Q967" s="119"/>
      <c r="R967" s="119"/>
      <c r="S967" s="119"/>
      <c r="T967" s="119"/>
      <c r="U967" s="119"/>
      <c r="V967" s="119"/>
      <c r="W967" s="119"/>
      <c r="X967" s="119"/>
      <c r="Y967" s="119"/>
      <c r="Z967" s="119"/>
    </row>
    <row r="968">
      <c r="A968" s="119"/>
      <c r="B968" s="119"/>
      <c r="C968" s="119"/>
      <c r="D968" s="119"/>
      <c r="E968" s="119"/>
      <c r="F968" s="119"/>
      <c r="G968" s="119"/>
      <c r="H968" s="119"/>
      <c r="I968" s="119"/>
      <c r="J968" s="119"/>
      <c r="K968" s="119"/>
      <c r="L968" s="119"/>
      <c r="M968" s="119"/>
      <c r="N968" s="119"/>
      <c r="O968" s="119"/>
      <c r="P968" s="119"/>
      <c r="Q968" s="119"/>
      <c r="R968" s="119"/>
      <c r="S968" s="119"/>
      <c r="T968" s="119"/>
      <c r="U968" s="119"/>
      <c r="V968" s="119"/>
      <c r="W968" s="119"/>
      <c r="X968" s="119"/>
      <c r="Y968" s="119"/>
      <c r="Z968" s="119"/>
    </row>
    <row r="969">
      <c r="A969" s="119"/>
      <c r="B969" s="119"/>
      <c r="C969" s="119"/>
      <c r="D969" s="119"/>
      <c r="E969" s="119"/>
      <c r="F969" s="119"/>
      <c r="G969" s="119"/>
      <c r="H969" s="119"/>
      <c r="I969" s="119"/>
      <c r="J969" s="119"/>
      <c r="K969" s="119"/>
      <c r="L969" s="119"/>
      <c r="M969" s="119"/>
      <c r="N969" s="119"/>
      <c r="O969" s="119"/>
      <c r="P969" s="119"/>
      <c r="Q969" s="119"/>
      <c r="R969" s="119"/>
      <c r="S969" s="119"/>
      <c r="T969" s="119"/>
      <c r="U969" s="119"/>
      <c r="V969" s="119"/>
      <c r="W969" s="119"/>
      <c r="X969" s="119"/>
      <c r="Y969" s="119"/>
      <c r="Z969" s="119"/>
    </row>
    <row r="970">
      <c r="A970" s="119"/>
      <c r="B970" s="119"/>
      <c r="C970" s="119"/>
      <c r="D970" s="119"/>
      <c r="E970" s="119"/>
      <c r="F970" s="119"/>
      <c r="G970" s="119"/>
      <c r="H970" s="119"/>
      <c r="I970" s="119"/>
      <c r="J970" s="119"/>
      <c r="K970" s="119"/>
      <c r="L970" s="119"/>
      <c r="M970" s="119"/>
      <c r="N970" s="119"/>
      <c r="O970" s="119"/>
      <c r="P970" s="119"/>
      <c r="Q970" s="119"/>
      <c r="R970" s="119"/>
      <c r="S970" s="119"/>
      <c r="T970" s="119"/>
      <c r="U970" s="119"/>
      <c r="V970" s="119"/>
      <c r="W970" s="119"/>
      <c r="X970" s="119"/>
      <c r="Y970" s="119"/>
      <c r="Z970" s="119"/>
    </row>
    <row r="971">
      <c r="A971" s="119"/>
      <c r="B971" s="119"/>
      <c r="C971" s="119"/>
      <c r="D971" s="119"/>
      <c r="E971" s="119"/>
      <c r="F971" s="119"/>
      <c r="G971" s="119"/>
      <c r="H971" s="119"/>
      <c r="I971" s="119"/>
      <c r="J971" s="119"/>
      <c r="K971" s="119"/>
      <c r="L971" s="119"/>
      <c r="M971" s="119"/>
      <c r="N971" s="119"/>
      <c r="O971" s="119"/>
      <c r="P971" s="119"/>
      <c r="Q971" s="119"/>
      <c r="R971" s="119"/>
      <c r="S971" s="119"/>
      <c r="T971" s="119"/>
      <c r="U971" s="119"/>
      <c r="V971" s="119"/>
      <c r="W971" s="119"/>
      <c r="X971" s="119"/>
      <c r="Y971" s="119"/>
      <c r="Z971" s="119"/>
    </row>
    <row r="972">
      <c r="A972" s="119"/>
      <c r="B972" s="119"/>
      <c r="C972" s="119"/>
      <c r="D972" s="119"/>
      <c r="E972" s="119"/>
      <c r="F972" s="119"/>
      <c r="G972" s="119"/>
      <c r="H972" s="119"/>
      <c r="I972" s="119"/>
      <c r="J972" s="119"/>
      <c r="K972" s="119"/>
      <c r="L972" s="119"/>
      <c r="M972" s="119"/>
      <c r="N972" s="119"/>
      <c r="O972" s="119"/>
      <c r="P972" s="119"/>
      <c r="Q972" s="119"/>
      <c r="R972" s="119"/>
      <c r="S972" s="119"/>
      <c r="T972" s="119"/>
      <c r="U972" s="119"/>
      <c r="V972" s="119"/>
      <c r="W972" s="119"/>
      <c r="X972" s="119"/>
      <c r="Y972" s="119"/>
      <c r="Z972" s="119"/>
    </row>
    <row r="973">
      <c r="A973" s="119"/>
      <c r="B973" s="119"/>
      <c r="C973" s="119"/>
      <c r="D973" s="119"/>
      <c r="E973" s="119"/>
      <c r="F973" s="119"/>
      <c r="G973" s="119"/>
      <c r="H973" s="119"/>
      <c r="I973" s="119"/>
      <c r="J973" s="119"/>
      <c r="K973" s="119"/>
      <c r="L973" s="119"/>
      <c r="M973" s="119"/>
      <c r="N973" s="119"/>
      <c r="O973" s="119"/>
      <c r="P973" s="119"/>
      <c r="Q973" s="119"/>
      <c r="R973" s="119"/>
      <c r="S973" s="119"/>
      <c r="T973" s="119"/>
      <c r="U973" s="119"/>
      <c r="V973" s="119"/>
      <c r="W973" s="119"/>
      <c r="X973" s="119"/>
      <c r="Y973" s="119"/>
      <c r="Z973" s="119"/>
    </row>
    <row r="974">
      <c r="A974" s="119"/>
      <c r="B974" s="119"/>
      <c r="C974" s="119"/>
      <c r="D974" s="119"/>
      <c r="E974" s="119"/>
      <c r="F974" s="119"/>
      <c r="G974" s="119"/>
      <c r="H974" s="119"/>
      <c r="I974" s="119"/>
      <c r="J974" s="119"/>
      <c r="K974" s="119"/>
      <c r="L974" s="119"/>
      <c r="M974" s="119"/>
      <c r="N974" s="119"/>
      <c r="O974" s="119"/>
      <c r="P974" s="119"/>
      <c r="Q974" s="119"/>
      <c r="R974" s="119"/>
      <c r="S974" s="119"/>
      <c r="T974" s="119"/>
      <c r="U974" s="119"/>
      <c r="V974" s="119"/>
      <c r="W974" s="119"/>
      <c r="X974" s="119"/>
      <c r="Y974" s="119"/>
      <c r="Z974" s="119"/>
    </row>
    <row r="975">
      <c r="A975" s="119"/>
      <c r="B975" s="119"/>
      <c r="C975" s="119"/>
      <c r="D975" s="119"/>
      <c r="E975" s="119"/>
      <c r="F975" s="119"/>
      <c r="G975" s="119"/>
      <c r="H975" s="119"/>
      <c r="I975" s="119"/>
      <c r="J975" s="119"/>
      <c r="K975" s="119"/>
      <c r="L975" s="119"/>
      <c r="M975" s="119"/>
      <c r="N975" s="119"/>
      <c r="O975" s="119"/>
      <c r="P975" s="119"/>
      <c r="Q975" s="119"/>
      <c r="R975" s="119"/>
      <c r="S975" s="119"/>
      <c r="T975" s="119"/>
      <c r="U975" s="119"/>
      <c r="V975" s="119"/>
      <c r="W975" s="119"/>
      <c r="X975" s="119"/>
      <c r="Y975" s="119"/>
      <c r="Z975" s="119"/>
    </row>
    <row r="976">
      <c r="A976" s="119"/>
      <c r="B976" s="119"/>
      <c r="C976" s="119"/>
      <c r="D976" s="119"/>
      <c r="E976" s="119"/>
      <c r="F976" s="119"/>
      <c r="G976" s="119"/>
      <c r="H976" s="119"/>
      <c r="I976" s="119"/>
      <c r="J976" s="119"/>
      <c r="K976" s="119"/>
      <c r="L976" s="119"/>
      <c r="M976" s="119"/>
      <c r="N976" s="119"/>
      <c r="O976" s="119"/>
      <c r="P976" s="119"/>
      <c r="Q976" s="119"/>
      <c r="R976" s="119"/>
      <c r="S976" s="119"/>
      <c r="T976" s="119"/>
      <c r="U976" s="119"/>
      <c r="V976" s="119"/>
      <c r="W976" s="119"/>
      <c r="X976" s="119"/>
      <c r="Y976" s="119"/>
      <c r="Z976" s="119"/>
    </row>
    <row r="977">
      <c r="A977" s="119"/>
      <c r="B977" s="119"/>
      <c r="C977" s="119"/>
      <c r="D977" s="119"/>
      <c r="E977" s="119"/>
      <c r="F977" s="119"/>
      <c r="G977" s="119"/>
      <c r="H977" s="119"/>
      <c r="I977" s="119"/>
      <c r="J977" s="119"/>
      <c r="K977" s="119"/>
      <c r="L977" s="119"/>
      <c r="M977" s="119"/>
      <c r="N977" s="119"/>
      <c r="O977" s="119"/>
      <c r="P977" s="119"/>
      <c r="Q977" s="119"/>
      <c r="R977" s="119"/>
      <c r="S977" s="119"/>
      <c r="T977" s="119"/>
      <c r="U977" s="119"/>
      <c r="V977" s="119"/>
      <c r="W977" s="119"/>
      <c r="X977" s="119"/>
      <c r="Y977" s="119"/>
      <c r="Z977" s="119"/>
    </row>
    <row r="978">
      <c r="A978" s="119"/>
      <c r="B978" s="119"/>
      <c r="C978" s="119"/>
      <c r="D978" s="119"/>
      <c r="E978" s="119"/>
      <c r="F978" s="119"/>
      <c r="G978" s="119"/>
      <c r="H978" s="119"/>
      <c r="I978" s="119"/>
      <c r="J978" s="119"/>
      <c r="K978" s="119"/>
      <c r="L978" s="119"/>
      <c r="M978" s="119"/>
      <c r="N978" s="119"/>
      <c r="O978" s="119"/>
      <c r="P978" s="119"/>
      <c r="Q978" s="119"/>
      <c r="R978" s="119"/>
      <c r="S978" s="119"/>
      <c r="T978" s="119"/>
      <c r="U978" s="119"/>
      <c r="V978" s="119"/>
      <c r="W978" s="119"/>
      <c r="X978" s="119"/>
      <c r="Y978" s="119"/>
      <c r="Z978" s="119"/>
    </row>
    <row r="979">
      <c r="A979" s="119"/>
      <c r="B979" s="119"/>
      <c r="C979" s="119"/>
      <c r="D979" s="119"/>
      <c r="E979" s="119"/>
      <c r="F979" s="119"/>
      <c r="G979" s="119"/>
      <c r="H979" s="119"/>
      <c r="I979" s="119"/>
      <c r="J979" s="119"/>
      <c r="K979" s="119"/>
      <c r="L979" s="119"/>
      <c r="M979" s="119"/>
      <c r="N979" s="119"/>
      <c r="O979" s="119"/>
      <c r="P979" s="119"/>
      <c r="Q979" s="119"/>
      <c r="R979" s="119"/>
      <c r="S979" s="119"/>
      <c r="T979" s="119"/>
      <c r="U979" s="119"/>
      <c r="V979" s="119"/>
      <c r="W979" s="119"/>
      <c r="X979" s="119"/>
      <c r="Y979" s="119"/>
      <c r="Z979" s="119"/>
    </row>
    <row r="980">
      <c r="A980" s="119"/>
      <c r="B980" s="119"/>
      <c r="C980" s="119"/>
      <c r="D980" s="119"/>
      <c r="E980" s="119"/>
      <c r="F980" s="119"/>
      <c r="G980" s="119"/>
      <c r="H980" s="119"/>
      <c r="I980" s="119"/>
      <c r="J980" s="119"/>
      <c r="K980" s="119"/>
      <c r="L980" s="119"/>
      <c r="M980" s="119"/>
      <c r="N980" s="119"/>
      <c r="O980" s="119"/>
      <c r="P980" s="119"/>
      <c r="Q980" s="119"/>
      <c r="R980" s="119"/>
      <c r="S980" s="119"/>
      <c r="T980" s="119"/>
      <c r="U980" s="119"/>
      <c r="V980" s="119"/>
      <c r="W980" s="119"/>
      <c r="X980" s="119"/>
      <c r="Y980" s="119"/>
      <c r="Z980" s="119"/>
    </row>
    <row r="981">
      <c r="A981" s="119"/>
      <c r="B981" s="119"/>
      <c r="C981" s="119"/>
      <c r="D981" s="119"/>
      <c r="E981" s="119"/>
      <c r="F981" s="119"/>
      <c r="G981" s="119"/>
      <c r="H981" s="119"/>
      <c r="I981" s="119"/>
      <c r="J981" s="119"/>
      <c r="K981" s="119"/>
      <c r="L981" s="119"/>
      <c r="M981" s="119"/>
      <c r="N981" s="119"/>
      <c r="O981" s="119"/>
      <c r="P981" s="119"/>
      <c r="Q981" s="119"/>
      <c r="R981" s="119"/>
      <c r="S981" s="119"/>
      <c r="T981" s="119"/>
      <c r="U981" s="119"/>
      <c r="V981" s="119"/>
      <c r="W981" s="119"/>
      <c r="X981" s="119"/>
      <c r="Y981" s="119"/>
      <c r="Z981" s="119"/>
    </row>
    <row r="982">
      <c r="A982" s="119"/>
      <c r="B982" s="119"/>
      <c r="C982" s="119"/>
      <c r="D982" s="119"/>
      <c r="E982" s="119"/>
      <c r="F982" s="119"/>
      <c r="G982" s="119"/>
      <c r="H982" s="119"/>
      <c r="I982" s="119"/>
      <c r="J982" s="119"/>
      <c r="K982" s="119"/>
      <c r="L982" s="119"/>
      <c r="M982" s="119"/>
      <c r="N982" s="119"/>
      <c r="O982" s="119"/>
      <c r="P982" s="119"/>
      <c r="Q982" s="119"/>
      <c r="R982" s="119"/>
      <c r="S982" s="119"/>
      <c r="T982" s="119"/>
      <c r="U982" s="119"/>
      <c r="V982" s="119"/>
      <c r="W982" s="119"/>
      <c r="X982" s="119"/>
      <c r="Y982" s="119"/>
      <c r="Z982" s="119"/>
    </row>
    <row r="983">
      <c r="A983" s="119"/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</row>
    <row r="984">
      <c r="A984" s="119"/>
      <c r="B984" s="119"/>
      <c r="C984" s="119"/>
      <c r="D984" s="119"/>
      <c r="E984" s="119"/>
      <c r="F984" s="119"/>
      <c r="G984" s="119"/>
      <c r="H984" s="119"/>
      <c r="I984" s="119"/>
      <c r="J984" s="119"/>
      <c r="K984" s="119"/>
      <c r="L984" s="119"/>
      <c r="M984" s="119"/>
      <c r="N984" s="119"/>
      <c r="O984" s="119"/>
      <c r="P984" s="119"/>
      <c r="Q984" s="119"/>
      <c r="R984" s="119"/>
      <c r="S984" s="119"/>
      <c r="T984" s="119"/>
      <c r="U984" s="119"/>
      <c r="V984" s="119"/>
      <c r="W984" s="119"/>
      <c r="X984" s="119"/>
      <c r="Y984" s="119"/>
      <c r="Z984" s="119"/>
    </row>
    <row r="985">
      <c r="A985" s="119"/>
      <c r="B985" s="119"/>
      <c r="C985" s="119"/>
      <c r="D985" s="119"/>
      <c r="E985" s="119"/>
      <c r="F985" s="119"/>
      <c r="G985" s="119"/>
      <c r="H985" s="119"/>
      <c r="I985" s="119"/>
      <c r="J985" s="119"/>
      <c r="K985" s="119"/>
      <c r="L985" s="119"/>
      <c r="M985" s="119"/>
      <c r="N985" s="119"/>
      <c r="O985" s="119"/>
      <c r="P985" s="119"/>
      <c r="Q985" s="119"/>
      <c r="R985" s="119"/>
      <c r="S985" s="119"/>
      <c r="T985" s="119"/>
      <c r="U985" s="119"/>
      <c r="V985" s="119"/>
      <c r="W985" s="119"/>
      <c r="X985" s="119"/>
      <c r="Y985" s="119"/>
      <c r="Z985" s="119"/>
    </row>
    <row r="986">
      <c r="A986" s="119"/>
      <c r="B986" s="119"/>
      <c r="C986" s="119"/>
      <c r="D986" s="119"/>
      <c r="E986" s="119"/>
      <c r="F986" s="119"/>
      <c r="G986" s="119"/>
      <c r="H986" s="119"/>
      <c r="I986" s="119"/>
      <c r="J986" s="119"/>
      <c r="K986" s="119"/>
      <c r="L986" s="119"/>
      <c r="M986" s="119"/>
      <c r="N986" s="119"/>
      <c r="O986" s="119"/>
      <c r="P986" s="119"/>
      <c r="Q986" s="119"/>
      <c r="R986" s="119"/>
      <c r="S986" s="119"/>
      <c r="T986" s="119"/>
      <c r="U986" s="119"/>
      <c r="V986" s="119"/>
      <c r="W986" s="119"/>
      <c r="X986" s="119"/>
      <c r="Y986" s="119"/>
      <c r="Z986" s="119"/>
    </row>
    <row r="987">
      <c r="A987" s="119"/>
      <c r="B987" s="119"/>
      <c r="C987" s="119"/>
      <c r="D987" s="119"/>
      <c r="E987" s="119"/>
      <c r="F987" s="119"/>
      <c r="G987" s="119"/>
      <c r="H987" s="119"/>
      <c r="I987" s="119"/>
      <c r="J987" s="119"/>
      <c r="K987" s="119"/>
      <c r="L987" s="119"/>
      <c r="M987" s="119"/>
      <c r="N987" s="119"/>
      <c r="O987" s="119"/>
      <c r="P987" s="119"/>
      <c r="Q987" s="119"/>
      <c r="R987" s="119"/>
      <c r="S987" s="119"/>
      <c r="T987" s="119"/>
      <c r="U987" s="119"/>
      <c r="V987" s="119"/>
      <c r="W987" s="119"/>
      <c r="X987" s="119"/>
      <c r="Y987" s="119"/>
      <c r="Z987" s="119"/>
    </row>
    <row r="988">
      <c r="A988" s="119"/>
      <c r="B988" s="119"/>
      <c r="C988" s="119"/>
      <c r="D988" s="119"/>
      <c r="E988" s="119"/>
      <c r="F988" s="119"/>
      <c r="G988" s="119"/>
      <c r="H988" s="119"/>
      <c r="I988" s="119"/>
      <c r="J988" s="119"/>
      <c r="K988" s="119"/>
      <c r="L988" s="119"/>
      <c r="M988" s="119"/>
      <c r="N988" s="119"/>
      <c r="O988" s="119"/>
      <c r="P988" s="119"/>
      <c r="Q988" s="119"/>
      <c r="R988" s="119"/>
      <c r="S988" s="119"/>
      <c r="T988" s="119"/>
      <c r="U988" s="119"/>
      <c r="V988" s="119"/>
      <c r="W988" s="119"/>
      <c r="X988" s="119"/>
      <c r="Y988" s="119"/>
      <c r="Z988" s="119"/>
    </row>
    <row r="989">
      <c r="A989" s="119"/>
      <c r="B989" s="119"/>
      <c r="C989" s="119"/>
      <c r="D989" s="119"/>
      <c r="E989" s="119"/>
      <c r="F989" s="119"/>
      <c r="G989" s="119"/>
      <c r="H989" s="119"/>
      <c r="I989" s="119"/>
      <c r="J989" s="119"/>
      <c r="K989" s="119"/>
      <c r="L989" s="119"/>
      <c r="M989" s="119"/>
      <c r="N989" s="119"/>
      <c r="O989" s="119"/>
      <c r="P989" s="119"/>
      <c r="Q989" s="119"/>
      <c r="R989" s="119"/>
      <c r="S989" s="119"/>
      <c r="T989" s="119"/>
      <c r="U989" s="119"/>
      <c r="V989" s="119"/>
      <c r="W989" s="119"/>
      <c r="X989" s="119"/>
      <c r="Y989" s="119"/>
      <c r="Z989" s="119"/>
    </row>
    <row r="990">
      <c r="A990" s="119"/>
      <c r="B990" s="119"/>
      <c r="C990" s="119"/>
      <c r="D990" s="119"/>
      <c r="E990" s="119"/>
      <c r="F990" s="119"/>
      <c r="G990" s="119"/>
      <c r="H990" s="119"/>
      <c r="I990" s="119"/>
      <c r="J990" s="119"/>
      <c r="K990" s="119"/>
      <c r="L990" s="119"/>
      <c r="M990" s="119"/>
      <c r="N990" s="119"/>
      <c r="O990" s="119"/>
      <c r="P990" s="119"/>
      <c r="Q990" s="119"/>
      <c r="R990" s="119"/>
      <c r="S990" s="119"/>
      <c r="T990" s="119"/>
      <c r="U990" s="119"/>
      <c r="V990" s="119"/>
      <c r="W990" s="119"/>
      <c r="X990" s="119"/>
      <c r="Y990" s="119"/>
      <c r="Z990" s="119"/>
    </row>
    <row r="991">
      <c r="A991" s="119"/>
      <c r="B991" s="119"/>
      <c r="C991" s="119"/>
      <c r="D991" s="119"/>
      <c r="E991" s="119"/>
      <c r="F991" s="119"/>
      <c r="G991" s="119"/>
      <c r="H991" s="119"/>
      <c r="I991" s="119"/>
      <c r="J991" s="119"/>
      <c r="K991" s="119"/>
      <c r="L991" s="119"/>
      <c r="M991" s="119"/>
      <c r="N991" s="119"/>
      <c r="O991" s="119"/>
      <c r="P991" s="119"/>
      <c r="Q991" s="119"/>
      <c r="R991" s="119"/>
      <c r="S991" s="119"/>
      <c r="T991" s="119"/>
      <c r="U991" s="119"/>
      <c r="V991" s="119"/>
      <c r="W991" s="119"/>
      <c r="X991" s="119"/>
      <c r="Y991" s="119"/>
      <c r="Z991" s="119"/>
    </row>
    <row r="992">
      <c r="A992" s="119"/>
      <c r="B992" s="119"/>
      <c r="C992" s="119"/>
      <c r="D992" s="119"/>
      <c r="E992" s="119"/>
      <c r="F992" s="119"/>
      <c r="G992" s="119"/>
      <c r="H992" s="119"/>
      <c r="I992" s="119"/>
      <c r="J992" s="119"/>
      <c r="K992" s="119"/>
      <c r="L992" s="119"/>
      <c r="M992" s="119"/>
      <c r="N992" s="119"/>
      <c r="O992" s="119"/>
      <c r="P992" s="119"/>
      <c r="Q992" s="119"/>
      <c r="R992" s="119"/>
      <c r="S992" s="119"/>
      <c r="T992" s="119"/>
      <c r="U992" s="119"/>
      <c r="V992" s="119"/>
      <c r="W992" s="119"/>
      <c r="X992" s="119"/>
      <c r="Y992" s="119"/>
      <c r="Z992" s="119"/>
    </row>
    <row r="993">
      <c r="A993" s="119"/>
      <c r="B993" s="119"/>
      <c r="C993" s="119"/>
      <c r="D993" s="119"/>
      <c r="E993" s="119"/>
      <c r="F993" s="119"/>
      <c r="G993" s="119"/>
      <c r="H993" s="119"/>
      <c r="I993" s="119"/>
      <c r="J993" s="119"/>
      <c r="K993" s="119"/>
      <c r="L993" s="119"/>
      <c r="M993" s="119"/>
      <c r="N993" s="119"/>
      <c r="O993" s="119"/>
      <c r="P993" s="119"/>
      <c r="Q993" s="119"/>
      <c r="R993" s="119"/>
      <c r="S993" s="119"/>
      <c r="T993" s="119"/>
      <c r="U993" s="119"/>
      <c r="V993" s="119"/>
      <c r="W993" s="119"/>
      <c r="X993" s="119"/>
      <c r="Y993" s="119"/>
      <c r="Z993" s="119"/>
    </row>
    <row r="994">
      <c r="A994" s="119"/>
      <c r="B994" s="119"/>
      <c r="C994" s="119"/>
      <c r="D994" s="119"/>
      <c r="E994" s="119"/>
      <c r="F994" s="119"/>
      <c r="G994" s="119"/>
      <c r="H994" s="119"/>
      <c r="I994" s="119"/>
      <c r="J994" s="119"/>
      <c r="K994" s="119"/>
      <c r="L994" s="119"/>
      <c r="M994" s="119"/>
      <c r="N994" s="119"/>
      <c r="O994" s="119"/>
      <c r="P994" s="119"/>
      <c r="Q994" s="119"/>
      <c r="R994" s="119"/>
      <c r="S994" s="119"/>
      <c r="T994" s="119"/>
      <c r="U994" s="119"/>
      <c r="V994" s="119"/>
      <c r="W994" s="119"/>
      <c r="X994" s="119"/>
      <c r="Y994" s="119"/>
      <c r="Z994" s="119"/>
    </row>
    <row r="995">
      <c r="A995" s="119"/>
      <c r="B995" s="119"/>
      <c r="C995" s="119"/>
      <c r="D995" s="119"/>
      <c r="E995" s="119"/>
      <c r="F995" s="119"/>
      <c r="G995" s="119"/>
      <c r="H995" s="119"/>
      <c r="I995" s="119"/>
      <c r="J995" s="119"/>
      <c r="K995" s="119"/>
      <c r="L995" s="119"/>
      <c r="M995" s="119"/>
      <c r="N995" s="119"/>
      <c r="O995" s="119"/>
      <c r="P995" s="119"/>
      <c r="Q995" s="119"/>
      <c r="R995" s="119"/>
      <c r="S995" s="119"/>
      <c r="T995" s="119"/>
      <c r="U995" s="119"/>
      <c r="V995" s="119"/>
      <c r="W995" s="119"/>
      <c r="X995" s="119"/>
      <c r="Y995" s="119"/>
      <c r="Z995" s="119"/>
    </row>
    <row r="996">
      <c r="A996" s="119"/>
      <c r="B996" s="119"/>
      <c r="C996" s="119"/>
      <c r="D996" s="119"/>
      <c r="E996" s="119"/>
      <c r="F996" s="119"/>
      <c r="G996" s="119"/>
      <c r="H996" s="119"/>
      <c r="I996" s="119"/>
      <c r="J996" s="119"/>
      <c r="K996" s="119"/>
      <c r="L996" s="119"/>
      <c r="M996" s="119"/>
      <c r="N996" s="119"/>
      <c r="O996" s="119"/>
      <c r="P996" s="119"/>
      <c r="Q996" s="119"/>
      <c r="R996" s="119"/>
      <c r="S996" s="119"/>
      <c r="T996" s="119"/>
      <c r="U996" s="119"/>
      <c r="V996" s="119"/>
      <c r="W996" s="119"/>
      <c r="X996" s="119"/>
      <c r="Y996" s="119"/>
      <c r="Z996" s="119"/>
    </row>
    <row r="997">
      <c r="A997" s="119"/>
      <c r="B997" s="119"/>
      <c r="C997" s="119"/>
      <c r="D997" s="119"/>
      <c r="E997" s="119"/>
      <c r="F997" s="119"/>
      <c r="G997" s="119"/>
      <c r="H997" s="119"/>
      <c r="I997" s="119"/>
      <c r="J997" s="119"/>
      <c r="K997" s="119"/>
      <c r="L997" s="119"/>
      <c r="M997" s="119"/>
      <c r="N997" s="119"/>
      <c r="O997" s="119"/>
      <c r="P997" s="119"/>
      <c r="Q997" s="119"/>
      <c r="R997" s="119"/>
      <c r="S997" s="119"/>
      <c r="T997" s="119"/>
      <c r="U997" s="119"/>
      <c r="V997" s="119"/>
      <c r="W997" s="119"/>
      <c r="X997" s="119"/>
      <c r="Y997" s="119"/>
      <c r="Z997" s="119"/>
    </row>
    <row r="998">
      <c r="A998" s="119"/>
      <c r="B998" s="119"/>
      <c r="C998" s="119"/>
      <c r="D998" s="119"/>
      <c r="E998" s="119"/>
      <c r="F998" s="119"/>
      <c r="G998" s="119"/>
      <c r="H998" s="119"/>
      <c r="I998" s="119"/>
      <c r="J998" s="119"/>
      <c r="K998" s="119"/>
      <c r="L998" s="119"/>
      <c r="M998" s="119"/>
      <c r="N998" s="119"/>
      <c r="O998" s="119"/>
      <c r="P998" s="119"/>
      <c r="Q998" s="119"/>
      <c r="R998" s="119"/>
      <c r="S998" s="119"/>
      <c r="T998" s="119"/>
      <c r="U998" s="119"/>
      <c r="V998" s="119"/>
      <c r="W998" s="119"/>
      <c r="X998" s="119"/>
      <c r="Y998" s="119"/>
      <c r="Z998" s="119"/>
    </row>
    <row r="999">
      <c r="A999" s="119"/>
      <c r="B999" s="119"/>
      <c r="C999" s="119"/>
      <c r="D999" s="119"/>
      <c r="E999" s="119"/>
      <c r="F999" s="119"/>
      <c r="G999" s="119"/>
      <c r="H999" s="119"/>
      <c r="I999" s="119"/>
      <c r="J999" s="119"/>
      <c r="K999" s="119"/>
      <c r="L999" s="119"/>
      <c r="M999" s="119"/>
      <c r="N999" s="119"/>
      <c r="O999" s="119"/>
      <c r="P999" s="119"/>
      <c r="Q999" s="119"/>
      <c r="R999" s="119"/>
      <c r="S999" s="119"/>
      <c r="T999" s="119"/>
      <c r="U999" s="119"/>
      <c r="V999" s="119"/>
      <c r="W999" s="119"/>
      <c r="X999" s="119"/>
      <c r="Y999" s="119"/>
      <c r="Z999" s="119"/>
    </row>
    <row r="1000">
      <c r="A1000" s="119"/>
      <c r="B1000" s="119"/>
      <c r="C1000" s="119"/>
      <c r="D1000" s="119"/>
      <c r="E1000" s="119"/>
      <c r="F1000" s="119"/>
      <c r="G1000" s="119"/>
      <c r="H1000" s="119"/>
      <c r="I1000" s="119"/>
      <c r="J1000" s="119"/>
      <c r="K1000" s="119"/>
      <c r="L1000" s="119"/>
      <c r="M1000" s="119"/>
      <c r="N1000" s="119"/>
      <c r="O1000" s="119"/>
      <c r="P1000" s="119"/>
      <c r="Q1000" s="119"/>
      <c r="R1000" s="119"/>
      <c r="S1000" s="119"/>
      <c r="T1000" s="119"/>
      <c r="U1000" s="119"/>
      <c r="V1000" s="119"/>
      <c r="W1000" s="119"/>
      <c r="X1000" s="119"/>
      <c r="Y1000" s="119"/>
      <c r="Z1000" s="1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B2B2"/>
    <pageSetUpPr/>
  </sheetPr>
  <sheetViews>
    <sheetView showGridLines="0" workbookViewId="0"/>
  </sheetViews>
  <sheetFormatPr customHeight="1" defaultColWidth="14.43" defaultRowHeight="15.0" outlineLevelCol="1" outlineLevelRow="1"/>
  <cols>
    <col customWidth="1" min="1" max="1" width="1.71"/>
    <col customWidth="1" min="2" max="2" width="31.86"/>
    <col customWidth="1" min="3" max="4" width="10.14" outlineLevel="1"/>
    <col customWidth="1" min="5" max="20" width="12.71"/>
    <col customWidth="1" min="21" max="26" width="9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26" t="s">
        <v>249</v>
      </c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tr">
        <f>JAZZ_DCF!$B$3</f>
        <v>($ in Millions Except Per Share and Per Unit Data)</v>
      </c>
      <c r="C3" s="1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 outlineLevel="1">
      <c r="A5" s="1"/>
      <c r="B5" s="127" t="str">
        <f>Public_Comps_Data!$B$2</f>
        <v>Company Name:</v>
      </c>
      <c r="C5" s="127"/>
      <c r="D5" s="128" t="str">
        <f>Public_Comps_Data!$B$48</f>
        <v>Share Price:</v>
      </c>
      <c r="E5" s="128" t="str">
        <f>Public_Comps_Data!$B$79</f>
        <v>Equity Value:</v>
      </c>
      <c r="F5" s="128" t="str">
        <f>Public_Comps_Data!$B$80</f>
        <v>Enterprise Value:</v>
      </c>
      <c r="G5" s="128" t="str">
        <f>Public_Comps_Data!$B$6</f>
        <v>LTM Revenue:</v>
      </c>
      <c r="H5" s="128" t="str">
        <f>Public_Comps_Data!$B$91</f>
        <v> Revenue:</v>
      </c>
      <c r="I5" s="128" t="str">
        <f>Public_Comps_Data!$B$95</f>
        <v> Revenue:</v>
      </c>
      <c r="J5" s="128" t="str">
        <f>Public_Comps_Data!$B$11</f>
        <v>LTM EBITDA:</v>
      </c>
      <c r="K5" s="128" t="str">
        <f>Public_Comps_Data!$B$92</f>
        <v> EBITDA:</v>
      </c>
      <c r="L5" s="128" t="str">
        <f>Public_Comps_Data!$B$96</f>
        <v> EBITDA:</v>
      </c>
      <c r="M5" s="128" t="str">
        <f>Public_Comps_Data!$B$23</f>
        <v>Normalized Net Income to Common:</v>
      </c>
      <c r="N5" s="128" t="str">
        <f>Public_Comps_Data!$B$93</f>
        <v> Normalized Net Income to Common:</v>
      </c>
      <c r="O5" s="128" t="str">
        <f>Public_Comps_Data!$B$97</f>
        <v> Normalized Net Income to Common:</v>
      </c>
      <c r="P5" s="127" t="str">
        <f>Public_Comps_Data!$B$109</f>
        <v>2-Year Revenue CAGR:</v>
      </c>
      <c r="Q5" s="127" t="str">
        <f>Public_Comps_Data!$B$110</f>
        <v>2-Year EBITDA CAGR:</v>
      </c>
      <c r="R5" s="127" t="str">
        <f>Public_Comps_Data!$B$112</f>
        <v>LTM EBITDA Margin:</v>
      </c>
      <c r="S5" s="127" t="str">
        <f>Public_Comps_Data!$B$113</f>
        <v> EBITDA Margin:</v>
      </c>
      <c r="T5" s="127" t="str">
        <f>Public_Comps_Data!$B$114</f>
        <v> EBITDA Margin:</v>
      </c>
      <c r="U5" s="1"/>
      <c r="V5" s="1"/>
      <c r="W5" s="1"/>
      <c r="X5" s="1"/>
      <c r="Y5" s="1"/>
      <c r="Z5" s="1"/>
    </row>
    <row r="6" ht="15.75" customHeight="1">
      <c r="A6" s="1"/>
      <c r="B6" s="129" t="s">
        <v>250</v>
      </c>
      <c r="C6" s="130"/>
      <c r="D6" s="130"/>
      <c r="E6" s="131" t="s">
        <v>251</v>
      </c>
      <c r="F6" s="132"/>
      <c r="G6" s="133"/>
      <c r="H6" s="133"/>
      <c r="I6" s="133"/>
      <c r="J6" s="133"/>
      <c r="K6" s="133"/>
      <c r="L6" s="133"/>
      <c r="M6" s="133"/>
      <c r="N6" s="133"/>
      <c r="O6" s="133"/>
      <c r="P6" s="134" t="s">
        <v>252</v>
      </c>
      <c r="Q6" s="134" t="s">
        <v>252</v>
      </c>
      <c r="R6" s="135"/>
      <c r="S6" s="136"/>
      <c r="T6" s="136"/>
      <c r="U6" s="1"/>
      <c r="V6" s="1"/>
      <c r="W6" s="1"/>
      <c r="X6" s="1"/>
      <c r="Y6" s="1"/>
      <c r="Z6" s="1"/>
    </row>
    <row r="7" ht="15.75" customHeight="1">
      <c r="A7" s="1"/>
      <c r="B7" s="133"/>
      <c r="C7" s="133"/>
      <c r="D7" s="134" t="s">
        <v>253</v>
      </c>
      <c r="E7" s="134" t="s">
        <v>254</v>
      </c>
      <c r="F7" s="134" t="s">
        <v>255</v>
      </c>
      <c r="G7" s="131" t="s">
        <v>256</v>
      </c>
      <c r="H7" s="132"/>
      <c r="I7" s="132"/>
      <c r="J7" s="131" t="s">
        <v>257</v>
      </c>
      <c r="K7" s="132"/>
      <c r="L7" s="132"/>
      <c r="M7" s="131" t="s">
        <v>258</v>
      </c>
      <c r="N7" s="132"/>
      <c r="O7" s="132"/>
      <c r="P7" s="134" t="s">
        <v>256</v>
      </c>
      <c r="Q7" s="134" t="s">
        <v>257</v>
      </c>
      <c r="R7" s="131" t="s">
        <v>259</v>
      </c>
      <c r="S7" s="132"/>
      <c r="T7" s="132"/>
      <c r="U7" s="1"/>
      <c r="V7" s="1"/>
      <c r="W7" s="1"/>
      <c r="X7" s="1"/>
      <c r="Y7" s="1"/>
      <c r="Z7" s="1"/>
    </row>
    <row r="8" ht="15.75" customHeight="1">
      <c r="A8" s="1"/>
      <c r="B8" s="137" t="s">
        <v>149</v>
      </c>
      <c r="C8" s="137" t="s">
        <v>260</v>
      </c>
      <c r="D8" s="138" t="s">
        <v>261</v>
      </c>
      <c r="E8" s="138" t="s">
        <v>262</v>
      </c>
      <c r="F8" s="138" t="s">
        <v>262</v>
      </c>
      <c r="G8" s="139" t="str">
        <f>Public_Comps_Data!$D$84</f>
        <v/>
      </c>
      <c r="H8" s="139" t="str">
        <f>Public_Comps_Data!$E$84</f>
        <v/>
      </c>
      <c r="I8" s="139" t="str">
        <f>Public_Comps_Data!$F$84</f>
        <v/>
      </c>
      <c r="J8" s="139" t="str">
        <f>Public_Comps_Data!$D$84</f>
        <v/>
      </c>
      <c r="K8" s="139" t="str">
        <f>Public_Comps_Data!$E$84</f>
        <v/>
      </c>
      <c r="L8" s="139" t="str">
        <f>Public_Comps_Data!$F$84</f>
        <v/>
      </c>
      <c r="M8" s="139" t="str">
        <f>Public_Comps_Data!$D$84</f>
        <v/>
      </c>
      <c r="N8" s="139" t="str">
        <f>Public_Comps_Data!$E$84</f>
        <v/>
      </c>
      <c r="O8" s="139" t="str">
        <f>Public_Comps_Data!$F$84</f>
        <v/>
      </c>
      <c r="P8" s="138" t="s">
        <v>263</v>
      </c>
      <c r="Q8" s="138" t="s">
        <v>263</v>
      </c>
      <c r="R8" s="139" t="str">
        <f>Public_Comps_Data!$D$84</f>
        <v/>
      </c>
      <c r="S8" s="139" t="str">
        <f>Public_Comps_Data!$E$84</f>
        <v/>
      </c>
      <c r="T8" s="139" t="str">
        <f>Public_Comps_Data!$F$84</f>
        <v/>
      </c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40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82"/>
      <c r="Q9" s="82"/>
      <c r="R9" s="82"/>
      <c r="S9" s="82"/>
      <c r="T9" s="82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41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82"/>
      <c r="Q10" s="82"/>
      <c r="R10" s="82"/>
      <c r="S10" s="82"/>
      <c r="T10" s="82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4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82"/>
      <c r="Q11" s="82"/>
      <c r="R11" s="82"/>
      <c r="S11" s="82"/>
      <c r="T11" s="82"/>
      <c r="U11" s="1"/>
      <c r="V11" s="1"/>
      <c r="W11" s="1"/>
      <c r="X11" s="1"/>
      <c r="Y11" s="1"/>
      <c r="Z11" s="1"/>
    </row>
    <row r="12" ht="15.75" customHeight="1">
      <c r="A12" s="1"/>
      <c r="B12" s="1" t="str">
        <f t="array" ref="B12">INDEX(Pub_Comps_Range,MATCH(B$5,Pub_Comps_Params,0),MATCH($C12,Pub_Comps_Tickers,0))</f>
        <v>BioMarin Pharmaceutical Inc.</v>
      </c>
      <c r="C12" s="1" t="s">
        <v>202</v>
      </c>
      <c r="D12" s="141" t="str">
        <f t="array" ref="D12">INDEX(Pub_Comps_Range,MATCH(D$5,Pub_Comps_Params,0),MATCH($C12,Pub_Comps_Tickers,0))</f>
        <v/>
      </c>
      <c r="E12" s="9">
        <f t="array" ref="E12">INDEX(Pub_Comps_Range,MATCH(E$5,Pub_Comps_Params,0),MATCH($C12,Pub_Comps_Tickers,0))</f>
        <v>0</v>
      </c>
      <c r="F12" s="9">
        <f t="array" ref="F12">INDEX(Pub_Comps_Range,MATCH(F$5,Pub_Comps_Params,0),MATCH($C12,Pub_Comps_Tickers,0))</f>
        <v>-37.02214646</v>
      </c>
      <c r="G12" s="9">
        <f t="array" ref="G12">INDEX(Pub_Comps_Range,MATCH(G$5,Pub_Comps_Params,0),MATCH($C12,Pub_Comps_Tickers,0))</f>
        <v>0</v>
      </c>
      <c r="H12" s="9">
        <f t="array" ref="H12">INDEX(Pub_Comps_Range,MATCH(H$5,Pub_Comps_Params,0),MATCH($C12,Pub_Comps_Tickers,0))</f>
        <v>1853.42</v>
      </c>
      <c r="I12" s="9">
        <f t="array" ref="I12">INDEX(Pub_Comps_Range,MATCH(I$5,Pub_Comps_Params,0),MATCH($C12,Pub_Comps_Tickers,0))</f>
        <v>1853.42</v>
      </c>
      <c r="J12" s="9">
        <f t="array" ref="J12">INDEX(Pub_Comps_Range,MATCH(J$5,Pub_Comps_Params,0),MATCH($C12,Pub_Comps_Tickers,0))</f>
        <v>0</v>
      </c>
      <c r="K12" s="9">
        <f t="array" ref="K12">INDEX(Pub_Comps_Range,MATCH(K$5,Pub_Comps_Params,0),MATCH($C12,Pub_Comps_Tickers,0))</f>
        <v>-7.65</v>
      </c>
      <c r="L12" s="9">
        <f t="array" ref="L12">INDEX(Pub_Comps_Range,MATCH(L$5,Pub_Comps_Params,0),MATCH($C12,Pub_Comps_Tickers,0))</f>
        <v>-7.65</v>
      </c>
      <c r="M12" s="9">
        <f t="array" ref="M12">INDEX(Pub_Comps_Range,MATCH(M$5,Pub_Comps_Params,0),MATCH($C12,Pub_Comps_Tickers,0))</f>
        <v>0</v>
      </c>
      <c r="N12" s="9">
        <f t="array" ref="N12">INDEX(Pub_Comps_Range,MATCH(N$5,Pub_Comps_Params,0),MATCH($C12,Pub_Comps_Tickers,0))</f>
        <v>226.37</v>
      </c>
      <c r="O12" s="9">
        <f t="array" ref="O12">INDEX(Pub_Comps_Range,MATCH(O$5,Pub_Comps_Params,0),MATCH($C12,Pub_Comps_Tickers,0))</f>
        <v>226.37</v>
      </c>
      <c r="P12" s="82">
        <f t="array" ref="P12">INDEX(Pub_Comps_Range,MATCH(P$5,Pub_Comps_Params,0),MATCH($C12,Pub_Comps_Tickers,0))</f>
        <v>0.2175695625</v>
      </c>
      <c r="Q12" s="82" t="str">
        <f t="array" ref="Q12">INDEX(Pub_Comps_Range,MATCH(Q$5,Pub_Comps_Params,0),MATCH($C12,Pub_Comps_Tickers,0))</f>
        <v>N/A</v>
      </c>
      <c r="R12" s="82" t="str">
        <f t="array" ref="R12">INDEX(Pub_Comps_Range,MATCH(R$5,Pub_Comps_Params,0),MATCH($C12,Pub_Comps_Tickers,0))</f>
        <v>N/A</v>
      </c>
      <c r="S12" s="82">
        <f t="array" ref="S12">INDEX(Pub_Comps_Range,MATCH(S$5,Pub_Comps_Params,0),MATCH($C12,Pub_Comps_Tickers,0))</f>
        <v>-0.004127504829</v>
      </c>
      <c r="T12" s="82">
        <f t="array" ref="T12">INDEX(Pub_Comps_Range,MATCH(T$5,Pub_Comps_Params,0),MATCH($C12,Pub_Comps_Tickers,0))</f>
        <v>-0.004127504829</v>
      </c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41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82"/>
      <c r="Q13" s="82"/>
      <c r="R13" s="82"/>
      <c r="S13" s="82"/>
      <c r="T13" s="82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41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2"/>
      <c r="Q14" s="82"/>
      <c r="R14" s="82"/>
      <c r="S14" s="82"/>
      <c r="T14" s="82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41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2"/>
      <c r="Q15" s="82"/>
      <c r="R15" s="82"/>
      <c r="S15" s="82"/>
      <c r="T15" s="82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41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2"/>
      <c r="Q16" s="82"/>
      <c r="R16" s="82"/>
      <c r="S16" s="82"/>
      <c r="T16" s="82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42" t="s">
        <v>264</v>
      </c>
      <c r="C18" s="143"/>
      <c r="D18" s="144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6"/>
      <c r="Q18" s="146"/>
      <c r="R18" s="146"/>
      <c r="S18" s="146"/>
      <c r="T18" s="147"/>
      <c r="U18" s="1"/>
      <c r="V18" s="1"/>
      <c r="W18" s="1"/>
      <c r="X18" s="1"/>
      <c r="Y18" s="1"/>
      <c r="Z18" s="1"/>
    </row>
    <row r="19" ht="15.75" customHeight="1">
      <c r="A19" s="1"/>
      <c r="B19" s="148" t="s">
        <v>265</v>
      </c>
      <c r="C19" s="1"/>
      <c r="D19" s="14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82"/>
      <c r="Q19" s="82"/>
      <c r="R19" s="82"/>
      <c r="S19" s="82"/>
      <c r="T19" s="149"/>
      <c r="U19" s="1"/>
      <c r="V19" s="1"/>
      <c r="W19" s="1"/>
      <c r="X19" s="1"/>
      <c r="Y19" s="1"/>
      <c r="Z19" s="1"/>
    </row>
    <row r="20" ht="15.75" customHeight="1">
      <c r="A20" s="1"/>
      <c r="B20" s="150" t="s">
        <v>266</v>
      </c>
      <c r="C20" s="151"/>
      <c r="D20" s="152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4"/>
      <c r="Q20" s="154"/>
      <c r="R20" s="154"/>
      <c r="S20" s="154"/>
      <c r="T20" s="155"/>
      <c r="U20" s="1"/>
      <c r="V20" s="1"/>
      <c r="W20" s="1"/>
      <c r="X20" s="1"/>
      <c r="Y20" s="1"/>
      <c r="Z20" s="1"/>
    </row>
    <row r="21" ht="15.75" customHeight="1">
      <c r="A21" s="1"/>
      <c r="B21" s="148" t="s">
        <v>267</v>
      </c>
      <c r="C21" s="6"/>
      <c r="D21" s="141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82"/>
      <c r="Q21" s="82"/>
      <c r="R21" s="82"/>
      <c r="S21" s="82"/>
      <c r="T21" s="149"/>
      <c r="U21" s="1"/>
      <c r="V21" s="1"/>
      <c r="W21" s="1"/>
      <c r="X21" s="1"/>
      <c r="Y21" s="1"/>
      <c r="Z21" s="1"/>
    </row>
    <row r="22" ht="15.75" customHeight="1">
      <c r="A22" s="1"/>
      <c r="B22" s="156" t="s">
        <v>268</v>
      </c>
      <c r="C22" s="157"/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60"/>
      <c r="Q22" s="160"/>
      <c r="R22" s="160"/>
      <c r="S22" s="160"/>
      <c r="T22" s="16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62" t="str">
        <f t="array" ref="B24">INDEX(Pub_Comps_Range,MATCH(B$5,Pub_Comps_Params,0),MATCH($C24,Pub_Comps_Tickers,0))</f>
        <v>#N/A</v>
      </c>
      <c r="C24" s="163" t="str">
        <f>Ticker</f>
        <v>JAZZ</v>
      </c>
      <c r="D24" s="164" t="str">
        <f t="array" ref="D24">INDEX(Pub_Comps_Range,MATCH(D$5,Pub_Comps_Params,0),MATCH($C24,Pub_Comps_Tickers,0))</f>
        <v>#N/A</v>
      </c>
      <c r="E24" s="165" t="str">
        <f t="array" ref="E24">INDEX(Pub_Comps_Range,MATCH(E$5,Pub_Comps_Params,0),MATCH($C24,Pub_Comps_Tickers,0))</f>
        <v>#N/A</v>
      </c>
      <c r="F24" s="165" t="str">
        <f t="array" ref="F24">INDEX(Pub_Comps_Range,MATCH(F$5,Pub_Comps_Params,0),MATCH($C24,Pub_Comps_Tickers,0))</f>
        <v>#N/A</v>
      </c>
      <c r="G24" s="165" t="str">
        <f t="array" ref="G24">INDEX(Pub_Comps_Range,MATCH(G$5,Pub_Comps_Params,0),MATCH($C24,Pub_Comps_Tickers,0))</f>
        <v>#N/A</v>
      </c>
      <c r="H24" s="165" t="str">
        <f t="array" ref="H24">INDEX(Pub_Comps_Range,MATCH(H$5,Pub_Comps_Params,0),MATCH($C24,Pub_Comps_Tickers,0))</f>
        <v>#N/A</v>
      </c>
      <c r="I24" s="165" t="str">
        <f t="array" ref="I24">INDEX(Pub_Comps_Range,MATCH(I$5,Pub_Comps_Params,0),MATCH($C24,Pub_Comps_Tickers,0))</f>
        <v>#N/A</v>
      </c>
      <c r="J24" s="165" t="str">
        <f t="array" ref="J24">INDEX(Pub_Comps_Range,MATCH(J$5,Pub_Comps_Params,0),MATCH($C24,Pub_Comps_Tickers,0))</f>
        <v>#N/A</v>
      </c>
      <c r="K24" s="165" t="str">
        <f t="array" ref="K24">INDEX(Pub_Comps_Range,MATCH(K$5,Pub_Comps_Params,0),MATCH($C24,Pub_Comps_Tickers,0))</f>
        <v>#N/A</v>
      </c>
      <c r="L24" s="165" t="str">
        <f t="array" ref="L24">INDEX(Pub_Comps_Range,MATCH(L$5,Pub_Comps_Params,0),MATCH($C24,Pub_Comps_Tickers,0))</f>
        <v>#N/A</v>
      </c>
      <c r="M24" s="165" t="str">
        <f t="array" ref="M24">INDEX(Pub_Comps_Range,MATCH(M$5,Pub_Comps_Params,0),MATCH($C24,Pub_Comps_Tickers,0))</f>
        <v>#N/A</v>
      </c>
      <c r="N24" s="165" t="str">
        <f t="array" ref="N24">INDEX(Pub_Comps_Range,MATCH(N$5,Pub_Comps_Params,0),MATCH($C24,Pub_Comps_Tickers,0))</f>
        <v>#N/A</v>
      </c>
      <c r="O24" s="165" t="str">
        <f t="array" ref="O24">INDEX(Pub_Comps_Range,MATCH(O$5,Pub_Comps_Params,0),MATCH($C24,Pub_Comps_Tickers,0))</f>
        <v>#N/A</v>
      </c>
      <c r="P24" s="166" t="str">
        <f t="array" ref="P24">INDEX(Pub_Comps_Range,MATCH(P$5,Pub_Comps_Params,0),MATCH($C24,Pub_Comps_Tickers,0))</f>
        <v>#N/A</v>
      </c>
      <c r="Q24" s="166" t="str">
        <f t="array" ref="Q24">INDEX(Pub_Comps_Range,MATCH(Q$5,Pub_Comps_Params,0),MATCH($C24,Pub_Comps_Tickers,0))</f>
        <v>#N/A</v>
      </c>
      <c r="R24" s="166" t="str">
        <f t="array" ref="R24">INDEX(Pub_Comps_Range,MATCH(R$5,Pub_Comps_Params,0),MATCH($C24,Pub_Comps_Tickers,0))</f>
        <v>#N/A</v>
      </c>
      <c r="S24" s="166" t="str">
        <f t="array" ref="S24">INDEX(Pub_Comps_Range,MATCH(S$5,Pub_Comps_Params,0),MATCH($C24,Pub_Comps_Tickers,0))</f>
        <v>#N/A</v>
      </c>
      <c r="T24" s="167" t="str">
        <f t="array" ref="T24">INDEX(Pub_Comps_Range,MATCH(T$5,Pub_Comps_Params,0),MATCH($C24,Pub_Comps_Tickers,0))</f>
        <v>#N/A</v>
      </c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 outlineLevel="1">
      <c r="A26" s="1"/>
      <c r="B26" s="127" t="str">
        <f>Public_Comps_Data!$B$2</f>
        <v>Company Name:</v>
      </c>
      <c r="C26" s="127"/>
      <c r="D26" s="128" t="str">
        <f>Public_Comps_Data!$B$48</f>
        <v>Share Price:</v>
      </c>
      <c r="E26" s="128" t="str">
        <f>Public_Comps_Data!$B$79</f>
        <v>Equity Value:</v>
      </c>
      <c r="F26" s="128" t="str">
        <f>Public_Comps_Data!$B$80</f>
        <v>Enterprise Value:</v>
      </c>
      <c r="G26" s="128" t="str">
        <f>Public_Comps_Data!$B$116</f>
        <v>12/30/1899 TEV / Revenue:</v>
      </c>
      <c r="H26" s="128" t="str">
        <f>Public_Comps_Data!$B$120</f>
        <v> TEV / Revenue:</v>
      </c>
      <c r="I26" s="128" t="str">
        <f>Public_Comps_Data!$B$124</f>
        <v> TEV / Revenue:</v>
      </c>
      <c r="J26" s="128" t="str">
        <f>Public_Comps_Data!$B$117</f>
        <v>12/30/1899 TEV / EBITDA:</v>
      </c>
      <c r="K26" s="128" t="str">
        <f>Public_Comps_Data!$B$121</f>
        <v> TEV / EBITDA:</v>
      </c>
      <c r="L26" s="128" t="str">
        <f>Public_Comps_Data!$B$125</f>
        <v> TEV / EBITDA:</v>
      </c>
      <c r="M26" s="128" t="str">
        <f>Public_Comps_Data!$B$118</f>
        <v>12/30/1899 Normalized P / E:</v>
      </c>
      <c r="N26" s="127" t="str">
        <f>Public_Comps_Data!$B$122</f>
        <v> Normalized P / E:</v>
      </c>
      <c r="O26" s="127" t="str">
        <f>Public_Comps_Data!$B$126</f>
        <v> Normalized P / E: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30" t="s">
        <v>269</v>
      </c>
      <c r="C27" s="130"/>
      <c r="D27" s="130"/>
      <c r="E27" s="131" t="s">
        <v>251</v>
      </c>
      <c r="F27" s="132"/>
      <c r="G27" s="131" t="s">
        <v>270</v>
      </c>
      <c r="H27" s="132"/>
      <c r="I27" s="132"/>
      <c r="J27" s="131" t="s">
        <v>270</v>
      </c>
      <c r="K27" s="132"/>
      <c r="L27" s="132"/>
      <c r="M27" s="133"/>
      <c r="N27" s="133"/>
      <c r="O27" s="13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33"/>
      <c r="C28" s="133"/>
      <c r="D28" s="134" t="s">
        <v>253</v>
      </c>
      <c r="E28" s="134" t="s">
        <v>254</v>
      </c>
      <c r="F28" s="134" t="s">
        <v>255</v>
      </c>
      <c r="G28" s="131" t="s">
        <v>256</v>
      </c>
      <c r="H28" s="132"/>
      <c r="I28" s="132"/>
      <c r="J28" s="131" t="s">
        <v>257</v>
      </c>
      <c r="K28" s="132"/>
      <c r="L28" s="132"/>
      <c r="M28" s="131" t="s">
        <v>271</v>
      </c>
      <c r="N28" s="132"/>
      <c r="O28" s="132"/>
      <c r="P28" s="71"/>
      <c r="Q28" s="71"/>
      <c r="R28" s="71"/>
      <c r="S28" s="71"/>
      <c r="T28" s="71"/>
      <c r="U28" s="1"/>
      <c r="V28" s="1"/>
      <c r="W28" s="1"/>
      <c r="X28" s="1"/>
      <c r="Y28" s="1"/>
      <c r="Z28" s="1"/>
    </row>
    <row r="29" ht="15.75" customHeight="1">
      <c r="A29" s="1"/>
      <c r="B29" s="137" t="s">
        <v>149</v>
      </c>
      <c r="C29" s="137"/>
      <c r="D29" s="138" t="s">
        <v>261</v>
      </c>
      <c r="E29" s="138" t="s">
        <v>262</v>
      </c>
      <c r="F29" s="138" t="s">
        <v>262</v>
      </c>
      <c r="G29" s="139" t="str">
        <f>Public_Comps_Data!$D$84</f>
        <v/>
      </c>
      <c r="H29" s="139" t="str">
        <f>Public_Comps_Data!$E$84</f>
        <v/>
      </c>
      <c r="I29" s="139" t="str">
        <f>Public_Comps_Data!$F$84</f>
        <v/>
      </c>
      <c r="J29" s="139" t="str">
        <f>Public_Comps_Data!$D$84</f>
        <v/>
      </c>
      <c r="K29" s="139" t="str">
        <f>Public_Comps_Data!$E$84</f>
        <v/>
      </c>
      <c r="L29" s="139" t="str">
        <f>Public_Comps_Data!$F$84</f>
        <v/>
      </c>
      <c r="M29" s="139" t="str">
        <f>Public_Comps_Data!$D$84</f>
        <v/>
      </c>
      <c r="N29" s="139" t="str">
        <f>Public_Comps_Data!$E$84</f>
        <v/>
      </c>
      <c r="O29" s="139" t="str">
        <f>Public_Comps_Data!$F$84</f>
        <v/>
      </c>
      <c r="P29" s="168"/>
      <c r="Q29" s="168"/>
      <c r="R29" s="168"/>
      <c r="S29" s="168"/>
      <c r="T29" s="168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40"/>
      <c r="E30" s="53"/>
      <c r="F30" s="53"/>
      <c r="G30" s="14"/>
      <c r="H30" s="14"/>
      <c r="I30" s="14"/>
      <c r="J30" s="14"/>
      <c r="K30" s="14"/>
      <c r="L30" s="14"/>
      <c r="M30" s="14"/>
      <c r="N30" s="14"/>
      <c r="O30" s="1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41"/>
      <c r="E31" s="9"/>
      <c r="F31" s="9"/>
      <c r="G31" s="14"/>
      <c r="H31" s="14"/>
      <c r="I31" s="14"/>
      <c r="J31" s="14"/>
      <c r="K31" s="14"/>
      <c r="L31" s="14"/>
      <c r="M31" s="14"/>
      <c r="N31" s="14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41"/>
      <c r="E32" s="9"/>
      <c r="F32" s="9"/>
      <c r="G32" s="14"/>
      <c r="H32" s="14"/>
      <c r="I32" s="14"/>
      <c r="J32" s="14"/>
      <c r="K32" s="14"/>
      <c r="L32" s="14"/>
      <c r="M32" s="14"/>
      <c r="N32" s="14"/>
      <c r="O32" s="1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 t="str">
        <f t="array" ref="B33">INDEX(Pub_Comps_Range,MATCH(B$26,Pub_Comps_Params,0),MATCH($C33,Pub_Comps_Tickers,0))</f>
        <v>BioMarin Pharmaceutical Inc.</v>
      </c>
      <c r="C33" s="1" t="str">
        <f>C12</f>
        <v>BMRN</v>
      </c>
      <c r="D33" s="141"/>
      <c r="E33" s="9"/>
      <c r="F33" s="9"/>
      <c r="G33" s="14"/>
      <c r="H33" s="14"/>
      <c r="I33" s="14"/>
      <c r="J33" s="14"/>
      <c r="K33" s="14"/>
      <c r="L33" s="14"/>
      <c r="M33" s="14"/>
      <c r="N33" s="14"/>
      <c r="O33" s="1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41"/>
      <c r="E34" s="9"/>
      <c r="F34" s="9"/>
      <c r="G34" s="14"/>
      <c r="H34" s="14"/>
      <c r="I34" s="14"/>
      <c r="J34" s="14"/>
      <c r="K34" s="14"/>
      <c r="L34" s="14"/>
      <c r="M34" s="14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41"/>
      <c r="E35" s="9"/>
      <c r="F35" s="9"/>
      <c r="G35" s="14"/>
      <c r="H35" s="14"/>
      <c r="I35" s="14"/>
      <c r="J35" s="14"/>
      <c r="K35" s="14"/>
      <c r="L35" s="14"/>
      <c r="M35" s="14"/>
      <c r="N35" s="14"/>
      <c r="O35" s="1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41"/>
      <c r="E36" s="9"/>
      <c r="F36" s="9"/>
      <c r="G36" s="14"/>
      <c r="H36" s="14"/>
      <c r="I36" s="14"/>
      <c r="J36" s="14"/>
      <c r="K36" s="14"/>
      <c r="L36" s="14"/>
      <c r="M36" s="14"/>
      <c r="N36" s="14"/>
      <c r="O36" s="1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41"/>
      <c r="E37" s="9"/>
      <c r="F37" s="9"/>
      <c r="G37" s="14"/>
      <c r="H37" s="14"/>
      <c r="I37" s="14"/>
      <c r="J37" s="14"/>
      <c r="K37" s="14"/>
      <c r="L37" s="14"/>
      <c r="M37" s="14"/>
      <c r="N37" s="14"/>
      <c r="O37" s="1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42" t="s">
        <v>264</v>
      </c>
      <c r="C39" s="143"/>
      <c r="D39" s="144"/>
      <c r="E39" s="145"/>
      <c r="F39" s="145"/>
      <c r="G39" s="169"/>
      <c r="H39" s="169"/>
      <c r="I39" s="169"/>
      <c r="J39" s="169"/>
      <c r="K39" s="169"/>
      <c r="L39" s="169"/>
      <c r="M39" s="169"/>
      <c r="N39" s="169"/>
      <c r="O39" s="17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48" t="s">
        <v>265</v>
      </c>
      <c r="C40" s="1"/>
      <c r="D40" s="141"/>
      <c r="E40" s="9"/>
      <c r="F40" s="9"/>
      <c r="G40" s="14"/>
      <c r="H40" s="14"/>
      <c r="I40" s="14"/>
      <c r="J40" s="14"/>
      <c r="K40" s="14"/>
      <c r="L40" s="14"/>
      <c r="M40" s="14"/>
      <c r="N40" s="14"/>
      <c r="O40" s="17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50" t="s">
        <v>266</v>
      </c>
      <c r="C41" s="151"/>
      <c r="D41" s="152"/>
      <c r="E41" s="153"/>
      <c r="F41" s="153"/>
      <c r="G41" s="172"/>
      <c r="H41" s="172"/>
      <c r="I41" s="172"/>
      <c r="J41" s="172"/>
      <c r="K41" s="172"/>
      <c r="L41" s="172"/>
      <c r="M41" s="172"/>
      <c r="N41" s="172"/>
      <c r="O41" s="17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48" t="s">
        <v>267</v>
      </c>
      <c r="C42" s="6"/>
      <c r="D42" s="141"/>
      <c r="E42" s="9"/>
      <c r="F42" s="9"/>
      <c r="G42" s="14"/>
      <c r="H42" s="14"/>
      <c r="I42" s="14"/>
      <c r="J42" s="14"/>
      <c r="K42" s="14"/>
      <c r="L42" s="14"/>
      <c r="M42" s="14"/>
      <c r="N42" s="14"/>
      <c r="O42" s="17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56" t="s">
        <v>268</v>
      </c>
      <c r="C43" s="157"/>
      <c r="D43" s="158"/>
      <c r="E43" s="159"/>
      <c r="F43" s="159"/>
      <c r="G43" s="174"/>
      <c r="H43" s="174"/>
      <c r="I43" s="174"/>
      <c r="J43" s="174"/>
      <c r="K43" s="174"/>
      <c r="L43" s="174"/>
      <c r="M43" s="174"/>
      <c r="N43" s="174"/>
      <c r="O43" s="17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62"/>
      <c r="C45" s="176"/>
      <c r="D45" s="164"/>
      <c r="E45" s="165"/>
      <c r="F45" s="165"/>
      <c r="G45" s="177"/>
      <c r="H45" s="177"/>
      <c r="I45" s="177"/>
      <c r="J45" s="177"/>
      <c r="K45" s="177"/>
      <c r="L45" s="177"/>
      <c r="M45" s="177"/>
      <c r="N45" s="177"/>
      <c r="O45" s="17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7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9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G27:I27"/>
    <mergeCell ref="G28:I28"/>
    <mergeCell ref="J28:L28"/>
    <mergeCell ref="M28:O28"/>
    <mergeCell ref="E6:F6"/>
    <mergeCell ref="G7:I7"/>
    <mergeCell ref="J7:L7"/>
    <mergeCell ref="M7:O7"/>
    <mergeCell ref="R7:T7"/>
    <mergeCell ref="E27:F27"/>
    <mergeCell ref="J27:L27"/>
  </mergeCells>
  <printOptions/>
  <pageMargins bottom="1.0" footer="0.0" header="0.0" left="0.75" right="0.75" top="1.0"/>
  <pageSetup scale="35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3.0" ySplit="5.0" topLeftCell="D6" activePane="bottomRight" state="frozen"/>
      <selection activeCell="D1" sqref="D1" pane="topRight"/>
      <selection activeCell="A6" sqref="A6" pane="bottomLeft"/>
      <selection activeCell="D6" sqref="D6" pane="bottomRight"/>
    </sheetView>
  </sheetViews>
  <sheetFormatPr customHeight="1" defaultColWidth="14.43" defaultRowHeight="15.0"/>
  <cols>
    <col customWidth="1" min="1" max="1" width="2.71"/>
    <col customWidth="1" min="2" max="2" width="26.14"/>
    <col customWidth="1" min="3" max="3" width="11.86"/>
    <col customWidth="1" min="4" max="42" width="12.71"/>
  </cols>
  <sheetData>
    <row r="1" ht="15.75" customHeight="1">
      <c r="A1" s="180"/>
      <c r="B1" s="84" t="s">
        <v>5</v>
      </c>
      <c r="C1" s="181"/>
      <c r="D1" s="182"/>
      <c r="E1" s="183"/>
      <c r="F1" s="184"/>
      <c r="G1" s="185"/>
      <c r="H1" s="1"/>
      <c r="I1" s="182"/>
      <c r="J1" s="183"/>
      <c r="K1" s="184"/>
      <c r="L1" s="185"/>
      <c r="M1" s="1"/>
      <c r="N1" s="182"/>
      <c r="O1" s="183"/>
      <c r="P1" s="184"/>
      <c r="Q1" s="185"/>
      <c r="R1" s="1"/>
      <c r="S1" s="182"/>
      <c r="T1" s="183"/>
      <c r="U1" s="184"/>
      <c r="V1" s="185" t="s">
        <v>202</v>
      </c>
      <c r="W1" s="1"/>
      <c r="X1" s="182"/>
      <c r="Y1" s="183"/>
      <c r="Z1" s="184"/>
      <c r="AA1" s="185"/>
      <c r="AB1" s="1"/>
      <c r="AC1" s="182"/>
      <c r="AD1" s="183"/>
      <c r="AE1" s="184"/>
      <c r="AF1" s="185"/>
      <c r="AG1" s="1"/>
      <c r="AH1" s="182"/>
      <c r="AI1" s="183"/>
      <c r="AJ1" s="184"/>
      <c r="AK1" s="185"/>
      <c r="AL1" s="1"/>
      <c r="AM1" s="182"/>
      <c r="AN1" s="183"/>
      <c r="AO1" s="184"/>
      <c r="AP1" s="185"/>
    </row>
    <row r="2" ht="15.75" customHeight="1">
      <c r="A2" s="180"/>
      <c r="B2" s="84" t="s">
        <v>2</v>
      </c>
      <c r="C2" s="181"/>
      <c r="D2" s="186"/>
      <c r="E2" s="187"/>
      <c r="F2" s="188"/>
      <c r="G2" s="189"/>
      <c r="H2" s="1"/>
      <c r="I2" s="186"/>
      <c r="J2" s="187"/>
      <c r="K2" s="188"/>
      <c r="L2" s="189"/>
      <c r="M2" s="1"/>
      <c r="N2" s="186"/>
      <c r="O2" s="187"/>
      <c r="P2" s="188"/>
      <c r="Q2" s="189"/>
      <c r="R2" s="1"/>
      <c r="S2" s="186"/>
      <c r="T2" s="187"/>
      <c r="U2" s="188"/>
      <c r="V2" s="189" t="s">
        <v>272</v>
      </c>
      <c r="W2" s="1"/>
      <c r="X2" s="186"/>
      <c r="Y2" s="187"/>
      <c r="Z2" s="188"/>
      <c r="AA2" s="189"/>
      <c r="AB2" s="1"/>
      <c r="AC2" s="186"/>
      <c r="AD2" s="187"/>
      <c r="AE2" s="188"/>
      <c r="AF2" s="189"/>
      <c r="AG2" s="1"/>
      <c r="AH2" s="186"/>
      <c r="AI2" s="187"/>
      <c r="AJ2" s="188"/>
      <c r="AK2" s="189"/>
      <c r="AL2" s="1"/>
      <c r="AM2" s="186"/>
      <c r="AN2" s="187"/>
      <c r="AO2" s="188"/>
      <c r="AP2" s="189"/>
    </row>
    <row r="3" ht="15.75" customHeight="1">
      <c r="A3" s="180"/>
      <c r="B3" s="181"/>
      <c r="C3" s="181"/>
      <c r="D3" s="190"/>
      <c r="E3" s="191"/>
      <c r="F3" s="191"/>
      <c r="G3" s="192"/>
      <c r="H3" s="1"/>
      <c r="I3" s="190"/>
      <c r="J3" s="191"/>
      <c r="K3" s="191"/>
      <c r="L3" s="192"/>
      <c r="M3" s="1"/>
      <c r="N3" s="190"/>
      <c r="O3" s="191"/>
      <c r="P3" s="191"/>
      <c r="Q3" s="192"/>
      <c r="R3" s="1"/>
      <c r="S3" s="193" t="s">
        <v>273</v>
      </c>
      <c r="T3" s="132"/>
      <c r="U3" s="132"/>
      <c r="V3" s="194"/>
      <c r="W3" s="1"/>
      <c r="X3" s="190"/>
      <c r="Y3" s="191"/>
      <c r="Z3" s="191"/>
      <c r="AA3" s="192"/>
      <c r="AB3" s="1"/>
      <c r="AC3" s="190"/>
      <c r="AD3" s="191"/>
      <c r="AE3" s="191"/>
      <c r="AF3" s="192"/>
      <c r="AG3" s="1"/>
      <c r="AH3" s="190"/>
      <c r="AI3" s="191"/>
      <c r="AJ3" s="191"/>
      <c r="AK3" s="192"/>
      <c r="AL3" s="1"/>
      <c r="AM3" s="190"/>
      <c r="AN3" s="191"/>
      <c r="AO3" s="191"/>
      <c r="AP3" s="192"/>
    </row>
    <row r="4" ht="15.75" customHeight="1">
      <c r="A4" s="180"/>
      <c r="B4" s="181"/>
      <c r="C4" s="181"/>
      <c r="D4" s="195"/>
      <c r="E4" s="196"/>
      <c r="F4" s="197"/>
      <c r="G4" s="198"/>
      <c r="H4" s="1"/>
      <c r="I4" s="195"/>
      <c r="J4" s="196"/>
      <c r="K4" s="197"/>
      <c r="L4" s="198"/>
      <c r="M4" s="1"/>
      <c r="N4" s="195"/>
      <c r="O4" s="196"/>
      <c r="P4" s="197"/>
      <c r="Q4" s="198"/>
      <c r="R4" s="1"/>
      <c r="S4" s="195">
        <v>44012.0</v>
      </c>
      <c r="T4" s="196">
        <v>44377.0</v>
      </c>
      <c r="U4" s="197">
        <v>44196.0</v>
      </c>
      <c r="V4" s="198">
        <f>T4</f>
        <v>44377</v>
      </c>
      <c r="W4" s="1"/>
      <c r="X4" s="195"/>
      <c r="Y4" s="196"/>
      <c r="Z4" s="197"/>
      <c r="AA4" s="198"/>
      <c r="AB4" s="1"/>
      <c r="AC4" s="195"/>
      <c r="AD4" s="196"/>
      <c r="AE4" s="197"/>
      <c r="AF4" s="198"/>
      <c r="AG4" s="1"/>
      <c r="AH4" s="195"/>
      <c r="AI4" s="196"/>
      <c r="AJ4" s="197"/>
      <c r="AK4" s="198"/>
      <c r="AL4" s="1"/>
      <c r="AM4" s="195"/>
      <c r="AN4" s="196"/>
      <c r="AO4" s="197"/>
      <c r="AP4" s="198"/>
    </row>
    <row r="5" ht="15.75" customHeight="1">
      <c r="A5" s="180"/>
      <c r="B5" s="181"/>
      <c r="C5" s="181"/>
      <c r="D5" s="199"/>
      <c r="E5" s="200"/>
      <c r="F5" s="201"/>
      <c r="G5" s="202"/>
      <c r="H5" s="1"/>
      <c r="I5" s="203"/>
      <c r="J5" s="204"/>
      <c r="K5" s="205"/>
      <c r="L5" s="206"/>
      <c r="M5" s="1"/>
      <c r="N5" s="203"/>
      <c r="O5" s="204"/>
      <c r="P5" s="205"/>
      <c r="Q5" s="206"/>
      <c r="R5" s="1"/>
      <c r="S5" s="203" t="s">
        <v>274</v>
      </c>
      <c r="T5" s="204" t="s">
        <v>275</v>
      </c>
      <c r="U5" s="205" t="s">
        <v>276</v>
      </c>
      <c r="V5" s="206" t="s">
        <v>277</v>
      </c>
      <c r="W5" s="1"/>
      <c r="X5" s="203"/>
      <c r="Y5" s="204"/>
      <c r="Z5" s="205"/>
      <c r="AA5" s="206"/>
      <c r="AB5" s="1"/>
      <c r="AC5" s="203"/>
      <c r="AD5" s="204"/>
      <c r="AE5" s="205"/>
      <c r="AF5" s="206"/>
      <c r="AG5" s="1"/>
      <c r="AH5" s="203"/>
      <c r="AI5" s="204"/>
      <c r="AJ5" s="205"/>
      <c r="AK5" s="206"/>
      <c r="AL5" s="1"/>
      <c r="AM5" s="203"/>
      <c r="AN5" s="204"/>
      <c r="AO5" s="205"/>
      <c r="AP5" s="206"/>
    </row>
    <row r="6" ht="15.75" customHeight="1">
      <c r="A6" s="180"/>
      <c r="B6" s="84" t="s">
        <v>278</v>
      </c>
      <c r="C6" s="181"/>
      <c r="D6" s="207"/>
      <c r="E6" s="60"/>
      <c r="F6" s="208"/>
      <c r="G6" s="209"/>
      <c r="H6" s="1"/>
      <c r="I6" s="210"/>
      <c r="J6" s="208"/>
      <c r="K6" s="208"/>
      <c r="L6" s="209"/>
      <c r="M6" s="1"/>
      <c r="N6" s="210"/>
      <c r="O6" s="208"/>
      <c r="P6" s="208"/>
      <c r="Q6" s="209"/>
      <c r="R6" s="1"/>
      <c r="S6" s="210"/>
      <c r="T6" s="208"/>
      <c r="U6" s="208"/>
      <c r="V6" s="209">
        <f>U6+T6-S6</f>
        <v>0</v>
      </c>
      <c r="W6" s="1"/>
      <c r="X6" s="210"/>
      <c r="Y6" s="208"/>
      <c r="Z6" s="208"/>
      <c r="AA6" s="209"/>
      <c r="AB6" s="1"/>
      <c r="AC6" s="210"/>
      <c r="AD6" s="208"/>
      <c r="AE6" s="208"/>
      <c r="AF6" s="209"/>
      <c r="AG6" s="1"/>
      <c r="AH6" s="210"/>
      <c r="AI6" s="208"/>
      <c r="AJ6" s="208"/>
      <c r="AK6" s="209"/>
      <c r="AL6" s="1"/>
      <c r="AM6" s="210"/>
      <c r="AN6" s="208"/>
      <c r="AO6" s="208"/>
      <c r="AP6" s="209"/>
    </row>
    <row r="7" ht="15.75" customHeight="1">
      <c r="A7" s="180"/>
      <c r="B7" s="181"/>
      <c r="C7" s="181"/>
      <c r="D7" s="211"/>
      <c r="E7" s="212"/>
      <c r="F7" s="212"/>
      <c r="G7" s="213"/>
      <c r="H7" s="1"/>
      <c r="I7" s="214"/>
      <c r="J7" s="215"/>
      <c r="K7" s="215"/>
      <c r="L7" s="216"/>
      <c r="M7" s="1"/>
      <c r="N7" s="214"/>
      <c r="O7" s="215"/>
      <c r="P7" s="215"/>
      <c r="Q7" s="216"/>
      <c r="R7" s="1"/>
      <c r="S7" s="214"/>
      <c r="T7" s="215"/>
      <c r="U7" s="215"/>
      <c r="V7" s="216"/>
      <c r="W7" s="1"/>
      <c r="X7" s="214"/>
      <c r="Y7" s="215"/>
      <c r="Z7" s="215"/>
      <c r="AA7" s="216"/>
      <c r="AB7" s="1"/>
      <c r="AC7" s="214"/>
      <c r="AD7" s="215"/>
      <c r="AE7" s="215"/>
      <c r="AF7" s="216"/>
      <c r="AG7" s="1"/>
      <c r="AH7" s="214"/>
      <c r="AI7" s="215"/>
      <c r="AJ7" s="215"/>
      <c r="AK7" s="216"/>
      <c r="AL7" s="1"/>
      <c r="AM7" s="214"/>
      <c r="AN7" s="215"/>
      <c r="AO7" s="215"/>
      <c r="AP7" s="216"/>
    </row>
    <row r="8" ht="15.75" customHeight="1">
      <c r="A8" s="180"/>
      <c r="B8" s="84" t="s">
        <v>279</v>
      </c>
      <c r="C8" s="181"/>
      <c r="D8" s="214"/>
      <c r="E8" s="215"/>
      <c r="F8" s="19"/>
      <c r="G8" s="217"/>
      <c r="H8" s="1"/>
      <c r="I8" s="218"/>
      <c r="J8" s="219"/>
      <c r="K8" s="220"/>
      <c r="L8" s="221"/>
      <c r="M8" s="1"/>
      <c r="N8" s="218"/>
      <c r="O8" s="220"/>
      <c r="P8" s="220"/>
      <c r="Q8" s="221"/>
      <c r="R8" s="1"/>
      <c r="S8" s="218"/>
      <c r="T8" s="220"/>
      <c r="U8" s="220"/>
      <c r="V8" s="221">
        <f t="shared" ref="V8:V10" si="1">U8+T8-S8</f>
        <v>0</v>
      </c>
      <c r="W8" s="1"/>
      <c r="X8" s="218"/>
      <c r="Y8" s="220"/>
      <c r="Z8" s="220"/>
      <c r="AA8" s="222"/>
      <c r="AB8" s="1"/>
      <c r="AC8" s="218"/>
      <c r="AD8" s="220"/>
      <c r="AE8" s="220"/>
      <c r="AF8" s="222"/>
      <c r="AG8" s="1"/>
      <c r="AH8" s="218"/>
      <c r="AI8" s="220"/>
      <c r="AJ8" s="220"/>
      <c r="AK8" s="221"/>
      <c r="AL8" s="1"/>
      <c r="AM8" s="218"/>
      <c r="AN8" s="220"/>
      <c r="AO8" s="220"/>
      <c r="AP8" s="221"/>
    </row>
    <row r="9" ht="15.75" customHeight="1">
      <c r="A9" s="180"/>
      <c r="B9" s="42" t="s">
        <v>280</v>
      </c>
      <c r="C9" s="223"/>
      <c r="D9" s="214"/>
      <c r="E9" s="215"/>
      <c r="F9" s="9"/>
      <c r="G9" s="217"/>
      <c r="H9" s="1"/>
      <c r="I9" s="218"/>
      <c r="J9" s="220"/>
      <c r="K9" s="220"/>
      <c r="L9" s="221"/>
      <c r="M9" s="1"/>
      <c r="N9" s="218"/>
      <c r="O9" s="220"/>
      <c r="P9" s="220"/>
      <c r="Q9" s="221"/>
      <c r="R9" s="1"/>
      <c r="S9" s="218"/>
      <c r="T9" s="220"/>
      <c r="U9" s="220"/>
      <c r="V9" s="221">
        <f t="shared" si="1"/>
        <v>0</v>
      </c>
      <c r="W9" s="1"/>
      <c r="X9" s="218"/>
      <c r="Y9" s="220"/>
      <c r="Z9" s="220"/>
      <c r="AA9" s="222"/>
      <c r="AB9" s="1"/>
      <c r="AC9" s="218"/>
      <c r="AD9" s="219"/>
      <c r="AE9" s="220"/>
      <c r="AF9" s="222"/>
      <c r="AG9" s="1"/>
      <c r="AH9" s="218"/>
      <c r="AI9" s="220"/>
      <c r="AJ9" s="220"/>
      <c r="AK9" s="221"/>
      <c r="AL9" s="1"/>
      <c r="AM9" s="218"/>
      <c r="AN9" s="220"/>
      <c r="AO9" s="220"/>
      <c r="AP9" s="221"/>
    </row>
    <row r="10" ht="15.75" customHeight="1">
      <c r="A10" s="180"/>
      <c r="B10" s="42" t="s">
        <v>281</v>
      </c>
      <c r="C10" s="223"/>
      <c r="D10" s="214"/>
      <c r="E10" s="215"/>
      <c r="F10" s="19"/>
      <c r="G10" s="217"/>
      <c r="H10" s="1"/>
      <c r="I10" s="218"/>
      <c r="J10" s="220"/>
      <c r="K10" s="220"/>
      <c r="L10" s="221"/>
      <c r="M10" s="1"/>
      <c r="N10" s="224"/>
      <c r="O10" s="219"/>
      <c r="P10" s="219"/>
      <c r="Q10" s="221"/>
      <c r="R10" s="1"/>
      <c r="S10" s="218"/>
      <c r="T10" s="220"/>
      <c r="U10" s="220"/>
      <c r="V10" s="221">
        <f t="shared" si="1"/>
        <v>0</v>
      </c>
      <c r="W10" s="1"/>
      <c r="X10" s="218"/>
      <c r="Y10" s="220"/>
      <c r="Z10" s="220"/>
      <c r="AA10" s="222"/>
      <c r="AB10" s="1"/>
      <c r="AC10" s="218"/>
      <c r="AD10" s="220"/>
      <c r="AE10" s="220"/>
      <c r="AF10" s="222"/>
      <c r="AG10" s="1"/>
      <c r="AH10" s="218"/>
      <c r="AI10" s="220"/>
      <c r="AJ10" s="220"/>
      <c r="AK10" s="221"/>
      <c r="AL10" s="1"/>
      <c r="AM10" s="218"/>
      <c r="AN10" s="220"/>
      <c r="AO10" s="220"/>
      <c r="AP10" s="221"/>
    </row>
    <row r="11" ht="15.75" customHeight="1">
      <c r="A11" s="180"/>
      <c r="B11" s="225" t="s">
        <v>282</v>
      </c>
      <c r="C11" s="226"/>
      <c r="D11" s="227"/>
      <c r="E11" s="228"/>
      <c r="F11" s="229"/>
      <c r="G11" s="230"/>
      <c r="H11" s="1"/>
      <c r="I11" s="231"/>
      <c r="J11" s="229"/>
      <c r="K11" s="229"/>
      <c r="L11" s="232"/>
      <c r="M11" s="1"/>
      <c r="N11" s="231"/>
      <c r="O11" s="229"/>
      <c r="P11" s="229"/>
      <c r="Q11" s="232"/>
      <c r="R11" s="1"/>
      <c r="S11" s="231"/>
      <c r="T11" s="229"/>
      <c r="U11" s="229"/>
      <c r="V11" s="232">
        <f>SUM(V8:V10)</f>
        <v>0</v>
      </c>
      <c r="W11" s="1"/>
      <c r="X11" s="231"/>
      <c r="Y11" s="229"/>
      <c r="Z11" s="229"/>
      <c r="AA11" s="232"/>
      <c r="AB11" s="1"/>
      <c r="AC11" s="231"/>
      <c r="AD11" s="229"/>
      <c r="AE11" s="229"/>
      <c r="AF11" s="232"/>
      <c r="AG11" s="1"/>
      <c r="AH11" s="231"/>
      <c r="AI11" s="229"/>
      <c r="AJ11" s="229"/>
      <c r="AK11" s="232"/>
      <c r="AL11" s="1"/>
      <c r="AM11" s="231"/>
      <c r="AN11" s="229"/>
      <c r="AO11" s="229"/>
      <c r="AP11" s="232"/>
    </row>
    <row r="12" ht="15.75" customHeight="1">
      <c r="A12" s="180"/>
      <c r="B12" s="223"/>
      <c r="C12" s="223"/>
      <c r="D12" s="233"/>
      <c r="E12" s="234"/>
      <c r="F12" s="234"/>
      <c r="G12" s="235"/>
      <c r="H12" s="1"/>
      <c r="I12" s="236"/>
      <c r="J12" s="19"/>
      <c r="K12" s="19"/>
      <c r="L12" s="222"/>
      <c r="M12" s="1"/>
      <c r="N12" s="236"/>
      <c r="O12" s="19"/>
      <c r="P12" s="19"/>
      <c r="Q12" s="222"/>
      <c r="R12" s="1"/>
      <c r="S12" s="236"/>
      <c r="T12" s="19"/>
      <c r="U12" s="19"/>
      <c r="V12" s="222"/>
      <c r="W12" s="1"/>
      <c r="X12" s="236"/>
      <c r="Y12" s="19"/>
      <c r="Z12" s="19"/>
      <c r="AA12" s="222"/>
      <c r="AB12" s="1"/>
      <c r="AC12" s="236"/>
      <c r="AD12" s="19"/>
      <c r="AE12" s="19"/>
      <c r="AF12" s="222"/>
      <c r="AG12" s="1"/>
      <c r="AH12" s="236"/>
      <c r="AI12" s="19"/>
      <c r="AJ12" s="19"/>
      <c r="AK12" s="222"/>
      <c r="AL12" s="1"/>
      <c r="AM12" s="236"/>
      <c r="AN12" s="19"/>
      <c r="AO12" s="19"/>
      <c r="AP12" s="222"/>
    </row>
    <row r="13" ht="15.75" customHeight="1">
      <c r="A13" s="180"/>
      <c r="B13" s="84" t="s">
        <v>283</v>
      </c>
      <c r="C13" s="223"/>
      <c r="D13" s="237"/>
      <c r="E13" s="238"/>
      <c r="F13" s="220"/>
      <c r="G13" s="221"/>
      <c r="H13" s="1"/>
      <c r="I13" s="218"/>
      <c r="J13" s="220"/>
      <c r="K13" s="220"/>
      <c r="L13" s="221"/>
      <c r="M13" s="1"/>
      <c r="N13" s="224"/>
      <c r="O13" s="219"/>
      <c r="P13" s="220"/>
      <c r="Q13" s="221"/>
      <c r="R13" s="1"/>
      <c r="S13" s="218"/>
      <c r="T13" s="220"/>
      <c r="U13" s="220"/>
      <c r="V13" s="221">
        <f t="shared" ref="V13:V17" si="2">U13+T13-S13</f>
        <v>0</v>
      </c>
      <c r="W13" s="1"/>
      <c r="X13" s="218"/>
      <c r="Y13" s="220"/>
      <c r="Z13" s="220"/>
      <c r="AA13" s="221"/>
      <c r="AB13" s="1"/>
      <c r="AC13" s="218"/>
      <c r="AD13" s="220"/>
      <c r="AE13" s="220"/>
      <c r="AF13" s="221"/>
      <c r="AG13" s="1"/>
      <c r="AH13" s="218"/>
      <c r="AI13" s="220"/>
      <c r="AJ13" s="220"/>
      <c r="AK13" s="221"/>
      <c r="AL13" s="1"/>
      <c r="AM13" s="218"/>
      <c r="AN13" s="220"/>
      <c r="AO13" s="220"/>
      <c r="AP13" s="221"/>
    </row>
    <row r="14" ht="15.75" customHeight="1">
      <c r="A14" s="180"/>
      <c r="B14" s="59" t="s">
        <v>280</v>
      </c>
      <c r="C14" s="223"/>
      <c r="D14" s="237"/>
      <c r="E14" s="238"/>
      <c r="F14" s="219"/>
      <c r="G14" s="221"/>
      <c r="H14" s="1"/>
      <c r="I14" s="224"/>
      <c r="J14" s="219"/>
      <c r="K14" s="219"/>
      <c r="L14" s="221"/>
      <c r="M14" s="1"/>
      <c r="N14" s="218"/>
      <c r="O14" s="220"/>
      <c r="P14" s="220"/>
      <c r="Q14" s="221"/>
      <c r="R14" s="1"/>
      <c r="S14" s="224"/>
      <c r="T14" s="219"/>
      <c r="U14" s="219"/>
      <c r="V14" s="221">
        <f t="shared" si="2"/>
        <v>0</v>
      </c>
      <c r="W14" s="1"/>
      <c r="X14" s="224"/>
      <c r="Y14" s="219"/>
      <c r="Z14" s="219"/>
      <c r="AA14" s="221"/>
      <c r="AB14" s="1"/>
      <c r="AC14" s="224"/>
      <c r="AD14" s="219"/>
      <c r="AE14" s="219"/>
      <c r="AF14" s="221"/>
      <c r="AG14" s="1"/>
      <c r="AH14" s="224"/>
      <c r="AI14" s="219"/>
      <c r="AJ14" s="219"/>
      <c r="AK14" s="221"/>
      <c r="AL14" s="1"/>
      <c r="AM14" s="224"/>
      <c r="AN14" s="219"/>
      <c r="AO14" s="219"/>
      <c r="AP14" s="221"/>
    </row>
    <row r="15" ht="15.75" customHeight="1">
      <c r="A15" s="180"/>
      <c r="B15" s="59" t="s">
        <v>284</v>
      </c>
      <c r="C15" s="223"/>
      <c r="D15" s="237"/>
      <c r="E15" s="238"/>
      <c r="F15" s="220"/>
      <c r="G15" s="221"/>
      <c r="H15" s="1"/>
      <c r="I15" s="218"/>
      <c r="J15" s="220"/>
      <c r="K15" s="220"/>
      <c r="L15" s="221"/>
      <c r="M15" s="1"/>
      <c r="N15" s="218"/>
      <c r="O15" s="218"/>
      <c r="P15" s="218"/>
      <c r="Q15" s="221"/>
      <c r="R15" s="1"/>
      <c r="S15" s="224"/>
      <c r="T15" s="219"/>
      <c r="U15" s="219"/>
      <c r="V15" s="221">
        <f t="shared" si="2"/>
        <v>0</v>
      </c>
      <c r="W15" s="1"/>
      <c r="X15" s="218"/>
      <c r="Y15" s="220"/>
      <c r="Z15" s="220"/>
      <c r="AA15" s="221"/>
      <c r="AB15" s="1"/>
      <c r="AC15" s="218"/>
      <c r="AD15" s="220"/>
      <c r="AE15" s="220"/>
      <c r="AF15" s="221"/>
      <c r="AG15" s="1"/>
      <c r="AH15" s="218"/>
      <c r="AI15" s="220"/>
      <c r="AJ15" s="220"/>
      <c r="AK15" s="221"/>
      <c r="AL15" s="1"/>
      <c r="AM15" s="224"/>
      <c r="AN15" s="219"/>
      <c r="AO15" s="219"/>
      <c r="AP15" s="221"/>
    </row>
    <row r="16" ht="15.75" customHeight="1">
      <c r="A16" s="180"/>
      <c r="B16" s="59" t="s">
        <v>285</v>
      </c>
      <c r="C16" s="223"/>
      <c r="D16" s="237"/>
      <c r="E16" s="238"/>
      <c r="F16" s="220"/>
      <c r="G16" s="221"/>
      <c r="H16" s="1"/>
      <c r="I16" s="218"/>
      <c r="J16" s="220"/>
      <c r="K16" s="220"/>
      <c r="L16" s="221"/>
      <c r="M16" s="1"/>
      <c r="N16" s="218"/>
      <c r="O16" s="220"/>
      <c r="P16" s="220"/>
      <c r="Q16" s="221"/>
      <c r="R16" s="1"/>
      <c r="S16" s="224"/>
      <c r="T16" s="219"/>
      <c r="U16" s="219"/>
      <c r="V16" s="221">
        <f t="shared" si="2"/>
        <v>0</v>
      </c>
      <c r="W16" s="1"/>
      <c r="X16" s="218"/>
      <c r="Y16" s="220"/>
      <c r="Z16" s="220"/>
      <c r="AA16" s="221"/>
      <c r="AB16" s="1"/>
      <c r="AC16" s="218"/>
      <c r="AD16" s="220"/>
      <c r="AE16" s="220"/>
      <c r="AF16" s="221"/>
      <c r="AG16" s="1"/>
      <c r="AH16" s="218"/>
      <c r="AI16" s="220"/>
      <c r="AJ16" s="220"/>
      <c r="AK16" s="221"/>
      <c r="AL16" s="1"/>
      <c r="AM16" s="224"/>
      <c r="AN16" s="219"/>
      <c r="AO16" s="219"/>
      <c r="AP16" s="221"/>
    </row>
    <row r="17" ht="15.75" customHeight="1">
      <c r="A17" s="180"/>
      <c r="B17" s="59" t="s">
        <v>286</v>
      </c>
      <c r="C17" s="223"/>
      <c r="D17" s="237"/>
      <c r="E17" s="238"/>
      <c r="F17" s="219"/>
      <c r="G17" s="221"/>
      <c r="H17" s="239"/>
      <c r="I17" s="218"/>
      <c r="J17" s="220"/>
      <c r="K17" s="220"/>
      <c r="L17" s="221"/>
      <c r="M17" s="239"/>
      <c r="N17" s="220"/>
      <c r="O17" s="220"/>
      <c r="P17" s="219"/>
      <c r="Q17" s="220"/>
      <c r="R17" s="239"/>
      <c r="S17" s="220"/>
      <c r="T17" s="220"/>
      <c r="U17" s="220"/>
      <c r="V17" s="221">
        <f t="shared" si="2"/>
        <v>0</v>
      </c>
      <c r="W17" s="239"/>
      <c r="X17" s="218"/>
      <c r="Y17" s="220"/>
      <c r="Z17" s="220"/>
      <c r="AA17" s="221"/>
      <c r="AB17" s="239"/>
      <c r="AC17" s="218"/>
      <c r="AD17" s="219"/>
      <c r="AE17" s="219"/>
      <c r="AF17" s="221"/>
      <c r="AG17" s="239"/>
      <c r="AH17" s="218"/>
      <c r="AI17" s="220"/>
      <c r="AJ17" s="220"/>
      <c r="AK17" s="221"/>
      <c r="AL17" s="239"/>
      <c r="AM17" s="218"/>
      <c r="AN17" s="220"/>
      <c r="AO17" s="219"/>
      <c r="AP17" s="221"/>
    </row>
    <row r="18" ht="15.75" customHeight="1">
      <c r="A18" s="180"/>
      <c r="B18" s="69" t="s">
        <v>287</v>
      </c>
      <c r="C18" s="226"/>
      <c r="D18" s="240"/>
      <c r="E18" s="241"/>
      <c r="F18" s="229"/>
      <c r="G18" s="230"/>
      <c r="H18" s="1"/>
      <c r="I18" s="231"/>
      <c r="J18" s="229"/>
      <c r="K18" s="229"/>
      <c r="L18" s="230"/>
      <c r="M18" s="239"/>
      <c r="N18" s="231"/>
      <c r="O18" s="229"/>
      <c r="P18" s="229"/>
      <c r="Q18" s="230"/>
      <c r="R18" s="239"/>
      <c r="S18" s="231"/>
      <c r="T18" s="229"/>
      <c r="U18" s="229"/>
      <c r="V18" s="230">
        <f>SUM(V13:V17)</f>
        <v>0</v>
      </c>
      <c r="W18" s="239"/>
      <c r="X18" s="231"/>
      <c r="Y18" s="229"/>
      <c r="Z18" s="229"/>
      <c r="AA18" s="230"/>
      <c r="AB18" s="239"/>
      <c r="AC18" s="231"/>
      <c r="AD18" s="229"/>
      <c r="AE18" s="229"/>
      <c r="AF18" s="230"/>
      <c r="AG18" s="239"/>
      <c r="AH18" s="231"/>
      <c r="AI18" s="229"/>
      <c r="AJ18" s="229"/>
      <c r="AK18" s="230"/>
      <c r="AL18" s="239"/>
      <c r="AM18" s="231"/>
      <c r="AN18" s="229"/>
      <c r="AO18" s="229"/>
      <c r="AP18" s="230"/>
    </row>
    <row r="19" ht="15.75" customHeight="1">
      <c r="A19" s="180"/>
      <c r="B19" s="59" t="s">
        <v>288</v>
      </c>
      <c r="C19" s="223"/>
      <c r="D19" s="237"/>
      <c r="E19" s="238"/>
      <c r="F19" s="219"/>
      <c r="G19" s="221"/>
      <c r="H19" s="1"/>
      <c r="I19" s="224"/>
      <c r="J19" s="219"/>
      <c r="K19" s="219"/>
      <c r="L19" s="221"/>
      <c r="M19" s="239"/>
      <c r="N19" s="224"/>
      <c r="O19" s="219"/>
      <c r="P19" s="219"/>
      <c r="Q19" s="221"/>
      <c r="R19" s="239"/>
      <c r="S19" s="224"/>
      <c r="T19" s="219"/>
      <c r="U19" s="219"/>
      <c r="V19" s="221">
        <f t="shared" ref="V19:V22" si="3">U19+T19-S19</f>
        <v>0</v>
      </c>
      <c r="W19" s="239"/>
      <c r="X19" s="224"/>
      <c r="Y19" s="219"/>
      <c r="Z19" s="219"/>
      <c r="AA19" s="221"/>
      <c r="AB19" s="239"/>
      <c r="AC19" s="224"/>
      <c r="AD19" s="219"/>
      <c r="AE19" s="219"/>
      <c r="AF19" s="221"/>
      <c r="AG19" s="242"/>
      <c r="AH19" s="224"/>
      <c r="AI19" s="219"/>
      <c r="AJ19" s="219"/>
      <c r="AK19" s="221"/>
      <c r="AL19" s="239"/>
      <c r="AM19" s="224"/>
      <c r="AN19" s="219"/>
      <c r="AO19" s="219"/>
      <c r="AP19" s="221"/>
    </row>
    <row r="20" ht="15.75" customHeight="1">
      <c r="A20" s="180"/>
      <c r="B20" s="59" t="s">
        <v>289</v>
      </c>
      <c r="C20" s="223"/>
      <c r="D20" s="237"/>
      <c r="E20" s="238"/>
      <c r="F20" s="220"/>
      <c r="G20" s="221"/>
      <c r="H20" s="1"/>
      <c r="I20" s="218"/>
      <c r="J20" s="220"/>
      <c r="K20" s="220"/>
      <c r="L20" s="221"/>
      <c r="M20" s="239"/>
      <c r="N20" s="218"/>
      <c r="O20" s="220"/>
      <c r="P20" s="220"/>
      <c r="Q20" s="221"/>
      <c r="R20" s="239"/>
      <c r="S20" s="218"/>
      <c r="T20" s="220"/>
      <c r="U20" s="220"/>
      <c r="V20" s="221">
        <f t="shared" si="3"/>
        <v>0</v>
      </c>
      <c r="W20" s="239"/>
      <c r="X20" s="218"/>
      <c r="Y20" s="220"/>
      <c r="Z20" s="220"/>
      <c r="AA20" s="221"/>
      <c r="AB20" s="239"/>
      <c r="AC20" s="218"/>
      <c r="AD20" s="220"/>
      <c r="AE20" s="220"/>
      <c r="AF20" s="221"/>
      <c r="AG20" s="239"/>
      <c r="AH20" s="218"/>
      <c r="AI20" s="220"/>
      <c r="AJ20" s="220"/>
      <c r="AK20" s="221"/>
      <c r="AL20" s="239"/>
      <c r="AM20" s="218"/>
      <c r="AN20" s="220"/>
      <c r="AO20" s="220"/>
      <c r="AP20" s="221"/>
    </row>
    <row r="21" ht="15.75" customHeight="1">
      <c r="A21" s="180"/>
      <c r="B21" s="59" t="s">
        <v>290</v>
      </c>
      <c r="C21" s="223"/>
      <c r="D21" s="237"/>
      <c r="E21" s="238"/>
      <c r="F21" s="220"/>
      <c r="G21" s="221"/>
      <c r="H21" s="1"/>
      <c r="I21" s="218"/>
      <c r="J21" s="220"/>
      <c r="K21" s="220"/>
      <c r="L21" s="221"/>
      <c r="M21" s="239"/>
      <c r="N21" s="218"/>
      <c r="O21" s="220"/>
      <c r="P21" s="220"/>
      <c r="Q21" s="221"/>
      <c r="R21" s="239"/>
      <c r="S21" s="218"/>
      <c r="T21" s="220"/>
      <c r="U21" s="220"/>
      <c r="V21" s="221">
        <f t="shared" si="3"/>
        <v>0</v>
      </c>
      <c r="W21" s="239"/>
      <c r="X21" s="218"/>
      <c r="Y21" s="220"/>
      <c r="Z21" s="220"/>
      <c r="AA21" s="221"/>
      <c r="AB21" s="239"/>
      <c r="AC21" s="218"/>
      <c r="AD21" s="220"/>
      <c r="AE21" s="220"/>
      <c r="AF21" s="221"/>
      <c r="AG21" s="239"/>
      <c r="AH21" s="218"/>
      <c r="AI21" s="220"/>
      <c r="AJ21" s="220"/>
      <c r="AK21" s="221"/>
      <c r="AL21" s="239"/>
      <c r="AM21" s="218"/>
      <c r="AN21" s="220"/>
      <c r="AO21" s="220"/>
      <c r="AP21" s="221"/>
    </row>
    <row r="22" ht="15.75" customHeight="1">
      <c r="A22" s="180"/>
      <c r="B22" s="59" t="s">
        <v>291</v>
      </c>
      <c r="C22" s="223"/>
      <c r="D22" s="237"/>
      <c r="E22" s="238"/>
      <c r="F22" s="220"/>
      <c r="G22" s="221"/>
      <c r="H22" s="239"/>
      <c r="I22" s="218"/>
      <c r="J22" s="220"/>
      <c r="K22" s="220"/>
      <c r="L22" s="221"/>
      <c r="M22" s="239"/>
      <c r="N22" s="218"/>
      <c r="O22" s="220"/>
      <c r="P22" s="220"/>
      <c r="Q22" s="221"/>
      <c r="R22" s="239"/>
      <c r="S22" s="220"/>
      <c r="T22" s="220"/>
      <c r="U22" s="220"/>
      <c r="V22" s="221">
        <f t="shared" si="3"/>
        <v>0</v>
      </c>
      <c r="W22" s="239"/>
      <c r="X22" s="218"/>
      <c r="Y22" s="220"/>
      <c r="Z22" s="220"/>
      <c r="AA22" s="221"/>
      <c r="AB22" s="239"/>
      <c r="AC22" s="218"/>
      <c r="AD22" s="220"/>
      <c r="AE22" s="220"/>
      <c r="AF22" s="221"/>
      <c r="AG22" s="239"/>
      <c r="AH22" s="218"/>
      <c r="AI22" s="220"/>
      <c r="AJ22" s="220"/>
      <c r="AK22" s="221"/>
      <c r="AL22" s="239"/>
      <c r="AM22" s="218"/>
      <c r="AN22" s="220"/>
      <c r="AO22" s="220"/>
      <c r="AP22" s="221"/>
    </row>
    <row r="23" ht="15.75" customHeight="1">
      <c r="A23" s="180"/>
      <c r="B23" s="69" t="s">
        <v>146</v>
      </c>
      <c r="C23" s="226"/>
      <c r="D23" s="243"/>
      <c r="E23" s="244"/>
      <c r="F23" s="70"/>
      <c r="G23" s="232"/>
      <c r="H23" s="1"/>
      <c r="I23" s="231"/>
      <c r="J23" s="229"/>
      <c r="K23" s="229"/>
      <c r="L23" s="232"/>
      <c r="M23" s="1"/>
      <c r="N23" s="231"/>
      <c r="O23" s="229"/>
      <c r="P23" s="229"/>
      <c r="Q23" s="232"/>
      <c r="R23" s="1"/>
      <c r="S23" s="231"/>
      <c r="T23" s="229"/>
      <c r="U23" s="229"/>
      <c r="V23" s="232">
        <f>SUM(V18:V22)</f>
        <v>0</v>
      </c>
      <c r="W23" s="1"/>
      <c r="X23" s="231"/>
      <c r="Y23" s="229"/>
      <c r="Z23" s="229"/>
      <c r="AA23" s="232"/>
      <c r="AB23" s="1"/>
      <c r="AC23" s="231"/>
      <c r="AD23" s="229"/>
      <c r="AE23" s="229"/>
      <c r="AF23" s="232"/>
      <c r="AG23" s="1"/>
      <c r="AH23" s="231"/>
      <c r="AI23" s="229"/>
      <c r="AJ23" s="229"/>
      <c r="AK23" s="232"/>
      <c r="AL23" s="1"/>
      <c r="AM23" s="231"/>
      <c r="AN23" s="229"/>
      <c r="AO23" s="229"/>
      <c r="AP23" s="232"/>
    </row>
    <row r="24" ht="15.75" customHeight="1">
      <c r="A24" s="180"/>
      <c r="B24" s="223"/>
      <c r="C24" s="223"/>
      <c r="D24" s="233"/>
      <c r="E24" s="234"/>
      <c r="F24" s="234"/>
      <c r="G24" s="235"/>
      <c r="H24" s="1"/>
      <c r="I24" s="236"/>
      <c r="J24" s="19"/>
      <c r="K24" s="19"/>
      <c r="L24" s="222"/>
      <c r="M24" s="1"/>
      <c r="N24" s="236" t="s">
        <v>292</v>
      </c>
      <c r="O24" s="19"/>
      <c r="P24" s="19"/>
      <c r="Q24" s="222"/>
      <c r="R24" s="1"/>
      <c r="S24" s="236"/>
      <c r="T24" s="19"/>
      <c r="U24" s="19"/>
      <c r="V24" s="222"/>
      <c r="W24" s="1"/>
      <c r="X24" s="236"/>
      <c r="Y24" s="19"/>
      <c r="Z24" s="19"/>
      <c r="AA24" s="222"/>
      <c r="AB24" s="1"/>
      <c r="AC24" s="236"/>
      <c r="AD24" s="19"/>
      <c r="AE24" s="19"/>
      <c r="AF24" s="222"/>
      <c r="AG24" s="1"/>
      <c r="AH24" s="236"/>
      <c r="AI24" s="19"/>
      <c r="AJ24" s="19"/>
      <c r="AK24" s="222"/>
      <c r="AL24" s="1"/>
      <c r="AM24" s="236"/>
      <c r="AN24" s="19"/>
      <c r="AO24" s="19"/>
      <c r="AP24" s="222"/>
    </row>
    <row r="25" ht="15.75" customHeight="1">
      <c r="A25" s="180"/>
      <c r="B25" s="84" t="s">
        <v>12</v>
      </c>
      <c r="C25" s="181"/>
      <c r="D25" s="245"/>
      <c r="E25" s="246"/>
      <c r="F25" s="246"/>
      <c r="G25" s="247"/>
      <c r="H25" s="1"/>
      <c r="I25" s="248"/>
      <c r="J25" s="249"/>
      <c r="K25" s="249"/>
      <c r="L25" s="247"/>
      <c r="M25" s="250"/>
      <c r="N25" s="248"/>
      <c r="O25" s="249"/>
      <c r="P25" s="249"/>
      <c r="Q25" s="251"/>
      <c r="R25" s="1"/>
      <c r="S25" s="248"/>
      <c r="T25" s="249"/>
      <c r="U25" s="249"/>
      <c r="V25" s="247">
        <v>0.246</v>
      </c>
      <c r="W25" s="1"/>
      <c r="X25" s="248"/>
      <c r="Y25" s="249"/>
      <c r="Z25" s="249"/>
      <c r="AA25" s="251"/>
      <c r="AB25" s="1"/>
      <c r="AC25" s="248"/>
      <c r="AD25" s="249"/>
      <c r="AE25" s="249"/>
      <c r="AF25" s="251"/>
      <c r="AG25" s="1"/>
      <c r="AH25" s="248"/>
      <c r="AI25" s="249"/>
      <c r="AJ25" s="249"/>
      <c r="AK25" s="251"/>
      <c r="AL25" s="1"/>
      <c r="AM25" s="248"/>
      <c r="AN25" s="249"/>
      <c r="AO25" s="249"/>
      <c r="AP25" s="247"/>
    </row>
    <row r="26" ht="15.75" customHeight="1">
      <c r="A26" s="180"/>
      <c r="B26" s="1" t="s">
        <v>293</v>
      </c>
      <c r="C26" s="181"/>
      <c r="D26" s="252"/>
      <c r="E26" s="181"/>
      <c r="F26" s="253"/>
      <c r="G26" s="254"/>
      <c r="H26" s="1"/>
      <c r="I26" s="148"/>
      <c r="J26" s="1"/>
      <c r="K26" s="255"/>
      <c r="L26" s="256"/>
      <c r="M26" s="1"/>
      <c r="N26" s="148"/>
      <c r="O26" s="1"/>
      <c r="P26" s="255"/>
      <c r="Q26" s="256"/>
      <c r="R26" s="1"/>
      <c r="S26" s="148"/>
      <c r="T26" s="1"/>
      <c r="U26" s="255"/>
      <c r="V26" s="1"/>
      <c r="W26" s="1"/>
      <c r="X26" s="148"/>
      <c r="Y26" s="1"/>
      <c r="Z26" s="255"/>
      <c r="AA26" s="254"/>
      <c r="AB26" s="141"/>
      <c r="AC26" s="148"/>
      <c r="AD26" s="1"/>
      <c r="AE26" s="255"/>
      <c r="AF26" s="254"/>
      <c r="AG26" s="1"/>
      <c r="AH26" s="148"/>
      <c r="AI26" s="1"/>
      <c r="AJ26" s="255"/>
      <c r="AK26" s="256"/>
      <c r="AL26" s="1"/>
      <c r="AM26" s="148"/>
      <c r="AN26" s="1"/>
      <c r="AO26" s="255"/>
      <c r="AP26" s="254"/>
    </row>
    <row r="27" ht="15.75" customHeight="1">
      <c r="A27" s="180"/>
      <c r="B27" s="1" t="s">
        <v>294</v>
      </c>
      <c r="C27" s="181"/>
      <c r="D27" s="252"/>
      <c r="E27" s="181"/>
      <c r="F27" s="253"/>
      <c r="G27" s="256"/>
      <c r="H27" s="141"/>
      <c r="I27" s="148"/>
      <c r="J27" s="1"/>
      <c r="K27" s="255"/>
      <c r="L27" s="256"/>
      <c r="M27" s="1"/>
      <c r="N27" s="148"/>
      <c r="O27" s="1"/>
      <c r="P27" s="255"/>
      <c r="Q27" s="256"/>
      <c r="R27" s="1"/>
      <c r="S27" s="148"/>
      <c r="T27" s="1"/>
      <c r="U27" s="255"/>
      <c r="V27" s="256"/>
      <c r="W27" s="1"/>
      <c r="X27" s="148"/>
      <c r="Y27" s="1"/>
      <c r="Z27" s="255"/>
      <c r="AA27" s="256"/>
      <c r="AB27" s="1"/>
      <c r="AC27" s="148"/>
      <c r="AD27" s="1"/>
      <c r="AE27" s="255"/>
      <c r="AF27" s="256"/>
      <c r="AG27" s="1"/>
      <c r="AH27" s="148"/>
      <c r="AI27" s="1"/>
      <c r="AJ27" s="255"/>
      <c r="AK27" s="256"/>
      <c r="AL27" s="1"/>
      <c r="AM27" s="148"/>
      <c r="AN27" s="1"/>
      <c r="AO27" s="255"/>
      <c r="AP27" s="256"/>
    </row>
    <row r="28" ht="15.75" customHeight="1">
      <c r="A28" s="180"/>
      <c r="B28" s="181"/>
      <c r="C28" s="181"/>
      <c r="D28" s="257"/>
      <c r="E28" s="181"/>
      <c r="F28" s="253"/>
      <c r="G28" s="258"/>
      <c r="H28" s="1"/>
      <c r="I28" s="156"/>
      <c r="J28" s="1"/>
      <c r="K28" s="255"/>
      <c r="L28" s="259"/>
      <c r="M28" s="1"/>
      <c r="N28" s="156"/>
      <c r="O28" s="1"/>
      <c r="P28" s="255"/>
      <c r="Q28" s="259"/>
      <c r="R28" s="1"/>
      <c r="S28" s="156"/>
      <c r="T28" s="1"/>
      <c r="U28" s="255"/>
      <c r="V28" s="259"/>
      <c r="W28" s="1"/>
      <c r="X28" s="156"/>
      <c r="Y28" s="1"/>
      <c r="Z28" s="255"/>
      <c r="AA28" s="259"/>
      <c r="AB28" s="1"/>
      <c r="AC28" s="156"/>
      <c r="AD28" s="1"/>
      <c r="AE28" s="255"/>
      <c r="AF28" s="259"/>
      <c r="AG28" s="1"/>
      <c r="AH28" s="156"/>
      <c r="AI28" s="1"/>
      <c r="AJ28" s="255"/>
      <c r="AK28" s="259"/>
      <c r="AL28" s="1"/>
      <c r="AM28" s="156"/>
      <c r="AN28" s="1"/>
      <c r="AO28" s="255"/>
      <c r="AP28" s="259"/>
    </row>
    <row r="29" ht="15.75" customHeight="1">
      <c r="A29" s="180"/>
      <c r="B29" s="223"/>
      <c r="C29" s="223"/>
      <c r="D29" s="260"/>
      <c r="E29" s="261"/>
      <c r="F29" s="261"/>
      <c r="G29" s="262"/>
      <c r="H29" s="1"/>
      <c r="I29" s="260"/>
      <c r="J29" s="263"/>
      <c r="K29" s="263"/>
      <c r="L29" s="264"/>
      <c r="M29" s="1"/>
      <c r="N29" s="260"/>
      <c r="O29" s="263"/>
      <c r="P29" s="263"/>
      <c r="Q29" s="264"/>
      <c r="R29" s="1"/>
      <c r="S29" s="265" t="s">
        <v>295</v>
      </c>
      <c r="T29" s="266"/>
      <c r="U29" s="266"/>
      <c r="V29" s="267"/>
      <c r="W29" s="1"/>
      <c r="X29" s="260"/>
      <c r="Y29" s="263"/>
      <c r="Z29" s="263"/>
      <c r="AA29" s="264"/>
      <c r="AB29" s="1"/>
      <c r="AC29" s="260"/>
      <c r="AD29" s="263"/>
      <c r="AE29" s="263"/>
      <c r="AF29" s="264"/>
      <c r="AG29" s="1"/>
      <c r="AH29" s="260"/>
      <c r="AI29" s="263"/>
      <c r="AJ29" s="263"/>
      <c r="AK29" s="264"/>
      <c r="AL29" s="1"/>
      <c r="AM29" s="260"/>
      <c r="AN29" s="263"/>
      <c r="AO29" s="263"/>
      <c r="AP29" s="264"/>
    </row>
    <row r="30" ht="15.75" customHeight="1">
      <c r="A30" s="180"/>
      <c r="B30" s="42" t="s">
        <v>296</v>
      </c>
      <c r="C30" s="223"/>
      <c r="D30" s="268"/>
      <c r="E30" s="269"/>
      <c r="F30" s="269"/>
      <c r="G30" s="270"/>
      <c r="H30" s="1"/>
      <c r="I30" s="271"/>
      <c r="J30" s="272"/>
      <c r="K30" s="272"/>
      <c r="L30" s="270"/>
      <c r="M30" s="1"/>
      <c r="N30" s="271"/>
      <c r="O30" s="272"/>
      <c r="P30" s="272"/>
      <c r="Q30" s="270"/>
      <c r="R30" s="1"/>
      <c r="S30" s="271"/>
      <c r="T30" s="272"/>
      <c r="U30" s="272"/>
      <c r="V30" s="270"/>
      <c r="W30" s="1"/>
      <c r="X30" s="271"/>
      <c r="Y30" s="272"/>
      <c r="Z30" s="272"/>
      <c r="AA30" s="270"/>
      <c r="AB30" s="1"/>
      <c r="AC30" s="271"/>
      <c r="AD30" s="272"/>
      <c r="AE30" s="272"/>
      <c r="AF30" s="270"/>
      <c r="AG30" s="1"/>
      <c r="AH30" s="271"/>
      <c r="AI30" s="272"/>
      <c r="AJ30" s="272"/>
      <c r="AK30" s="270"/>
      <c r="AL30" s="1"/>
      <c r="AM30" s="271"/>
      <c r="AN30" s="272"/>
      <c r="AO30" s="272"/>
      <c r="AP30" s="270"/>
    </row>
    <row r="31" ht="15.75" customHeight="1">
      <c r="A31" s="180"/>
      <c r="B31" s="42" t="s">
        <v>297</v>
      </c>
      <c r="C31" s="223"/>
      <c r="D31" s="268"/>
      <c r="E31" s="269"/>
      <c r="F31" s="269"/>
      <c r="G31" s="273"/>
      <c r="H31" s="1"/>
      <c r="I31" s="271"/>
      <c r="J31" s="272"/>
      <c r="K31" s="272"/>
      <c r="L31" s="273"/>
      <c r="M31" s="1"/>
      <c r="N31" s="271"/>
      <c r="O31" s="272"/>
      <c r="P31" s="272"/>
      <c r="Q31" s="273"/>
      <c r="R31" s="1"/>
      <c r="S31" s="271"/>
      <c r="T31" s="272"/>
      <c r="U31" s="272"/>
      <c r="V31" s="273">
        <f>-8.1</f>
        <v>-8.1</v>
      </c>
      <c r="W31" s="1"/>
      <c r="X31" s="271"/>
      <c r="Y31" s="272"/>
      <c r="Z31" s="272"/>
      <c r="AA31" s="273"/>
      <c r="AB31" s="1"/>
      <c r="AC31" s="271"/>
      <c r="AD31" s="272"/>
      <c r="AE31" s="272"/>
      <c r="AF31" s="273"/>
      <c r="AG31" s="1"/>
      <c r="AH31" s="271"/>
      <c r="AI31" s="272"/>
      <c r="AJ31" s="272"/>
      <c r="AK31" s="273"/>
      <c r="AL31" s="1"/>
      <c r="AM31" s="271"/>
      <c r="AN31" s="272"/>
      <c r="AO31" s="272"/>
      <c r="AP31" s="273"/>
    </row>
    <row r="32" ht="15.75" customHeight="1">
      <c r="A32" s="180"/>
      <c r="B32" s="42" t="s">
        <v>298</v>
      </c>
      <c r="C32" s="223"/>
      <c r="D32" s="268"/>
      <c r="E32" s="269"/>
      <c r="F32" s="269"/>
      <c r="G32" s="273"/>
      <c r="H32" s="1"/>
      <c r="I32" s="271"/>
      <c r="J32" s="272"/>
      <c r="K32" s="272"/>
      <c r="L32" s="273"/>
      <c r="M32" s="1"/>
      <c r="N32" s="271"/>
      <c r="O32" s="272"/>
      <c r="P32" s="272"/>
      <c r="Q32" s="273"/>
      <c r="R32" s="1"/>
      <c r="S32" s="271"/>
      <c r="T32" s="272"/>
      <c r="U32" s="272"/>
      <c r="V32" s="273"/>
      <c r="W32" s="1"/>
      <c r="X32" s="271"/>
      <c r="Y32" s="272"/>
      <c r="Z32" s="272"/>
      <c r="AA32" s="273"/>
      <c r="AB32" s="1"/>
      <c r="AC32" s="271"/>
      <c r="AD32" s="272"/>
      <c r="AE32" s="272"/>
      <c r="AF32" s="273"/>
      <c r="AG32" s="1"/>
      <c r="AH32" s="271"/>
      <c r="AI32" s="272"/>
      <c r="AJ32" s="272"/>
      <c r="AK32" s="273"/>
      <c r="AL32" s="1"/>
      <c r="AM32" s="271"/>
      <c r="AN32" s="272"/>
      <c r="AO32" s="272"/>
      <c r="AP32" s="273"/>
    </row>
    <row r="33" ht="15.75" customHeight="1">
      <c r="A33" s="180"/>
      <c r="B33" s="42" t="s">
        <v>299</v>
      </c>
      <c r="C33" s="223"/>
      <c r="D33" s="268"/>
      <c r="E33" s="269"/>
      <c r="F33" s="269"/>
      <c r="G33" s="274"/>
      <c r="H33" s="1"/>
      <c r="I33" s="271"/>
      <c r="J33" s="272"/>
      <c r="K33" s="272"/>
      <c r="L33" s="274"/>
      <c r="M33" s="1"/>
      <c r="N33" s="271"/>
      <c r="O33" s="272"/>
      <c r="P33" s="272"/>
      <c r="Q33" s="274"/>
      <c r="R33" s="1"/>
      <c r="S33" s="271"/>
      <c r="T33" s="272"/>
      <c r="U33" s="272"/>
      <c r="V33" s="274">
        <f>-30.718*(1-93.075/(1498.969+93.075))</f>
        <v>-28.92214646</v>
      </c>
      <c r="W33" s="1"/>
      <c r="X33" s="271"/>
      <c r="Y33" s="272"/>
      <c r="Z33" s="272"/>
      <c r="AA33" s="274"/>
      <c r="AB33" s="1"/>
      <c r="AC33" s="271"/>
      <c r="AD33" s="272"/>
      <c r="AE33" s="272"/>
      <c r="AF33" s="274"/>
      <c r="AG33" s="1"/>
      <c r="AH33" s="271"/>
      <c r="AI33" s="272"/>
      <c r="AJ33" s="272"/>
      <c r="AK33" s="274"/>
      <c r="AL33" s="1"/>
      <c r="AM33" s="271"/>
      <c r="AN33" s="272"/>
      <c r="AO33" s="272"/>
      <c r="AP33" s="274"/>
    </row>
    <row r="34" ht="15.75" customHeight="1">
      <c r="A34" s="180"/>
      <c r="B34" s="42" t="s">
        <v>300</v>
      </c>
      <c r="C34" s="223"/>
      <c r="D34" s="268"/>
      <c r="E34" s="269"/>
      <c r="F34" s="269"/>
      <c r="G34" s="273"/>
      <c r="H34" s="1"/>
      <c r="I34" s="271"/>
      <c r="J34" s="272"/>
      <c r="K34" s="272"/>
      <c r="L34" s="274"/>
      <c r="M34" s="1"/>
      <c r="N34" s="271"/>
      <c r="O34" s="272"/>
      <c r="P34" s="272"/>
      <c r="Q34" s="273"/>
      <c r="R34" s="1"/>
      <c r="S34" s="271"/>
      <c r="T34" s="272"/>
      <c r="U34" s="272"/>
      <c r="V34" s="273"/>
      <c r="W34" s="1"/>
      <c r="X34" s="271"/>
      <c r="Y34" s="272"/>
      <c r="Z34" s="272"/>
      <c r="AA34" s="274"/>
      <c r="AB34" s="1"/>
      <c r="AC34" s="271"/>
      <c r="AD34" s="272"/>
      <c r="AE34" s="272"/>
      <c r="AF34" s="273"/>
      <c r="AG34" s="1"/>
      <c r="AH34" s="271"/>
      <c r="AI34" s="272"/>
      <c r="AJ34" s="272"/>
      <c r="AK34" s="273"/>
      <c r="AL34" s="1"/>
      <c r="AM34" s="271"/>
      <c r="AN34" s="272"/>
      <c r="AO34" s="272"/>
      <c r="AP34" s="273"/>
    </row>
    <row r="35" ht="15.75" customHeight="1">
      <c r="A35" s="180"/>
      <c r="B35" s="42" t="s">
        <v>301</v>
      </c>
      <c r="C35" s="223"/>
      <c r="D35" s="268"/>
      <c r="E35" s="269"/>
      <c r="F35" s="269"/>
      <c r="G35" s="273"/>
      <c r="H35" s="1"/>
      <c r="I35" s="271"/>
      <c r="J35" s="272"/>
      <c r="K35" s="272"/>
      <c r="L35" s="273"/>
      <c r="M35" s="1"/>
      <c r="N35" s="271"/>
      <c r="O35" s="272"/>
      <c r="P35" s="272"/>
      <c r="Q35" s="273"/>
      <c r="R35" s="1"/>
      <c r="S35" s="271"/>
      <c r="T35" s="272"/>
      <c r="U35" s="272"/>
      <c r="V35" s="274"/>
      <c r="W35" s="1"/>
      <c r="X35" s="271"/>
      <c r="Y35" s="272"/>
      <c r="Z35" s="272"/>
      <c r="AA35" s="273"/>
      <c r="AB35" s="1"/>
      <c r="AC35" s="271"/>
      <c r="AD35" s="272"/>
      <c r="AE35" s="272"/>
      <c r="AF35" s="273"/>
      <c r="AG35" s="1"/>
      <c r="AH35" s="271"/>
      <c r="AI35" s="272"/>
      <c r="AJ35" s="272"/>
      <c r="AK35" s="273"/>
      <c r="AL35" s="1"/>
      <c r="AM35" s="271"/>
      <c r="AN35" s="272"/>
      <c r="AO35" s="272"/>
      <c r="AP35" s="274"/>
    </row>
    <row r="36" ht="15.75" customHeight="1">
      <c r="A36" s="180"/>
      <c r="B36" s="42" t="s">
        <v>302</v>
      </c>
      <c r="C36" s="223"/>
      <c r="D36" s="268"/>
      <c r="E36" s="269"/>
      <c r="F36" s="269"/>
      <c r="G36" s="273"/>
      <c r="H36" s="1"/>
      <c r="I36" s="271"/>
      <c r="J36" s="272"/>
      <c r="K36" s="272"/>
      <c r="L36" s="273"/>
      <c r="M36" s="1"/>
      <c r="N36" s="271"/>
      <c r="O36" s="272"/>
      <c r="P36" s="272"/>
      <c r="Q36" s="273"/>
      <c r="R36" s="1"/>
      <c r="S36" s="271"/>
      <c r="T36" s="272"/>
      <c r="U36" s="272"/>
      <c r="V36" s="273"/>
      <c r="W36" s="1"/>
      <c r="X36" s="271"/>
      <c r="Y36" s="272"/>
      <c r="Z36" s="272"/>
      <c r="AA36" s="273"/>
      <c r="AB36" s="1"/>
      <c r="AC36" s="271"/>
      <c r="AD36" s="272"/>
      <c r="AE36" s="272"/>
      <c r="AF36" s="273"/>
      <c r="AG36" s="1"/>
      <c r="AH36" s="271"/>
      <c r="AI36" s="272"/>
      <c r="AJ36" s="272"/>
      <c r="AK36" s="273"/>
      <c r="AL36" s="1"/>
      <c r="AM36" s="271"/>
      <c r="AN36" s="272"/>
      <c r="AO36" s="272"/>
      <c r="AP36" s="273"/>
    </row>
    <row r="37" ht="15.75" customHeight="1">
      <c r="A37" s="180"/>
      <c r="B37" s="42" t="s">
        <v>303</v>
      </c>
      <c r="C37" s="223"/>
      <c r="D37" s="268"/>
      <c r="E37" s="269"/>
      <c r="F37" s="269"/>
      <c r="G37" s="273"/>
      <c r="H37" s="1"/>
      <c r="I37" s="271"/>
      <c r="J37" s="272"/>
      <c r="K37" s="272"/>
      <c r="L37" s="273"/>
      <c r="M37" s="1"/>
      <c r="N37" s="271"/>
      <c r="O37" s="272"/>
      <c r="P37" s="272"/>
      <c r="Q37" s="273"/>
      <c r="R37" s="1"/>
      <c r="S37" s="271"/>
      <c r="T37" s="272"/>
      <c r="U37" s="272"/>
      <c r="V37" s="273"/>
      <c r="W37" s="1"/>
      <c r="X37" s="271"/>
      <c r="Y37" s="272"/>
      <c r="Z37" s="272"/>
      <c r="AA37" s="273"/>
      <c r="AB37" s="1"/>
      <c r="AC37" s="271"/>
      <c r="AD37" s="272"/>
      <c r="AE37" s="272"/>
      <c r="AF37" s="273"/>
      <c r="AG37" s="1"/>
      <c r="AH37" s="271"/>
      <c r="AI37" s="272"/>
      <c r="AJ37" s="272"/>
      <c r="AK37" s="273"/>
      <c r="AL37" s="1"/>
      <c r="AM37" s="271"/>
      <c r="AN37" s="272"/>
      <c r="AO37" s="272"/>
      <c r="AP37" s="273"/>
    </row>
    <row r="38" ht="15.75" customHeight="1">
      <c r="A38" s="180"/>
      <c r="B38" s="42" t="s">
        <v>304</v>
      </c>
      <c r="C38" s="223"/>
      <c r="D38" s="268"/>
      <c r="E38" s="269"/>
      <c r="F38" s="275"/>
      <c r="G38" s="273"/>
      <c r="H38" s="9"/>
      <c r="I38" s="271"/>
      <c r="J38" s="272"/>
      <c r="K38" s="276"/>
      <c r="L38" s="273"/>
      <c r="M38" s="1"/>
      <c r="N38" s="271"/>
      <c r="O38" s="272"/>
      <c r="P38" s="276"/>
      <c r="Q38" s="273"/>
      <c r="R38" s="1"/>
      <c r="S38" s="271"/>
      <c r="T38" s="272"/>
      <c r="U38" s="276"/>
      <c r="V38" s="273"/>
      <c r="W38" s="1"/>
      <c r="X38" s="271"/>
      <c r="Y38" s="272"/>
      <c r="Z38" s="276"/>
      <c r="AA38" s="273"/>
      <c r="AB38" s="1"/>
      <c r="AC38" s="271"/>
      <c r="AD38" s="272"/>
      <c r="AE38" s="276"/>
      <c r="AF38" s="273"/>
      <c r="AG38" s="1"/>
      <c r="AH38" s="271"/>
      <c r="AI38" s="272"/>
      <c r="AJ38" s="276"/>
      <c r="AK38" s="273"/>
      <c r="AL38" s="1"/>
      <c r="AM38" s="271"/>
      <c r="AN38" s="272"/>
      <c r="AO38" s="276"/>
      <c r="AP38" s="273"/>
    </row>
    <row r="39" ht="15.75" customHeight="1">
      <c r="A39" s="180"/>
      <c r="B39" s="42" t="s">
        <v>305</v>
      </c>
      <c r="C39" s="223"/>
      <c r="D39" s="277"/>
      <c r="E39" s="278"/>
      <c r="F39" s="278"/>
      <c r="G39" s="274"/>
      <c r="H39" s="1"/>
      <c r="I39" s="279"/>
      <c r="J39" s="280"/>
      <c r="K39" s="280"/>
      <c r="L39" s="274"/>
      <c r="M39" s="1"/>
      <c r="N39" s="279"/>
      <c r="O39" s="280"/>
      <c r="P39" s="280"/>
      <c r="Q39" s="273"/>
      <c r="R39" s="1"/>
      <c r="S39" s="279"/>
      <c r="T39" s="280"/>
      <c r="U39" s="280"/>
      <c r="V39" s="273"/>
      <c r="W39" s="1"/>
      <c r="X39" s="279"/>
      <c r="Y39" s="280"/>
      <c r="Z39" s="280"/>
      <c r="AA39" s="273"/>
      <c r="AB39" s="1"/>
      <c r="AC39" s="279"/>
      <c r="AD39" s="280"/>
      <c r="AE39" s="280"/>
      <c r="AF39" s="274"/>
      <c r="AG39" s="1"/>
      <c r="AH39" s="279"/>
      <c r="AI39" s="280"/>
      <c r="AJ39" s="280"/>
      <c r="AK39" s="273"/>
      <c r="AL39" s="1"/>
      <c r="AM39" s="279"/>
      <c r="AN39" s="280"/>
      <c r="AO39" s="280"/>
      <c r="AP39" s="273"/>
    </row>
    <row r="40" ht="15.75" customHeight="1">
      <c r="A40" s="180"/>
      <c r="B40" s="181"/>
      <c r="C40" s="181"/>
      <c r="D40" s="252"/>
      <c r="E40" s="181"/>
      <c r="F40" s="181"/>
      <c r="G40" s="281"/>
      <c r="H40" s="1"/>
      <c r="I40" s="148"/>
      <c r="J40" s="1"/>
      <c r="K40" s="1"/>
      <c r="L40" s="282"/>
      <c r="M40" s="1"/>
      <c r="N40" s="148"/>
      <c r="O40" s="1"/>
      <c r="P40" s="1"/>
      <c r="Q40" s="282"/>
      <c r="R40" s="1"/>
      <c r="S40" s="148"/>
      <c r="T40" s="1"/>
      <c r="U40" s="1"/>
      <c r="V40" s="282"/>
      <c r="W40" s="1"/>
      <c r="X40" s="148"/>
      <c r="Y40" s="1"/>
      <c r="Z40" s="1"/>
      <c r="AA40" s="282"/>
      <c r="AB40" s="1"/>
      <c r="AC40" s="148"/>
      <c r="AD40" s="1"/>
      <c r="AE40" s="1"/>
      <c r="AF40" s="282"/>
      <c r="AG40" s="1"/>
      <c r="AH40" s="148"/>
      <c r="AI40" s="1"/>
      <c r="AJ40" s="1"/>
      <c r="AK40" s="282"/>
      <c r="AL40" s="1"/>
      <c r="AM40" s="148"/>
      <c r="AN40" s="1"/>
      <c r="AO40" s="1"/>
      <c r="AP40" s="282"/>
    </row>
    <row r="41" ht="15.75" customHeight="1">
      <c r="A41" s="180"/>
      <c r="B41" s="181"/>
      <c r="C41" s="181"/>
      <c r="D41" s="260"/>
      <c r="E41" s="263"/>
      <c r="F41" s="263"/>
      <c r="G41" s="262"/>
      <c r="H41" s="1"/>
      <c r="I41" s="260"/>
      <c r="J41" s="263"/>
      <c r="K41" s="263"/>
      <c r="L41" s="264"/>
      <c r="M41" s="1"/>
      <c r="N41" s="260"/>
      <c r="O41" s="263"/>
      <c r="P41" s="263"/>
      <c r="Q41" s="264"/>
      <c r="R41" s="1"/>
      <c r="S41" s="265" t="s">
        <v>306</v>
      </c>
      <c r="T41" s="266"/>
      <c r="U41" s="266"/>
      <c r="V41" s="267"/>
      <c r="W41" s="1"/>
      <c r="X41" s="260"/>
      <c r="Y41" s="263"/>
      <c r="Z41" s="263"/>
      <c r="AA41" s="264"/>
      <c r="AB41" s="1"/>
      <c r="AC41" s="260"/>
      <c r="AD41" s="263"/>
      <c r="AE41" s="263"/>
      <c r="AF41" s="264"/>
      <c r="AG41" s="1"/>
      <c r="AH41" s="260"/>
      <c r="AI41" s="263"/>
      <c r="AJ41" s="263"/>
      <c r="AK41" s="264"/>
      <c r="AL41" s="1"/>
      <c r="AM41" s="260"/>
      <c r="AN41" s="263"/>
      <c r="AO41" s="263"/>
      <c r="AP41" s="264"/>
    </row>
    <row r="42" ht="15.75" customHeight="1">
      <c r="A42" s="180"/>
      <c r="B42" s="181"/>
      <c r="C42" s="181"/>
      <c r="D42" s="195"/>
      <c r="E42" s="196"/>
      <c r="F42" s="196"/>
      <c r="G42" s="283"/>
      <c r="H42" s="1"/>
      <c r="I42" s="195"/>
      <c r="J42" s="196"/>
      <c r="K42" s="196"/>
      <c r="L42" s="284"/>
      <c r="M42" s="1"/>
      <c r="N42" s="195"/>
      <c r="O42" s="196"/>
      <c r="P42" s="196"/>
      <c r="Q42" s="284"/>
      <c r="R42" s="1"/>
      <c r="S42" s="195" t="s">
        <v>307</v>
      </c>
      <c r="T42" s="196" t="s">
        <v>308</v>
      </c>
      <c r="U42" s="196" t="s">
        <v>309</v>
      </c>
      <c r="V42" s="284"/>
      <c r="W42" s="1"/>
      <c r="X42" s="195"/>
      <c r="Y42" s="196"/>
      <c r="Z42" s="196"/>
      <c r="AA42" s="284"/>
      <c r="AB42" s="1"/>
      <c r="AC42" s="195"/>
      <c r="AD42" s="196"/>
      <c r="AE42" s="196"/>
      <c r="AF42" s="284"/>
      <c r="AG42" s="1"/>
      <c r="AH42" s="195"/>
      <c r="AI42" s="196"/>
      <c r="AJ42" s="196"/>
      <c r="AK42" s="284"/>
      <c r="AL42" s="1"/>
      <c r="AM42" s="195"/>
      <c r="AN42" s="196"/>
      <c r="AO42" s="196"/>
      <c r="AP42" s="284"/>
    </row>
    <row r="43" ht="15.75" customHeight="1">
      <c r="A43" s="180"/>
      <c r="B43" s="42" t="s">
        <v>46</v>
      </c>
      <c r="C43" s="223"/>
      <c r="D43" s="285"/>
      <c r="E43" s="285"/>
      <c r="F43" s="270"/>
      <c r="G43" s="275"/>
      <c r="H43" s="1"/>
      <c r="I43" s="286"/>
      <c r="J43" s="286"/>
      <c r="K43" s="286"/>
      <c r="L43" s="276"/>
      <c r="M43" s="1"/>
      <c r="N43" s="286"/>
      <c r="O43" s="286"/>
      <c r="P43" s="286"/>
      <c r="Q43" s="276"/>
      <c r="R43" s="1"/>
      <c r="S43" s="286">
        <v>1853.42</v>
      </c>
      <c r="T43" s="286">
        <v>2188.11</v>
      </c>
      <c r="U43" s="286">
        <v>2747.65</v>
      </c>
      <c r="V43" s="276"/>
      <c r="W43" s="1"/>
      <c r="X43" s="286"/>
      <c r="Y43" s="286"/>
      <c r="Z43" s="286"/>
      <c r="AA43" s="276"/>
      <c r="AB43" s="1"/>
      <c r="AC43" s="286"/>
      <c r="AD43" s="286"/>
      <c r="AE43" s="286"/>
      <c r="AF43" s="276"/>
      <c r="AG43" s="1"/>
      <c r="AH43" s="286"/>
      <c r="AI43" s="286"/>
      <c r="AJ43" s="286"/>
      <c r="AK43" s="276"/>
      <c r="AL43" s="1"/>
      <c r="AM43" s="286"/>
      <c r="AN43" s="286"/>
      <c r="AO43" s="286"/>
      <c r="AP43" s="276"/>
    </row>
    <row r="44" ht="15.75" customHeight="1">
      <c r="A44" s="180"/>
      <c r="B44" s="42" t="s">
        <v>310</v>
      </c>
      <c r="C44" s="223"/>
      <c r="D44" s="287"/>
      <c r="E44" s="287"/>
      <c r="F44" s="274"/>
      <c r="G44" s="275"/>
      <c r="H44" s="1"/>
      <c r="I44" s="273"/>
      <c r="J44" s="273"/>
      <c r="K44" s="273"/>
      <c r="L44" s="276"/>
      <c r="M44" s="1"/>
      <c r="N44" s="273"/>
      <c r="O44" s="273"/>
      <c r="P44" s="273"/>
      <c r="Q44" s="276"/>
      <c r="R44" s="1"/>
      <c r="S44" s="273">
        <v>-7.65</v>
      </c>
      <c r="T44" s="273">
        <v>346.98</v>
      </c>
      <c r="U44" s="273">
        <v>858.7</v>
      </c>
      <c r="V44" s="276"/>
      <c r="W44" s="1"/>
      <c r="X44" s="273"/>
      <c r="Y44" s="273"/>
      <c r="Z44" s="273"/>
      <c r="AA44" s="276"/>
      <c r="AB44" s="1"/>
      <c r="AC44" s="273"/>
      <c r="AD44" s="273"/>
      <c r="AE44" s="273"/>
      <c r="AF44" s="276"/>
      <c r="AG44" s="1"/>
      <c r="AH44" s="273"/>
      <c r="AI44" s="273"/>
      <c r="AJ44" s="273"/>
      <c r="AK44" s="276"/>
      <c r="AL44" s="1"/>
      <c r="AM44" s="273"/>
      <c r="AN44" s="273"/>
      <c r="AO44" s="273"/>
      <c r="AP44" s="276"/>
    </row>
    <row r="45" ht="15.75" customHeight="1">
      <c r="A45" s="180"/>
      <c r="B45" s="42" t="s">
        <v>146</v>
      </c>
      <c r="C45" s="223"/>
      <c r="D45" s="287"/>
      <c r="E45" s="287"/>
      <c r="F45" s="274"/>
      <c r="G45" s="288"/>
      <c r="H45" s="1"/>
      <c r="I45" s="273"/>
      <c r="J45" s="273"/>
      <c r="K45" s="273"/>
      <c r="L45" s="289"/>
      <c r="M45" s="1"/>
      <c r="N45" s="273"/>
      <c r="O45" s="273"/>
      <c r="P45" s="273"/>
      <c r="Q45" s="289"/>
      <c r="R45" s="1"/>
      <c r="S45" s="273">
        <v>226.37</v>
      </c>
      <c r="T45" s="273">
        <v>470.36</v>
      </c>
      <c r="U45" s="273">
        <v>818.16</v>
      </c>
      <c r="V45" s="289"/>
      <c r="W45" s="1"/>
      <c r="X45" s="273"/>
      <c r="Y45" s="273"/>
      <c r="Z45" s="273"/>
      <c r="AA45" s="289"/>
      <c r="AB45" s="1"/>
      <c r="AC45" s="273"/>
      <c r="AD45" s="273"/>
      <c r="AE45" s="273"/>
      <c r="AF45" s="289"/>
      <c r="AG45" s="1"/>
      <c r="AH45" s="273"/>
      <c r="AI45" s="273"/>
      <c r="AJ45" s="273"/>
      <c r="AK45" s="289"/>
      <c r="AL45" s="1"/>
      <c r="AM45" s="273"/>
      <c r="AN45" s="273"/>
      <c r="AO45" s="273"/>
      <c r="AP45" s="289"/>
    </row>
    <row r="46" ht="15.75" customHeight="1">
      <c r="A46" s="71"/>
      <c r="B46" s="1"/>
      <c r="C46" s="1"/>
      <c r="D46" s="148"/>
      <c r="E46" s="1"/>
      <c r="F46" s="1"/>
      <c r="G46" s="282"/>
      <c r="H46" s="1"/>
      <c r="I46" s="148"/>
      <c r="J46" s="1"/>
      <c r="K46" s="1"/>
      <c r="L46" s="282"/>
      <c r="M46" s="1"/>
      <c r="N46" s="148"/>
      <c r="O46" s="1"/>
      <c r="P46" s="1"/>
      <c r="Q46" s="282"/>
      <c r="R46" s="1"/>
      <c r="S46" s="148"/>
      <c r="T46" s="1"/>
      <c r="U46" s="1"/>
      <c r="V46" s="282"/>
      <c r="W46" s="1"/>
      <c r="X46" s="148"/>
      <c r="Y46" s="1"/>
      <c r="Z46" s="1"/>
      <c r="AA46" s="282"/>
      <c r="AB46" s="1"/>
      <c r="AC46" s="148"/>
      <c r="AD46" s="1"/>
      <c r="AE46" s="1"/>
      <c r="AF46" s="282"/>
      <c r="AG46" s="1"/>
      <c r="AH46" s="148"/>
      <c r="AI46" s="1"/>
      <c r="AJ46" s="1"/>
      <c r="AK46" s="282"/>
      <c r="AL46" s="1"/>
      <c r="AM46" s="148"/>
      <c r="AN46" s="1"/>
      <c r="AO46" s="1"/>
      <c r="AP46" s="282"/>
    </row>
    <row r="47" ht="15.75" customHeight="1">
      <c r="A47" s="71"/>
      <c r="B47" s="1"/>
      <c r="C47" s="1"/>
      <c r="D47" s="260"/>
      <c r="E47" s="263"/>
      <c r="F47" s="263"/>
      <c r="G47" s="264"/>
      <c r="H47" s="1"/>
      <c r="I47" s="260"/>
      <c r="J47" s="263"/>
      <c r="K47" s="263"/>
      <c r="L47" s="264"/>
      <c r="M47" s="1"/>
      <c r="N47" s="260"/>
      <c r="O47" s="263"/>
      <c r="P47" s="263"/>
      <c r="Q47" s="264"/>
      <c r="R47" s="1"/>
      <c r="S47" s="265" t="s">
        <v>311</v>
      </c>
      <c r="T47" s="266"/>
      <c r="U47" s="266"/>
      <c r="V47" s="267"/>
      <c r="W47" s="1"/>
      <c r="X47" s="260"/>
      <c r="Y47" s="263"/>
      <c r="Z47" s="263"/>
      <c r="AA47" s="264"/>
      <c r="AB47" s="1"/>
      <c r="AC47" s="260"/>
      <c r="AD47" s="263"/>
      <c r="AE47" s="263"/>
      <c r="AF47" s="264"/>
      <c r="AG47" s="1"/>
      <c r="AH47" s="260"/>
      <c r="AI47" s="263"/>
      <c r="AJ47" s="263"/>
      <c r="AK47" s="264"/>
      <c r="AL47" s="1"/>
      <c r="AM47" s="260"/>
      <c r="AN47" s="263"/>
      <c r="AO47" s="263"/>
      <c r="AP47" s="264"/>
    </row>
    <row r="48" ht="15.75" customHeight="1">
      <c r="A48" s="71"/>
      <c r="B48" s="59" t="s">
        <v>312</v>
      </c>
      <c r="C48" s="59"/>
      <c r="D48" s="290"/>
      <c r="E48" s="291"/>
      <c r="F48" s="291"/>
      <c r="G48" s="292"/>
      <c r="H48" s="1"/>
      <c r="I48" s="290"/>
      <c r="J48" s="291"/>
      <c r="K48" s="291"/>
      <c r="L48" s="292"/>
      <c r="M48" s="1"/>
      <c r="N48" s="290"/>
      <c r="O48" s="291"/>
      <c r="P48" s="291"/>
      <c r="Q48" s="292"/>
      <c r="R48" s="1"/>
      <c r="S48" s="290"/>
      <c r="T48" s="291"/>
      <c r="U48" s="291"/>
      <c r="V48" s="292"/>
      <c r="W48" s="1"/>
      <c r="X48" s="290"/>
      <c r="Y48" s="291"/>
      <c r="Z48" s="291"/>
      <c r="AA48" s="292"/>
      <c r="AB48" s="1"/>
      <c r="AC48" s="290"/>
      <c r="AD48" s="291"/>
      <c r="AE48" s="291"/>
      <c r="AF48" s="292"/>
      <c r="AG48" s="1"/>
      <c r="AH48" s="290"/>
      <c r="AI48" s="291"/>
      <c r="AJ48" s="291"/>
      <c r="AK48" s="292"/>
      <c r="AL48" s="1"/>
      <c r="AM48" s="290"/>
      <c r="AN48" s="291"/>
      <c r="AO48" s="291"/>
      <c r="AP48" s="292"/>
    </row>
    <row r="49" ht="15.75" customHeight="1">
      <c r="A49" s="71"/>
      <c r="B49" s="59" t="s">
        <v>313</v>
      </c>
      <c r="C49" s="59"/>
      <c r="D49" s="271"/>
      <c r="E49" s="272"/>
      <c r="F49" s="272"/>
      <c r="G49" s="293"/>
      <c r="H49" s="1"/>
      <c r="I49" s="271"/>
      <c r="J49" s="272"/>
      <c r="K49" s="272"/>
      <c r="L49" s="293"/>
      <c r="M49" s="1"/>
      <c r="N49" s="271"/>
      <c r="O49" s="272"/>
      <c r="P49" s="272"/>
      <c r="Q49" s="293"/>
      <c r="R49" s="1"/>
      <c r="S49" s="271"/>
      <c r="T49" s="272"/>
      <c r="U49" s="272"/>
      <c r="V49" s="293"/>
      <c r="W49" s="1"/>
      <c r="X49" s="271"/>
      <c r="Y49" s="272"/>
      <c r="Z49" s="272"/>
      <c r="AA49" s="293"/>
      <c r="AB49" s="1"/>
      <c r="AC49" s="271"/>
      <c r="AD49" s="272"/>
      <c r="AE49" s="272"/>
      <c r="AF49" s="293"/>
      <c r="AG49" s="1"/>
      <c r="AH49" s="271"/>
      <c r="AI49" s="272"/>
      <c r="AJ49" s="272"/>
      <c r="AK49" s="293"/>
      <c r="AL49" s="1"/>
      <c r="AM49" s="271"/>
      <c r="AN49" s="272"/>
      <c r="AO49" s="272"/>
      <c r="AP49" s="293"/>
    </row>
    <row r="50" ht="15.75" customHeight="1">
      <c r="A50" s="71"/>
      <c r="B50" s="59" t="s">
        <v>314</v>
      </c>
      <c r="C50" s="59"/>
      <c r="D50" s="294"/>
      <c r="E50" s="295"/>
      <c r="F50" s="295"/>
      <c r="G50" s="296"/>
      <c r="H50" s="1"/>
      <c r="I50" s="294"/>
      <c r="J50" s="295"/>
      <c r="K50" s="295"/>
      <c r="L50" s="296"/>
      <c r="M50" s="1"/>
      <c r="N50" s="294"/>
      <c r="O50" s="295"/>
      <c r="P50" s="295"/>
      <c r="Q50" s="296"/>
      <c r="R50" s="1"/>
      <c r="S50" s="294"/>
      <c r="T50" s="295"/>
      <c r="U50" s="295"/>
      <c r="V50" s="296"/>
      <c r="W50" s="1"/>
      <c r="X50" s="294"/>
      <c r="Y50" s="295"/>
      <c r="Z50" s="295"/>
      <c r="AA50" s="296"/>
      <c r="AB50" s="1"/>
      <c r="AC50" s="294"/>
      <c r="AD50" s="295"/>
      <c r="AE50" s="295"/>
      <c r="AF50" s="296"/>
      <c r="AG50" s="1"/>
      <c r="AH50" s="294"/>
      <c r="AI50" s="295"/>
      <c r="AJ50" s="295"/>
      <c r="AK50" s="296"/>
      <c r="AL50" s="1"/>
      <c r="AM50" s="294"/>
      <c r="AN50" s="295"/>
      <c r="AO50" s="295"/>
      <c r="AP50" s="296"/>
    </row>
    <row r="51" ht="15.75" customHeight="1">
      <c r="A51" s="71"/>
      <c r="B51" s="1"/>
      <c r="C51" s="1"/>
      <c r="D51" s="294"/>
      <c r="E51" s="297"/>
      <c r="F51" s="298"/>
      <c r="G51" s="299"/>
      <c r="H51" s="1"/>
      <c r="I51" s="294"/>
      <c r="J51" s="297"/>
      <c r="K51" s="298"/>
      <c r="L51" s="299"/>
      <c r="M51" s="1"/>
      <c r="N51" s="294"/>
      <c r="O51" s="297"/>
      <c r="P51" s="298"/>
      <c r="Q51" s="299"/>
      <c r="R51" s="1"/>
      <c r="S51" s="294"/>
      <c r="T51" s="297" t="s">
        <v>315</v>
      </c>
      <c r="U51" s="298" t="s">
        <v>316</v>
      </c>
      <c r="V51" s="299" t="s">
        <v>317</v>
      </c>
      <c r="W51" s="1"/>
      <c r="X51" s="294"/>
      <c r="Y51" s="297"/>
      <c r="Z51" s="298"/>
      <c r="AA51" s="299"/>
      <c r="AB51" s="1"/>
      <c r="AC51" s="294"/>
      <c r="AD51" s="297"/>
      <c r="AE51" s="298"/>
      <c r="AF51" s="299"/>
      <c r="AG51" s="1"/>
      <c r="AH51" s="294"/>
      <c r="AI51" s="297"/>
      <c r="AJ51" s="298"/>
      <c r="AK51" s="299"/>
      <c r="AL51" s="1"/>
      <c r="AM51" s="294"/>
      <c r="AN51" s="297"/>
      <c r="AO51" s="298"/>
      <c r="AP51" s="299"/>
    </row>
    <row r="52" ht="15.75" customHeight="1">
      <c r="A52" s="71"/>
      <c r="B52" s="1"/>
      <c r="C52" s="1"/>
      <c r="D52" s="294"/>
      <c r="E52" s="300"/>
      <c r="F52" s="301"/>
      <c r="G52" s="302"/>
      <c r="H52" s="1"/>
      <c r="I52" s="294"/>
      <c r="J52" s="300"/>
      <c r="K52" s="301"/>
      <c r="L52" s="302"/>
      <c r="M52" s="1"/>
      <c r="N52" s="294"/>
      <c r="O52" s="300"/>
      <c r="P52" s="301"/>
      <c r="Q52" s="302"/>
      <c r="R52" s="1"/>
      <c r="S52" s="294"/>
      <c r="T52" s="300"/>
      <c r="U52" s="301"/>
      <c r="V52" s="302">
        <f t="shared" ref="V52:V60" si="4">IF(U52&lt;V$48,T52-((T52*U52)/V$48),0)</f>
        <v>0</v>
      </c>
      <c r="W52" s="1"/>
      <c r="X52" s="294"/>
      <c r="Y52" s="300"/>
      <c r="Z52" s="301"/>
      <c r="AA52" s="302"/>
      <c r="AB52" s="1"/>
      <c r="AC52" s="294"/>
      <c r="AD52" s="300"/>
      <c r="AE52" s="301"/>
      <c r="AF52" s="302"/>
      <c r="AG52" s="1"/>
      <c r="AH52" s="294"/>
      <c r="AI52" s="300"/>
      <c r="AJ52" s="301"/>
      <c r="AK52" s="302"/>
      <c r="AL52" s="1"/>
      <c r="AM52" s="294"/>
      <c r="AN52" s="300"/>
      <c r="AO52" s="301"/>
      <c r="AP52" s="302"/>
    </row>
    <row r="53" ht="15.75" customHeight="1">
      <c r="A53" s="71"/>
      <c r="B53" s="1"/>
      <c r="C53" s="1"/>
      <c r="D53" s="294"/>
      <c r="E53" s="300"/>
      <c r="F53" s="301"/>
      <c r="G53" s="302"/>
      <c r="H53" s="1"/>
      <c r="I53" s="294"/>
      <c r="J53" s="300"/>
      <c r="K53" s="301"/>
      <c r="L53" s="302"/>
      <c r="M53" s="1"/>
      <c r="N53" s="294"/>
      <c r="O53" s="300"/>
      <c r="P53" s="301"/>
      <c r="Q53" s="302"/>
      <c r="R53" s="1"/>
      <c r="S53" s="294"/>
      <c r="T53" s="300"/>
      <c r="U53" s="301"/>
      <c r="V53" s="302">
        <f t="shared" si="4"/>
        <v>0</v>
      </c>
      <c r="W53" s="1"/>
      <c r="X53" s="294"/>
      <c r="Y53" s="300"/>
      <c r="Z53" s="301"/>
      <c r="AA53" s="302"/>
      <c r="AB53" s="1"/>
      <c r="AC53" s="294"/>
      <c r="AD53" s="300"/>
      <c r="AE53" s="301"/>
      <c r="AF53" s="302"/>
      <c r="AG53" s="1"/>
      <c r="AH53" s="294"/>
      <c r="AI53" s="300"/>
      <c r="AJ53" s="301"/>
      <c r="AK53" s="302"/>
      <c r="AL53" s="1"/>
      <c r="AM53" s="294"/>
      <c r="AN53" s="300"/>
      <c r="AO53" s="301"/>
      <c r="AP53" s="302"/>
    </row>
    <row r="54" ht="15.75" customHeight="1">
      <c r="A54" s="71"/>
      <c r="B54" s="1"/>
      <c r="C54" s="1"/>
      <c r="D54" s="294"/>
      <c r="E54" s="300"/>
      <c r="F54" s="301"/>
      <c r="G54" s="302"/>
      <c r="H54" s="1"/>
      <c r="I54" s="294"/>
      <c r="J54" s="300"/>
      <c r="K54" s="301"/>
      <c r="L54" s="302"/>
      <c r="M54" s="1"/>
      <c r="N54" s="294"/>
      <c r="O54" s="300"/>
      <c r="P54" s="301"/>
      <c r="Q54" s="302"/>
      <c r="R54" s="1"/>
      <c r="S54" s="294"/>
      <c r="T54" s="300"/>
      <c r="U54" s="301"/>
      <c r="V54" s="302">
        <f t="shared" si="4"/>
        <v>0</v>
      </c>
      <c r="W54" s="1"/>
      <c r="X54" s="294"/>
      <c r="Y54" s="300"/>
      <c r="Z54" s="301"/>
      <c r="AA54" s="302"/>
      <c r="AB54" s="1"/>
      <c r="AC54" s="294"/>
      <c r="AD54" s="300"/>
      <c r="AE54" s="301"/>
      <c r="AF54" s="302"/>
      <c r="AG54" s="1"/>
      <c r="AH54" s="294"/>
      <c r="AI54" s="300"/>
      <c r="AJ54" s="301"/>
      <c r="AK54" s="302"/>
      <c r="AL54" s="1"/>
      <c r="AM54" s="294"/>
      <c r="AN54" s="300"/>
      <c r="AO54" s="301"/>
      <c r="AP54" s="302"/>
    </row>
    <row r="55" ht="15.75" customHeight="1">
      <c r="A55" s="71"/>
      <c r="B55" s="1"/>
      <c r="C55" s="1"/>
      <c r="D55" s="294"/>
      <c r="E55" s="300"/>
      <c r="F55" s="301"/>
      <c r="G55" s="302"/>
      <c r="H55" s="1"/>
      <c r="I55" s="294"/>
      <c r="J55" s="300"/>
      <c r="K55" s="301"/>
      <c r="L55" s="302"/>
      <c r="M55" s="1"/>
      <c r="N55" s="294"/>
      <c r="O55" s="300"/>
      <c r="P55" s="301"/>
      <c r="Q55" s="302"/>
      <c r="R55" s="1"/>
      <c r="S55" s="294"/>
      <c r="T55" s="300"/>
      <c r="U55" s="301"/>
      <c r="V55" s="302">
        <f t="shared" si="4"/>
        <v>0</v>
      </c>
      <c r="W55" s="1"/>
      <c r="X55" s="294"/>
      <c r="Y55" s="300"/>
      <c r="Z55" s="301"/>
      <c r="AA55" s="302"/>
      <c r="AB55" s="1"/>
      <c r="AC55" s="294"/>
      <c r="AD55" s="300"/>
      <c r="AE55" s="301"/>
      <c r="AF55" s="302"/>
      <c r="AG55" s="1"/>
      <c r="AH55" s="294"/>
      <c r="AI55" s="300"/>
      <c r="AJ55" s="301"/>
      <c r="AK55" s="302"/>
      <c r="AL55" s="1"/>
      <c r="AM55" s="294"/>
      <c r="AN55" s="300"/>
      <c r="AO55" s="301"/>
      <c r="AP55" s="302"/>
    </row>
    <row r="56" ht="15.75" customHeight="1">
      <c r="A56" s="71"/>
      <c r="B56" s="1"/>
      <c r="C56" s="1"/>
      <c r="D56" s="294"/>
      <c r="E56" s="300"/>
      <c r="F56" s="301"/>
      <c r="G56" s="302"/>
      <c r="H56" s="1"/>
      <c r="I56" s="294"/>
      <c r="J56" s="300"/>
      <c r="K56" s="301"/>
      <c r="L56" s="302"/>
      <c r="M56" s="1"/>
      <c r="N56" s="294"/>
      <c r="O56" s="300"/>
      <c r="P56" s="301"/>
      <c r="Q56" s="302"/>
      <c r="R56" s="1"/>
      <c r="S56" s="294"/>
      <c r="T56" s="300"/>
      <c r="U56" s="301"/>
      <c r="V56" s="302">
        <f t="shared" si="4"/>
        <v>0</v>
      </c>
      <c r="W56" s="1"/>
      <c r="X56" s="294"/>
      <c r="Y56" s="300"/>
      <c r="Z56" s="301"/>
      <c r="AA56" s="302"/>
      <c r="AB56" s="1"/>
      <c r="AC56" s="294"/>
      <c r="AD56" s="300"/>
      <c r="AE56" s="301"/>
      <c r="AF56" s="302"/>
      <c r="AG56" s="1"/>
      <c r="AH56" s="294"/>
      <c r="AI56" s="300"/>
      <c r="AJ56" s="301"/>
      <c r="AK56" s="302"/>
      <c r="AL56" s="1"/>
      <c r="AM56" s="294"/>
      <c r="AN56" s="300"/>
      <c r="AO56" s="301"/>
      <c r="AP56" s="302"/>
    </row>
    <row r="57" ht="15.75" customHeight="1">
      <c r="A57" s="71"/>
      <c r="B57" s="1"/>
      <c r="C57" s="1"/>
      <c r="D57" s="294"/>
      <c r="E57" s="300"/>
      <c r="F57" s="301"/>
      <c r="G57" s="302"/>
      <c r="H57" s="1"/>
      <c r="I57" s="294"/>
      <c r="J57" s="300"/>
      <c r="K57" s="301"/>
      <c r="L57" s="302"/>
      <c r="M57" s="1"/>
      <c r="N57" s="294"/>
      <c r="O57" s="300"/>
      <c r="P57" s="301"/>
      <c r="Q57" s="302"/>
      <c r="R57" s="1"/>
      <c r="S57" s="294"/>
      <c r="T57" s="300"/>
      <c r="U57" s="301"/>
      <c r="V57" s="302">
        <f t="shared" si="4"/>
        <v>0</v>
      </c>
      <c r="W57" s="1"/>
      <c r="X57" s="294"/>
      <c r="Y57" s="300"/>
      <c r="Z57" s="301"/>
      <c r="AA57" s="302"/>
      <c r="AB57" s="1"/>
      <c r="AC57" s="294"/>
      <c r="AD57" s="300"/>
      <c r="AE57" s="301"/>
      <c r="AF57" s="302"/>
      <c r="AG57" s="1"/>
      <c r="AH57" s="294"/>
      <c r="AI57" s="300"/>
      <c r="AJ57" s="301"/>
      <c r="AK57" s="302"/>
      <c r="AL57" s="1"/>
      <c r="AM57" s="294"/>
      <c r="AN57" s="300"/>
      <c r="AO57" s="301"/>
      <c r="AP57" s="302"/>
    </row>
    <row r="58" ht="15.75" customHeight="1">
      <c r="A58" s="71"/>
      <c r="B58" s="1"/>
      <c r="C58" s="1"/>
      <c r="D58" s="294"/>
      <c r="E58" s="300"/>
      <c r="F58" s="301"/>
      <c r="G58" s="302"/>
      <c r="H58" s="1"/>
      <c r="I58" s="294"/>
      <c r="J58" s="300"/>
      <c r="K58" s="301"/>
      <c r="L58" s="302"/>
      <c r="M58" s="1"/>
      <c r="N58" s="294"/>
      <c r="O58" s="300"/>
      <c r="P58" s="301"/>
      <c r="Q58" s="302"/>
      <c r="R58" s="1"/>
      <c r="S58" s="294"/>
      <c r="T58" s="300"/>
      <c r="U58" s="301"/>
      <c r="V58" s="302">
        <f t="shared" si="4"/>
        <v>0</v>
      </c>
      <c r="W58" s="1"/>
      <c r="X58" s="294"/>
      <c r="Y58" s="300"/>
      <c r="Z58" s="301"/>
      <c r="AA58" s="302"/>
      <c r="AB58" s="1"/>
      <c r="AC58" s="294"/>
      <c r="AD58" s="300"/>
      <c r="AE58" s="301"/>
      <c r="AF58" s="302"/>
      <c r="AG58" s="1"/>
      <c r="AH58" s="294"/>
      <c r="AI58" s="300"/>
      <c r="AJ58" s="301"/>
      <c r="AK58" s="302"/>
      <c r="AL58" s="1"/>
      <c r="AM58" s="294"/>
      <c r="AN58" s="300"/>
      <c r="AO58" s="301"/>
      <c r="AP58" s="302"/>
    </row>
    <row r="59" ht="15.75" customHeight="1">
      <c r="A59" s="71"/>
      <c r="B59" s="1"/>
      <c r="C59" s="1"/>
      <c r="D59" s="294"/>
      <c r="E59" s="300"/>
      <c r="F59" s="301"/>
      <c r="G59" s="302"/>
      <c r="H59" s="1"/>
      <c r="I59" s="294"/>
      <c r="J59" s="300"/>
      <c r="K59" s="301"/>
      <c r="L59" s="302"/>
      <c r="M59" s="1"/>
      <c r="N59" s="294"/>
      <c r="O59" s="300"/>
      <c r="P59" s="301"/>
      <c r="Q59" s="302"/>
      <c r="R59" s="1"/>
      <c r="S59" s="294"/>
      <c r="T59" s="300"/>
      <c r="U59" s="301"/>
      <c r="V59" s="302">
        <f t="shared" si="4"/>
        <v>0</v>
      </c>
      <c r="W59" s="1"/>
      <c r="X59" s="294"/>
      <c r="Y59" s="300"/>
      <c r="Z59" s="301"/>
      <c r="AA59" s="302"/>
      <c r="AB59" s="1"/>
      <c r="AC59" s="294"/>
      <c r="AD59" s="300"/>
      <c r="AE59" s="301"/>
      <c r="AF59" s="302"/>
      <c r="AG59" s="1"/>
      <c r="AH59" s="294"/>
      <c r="AI59" s="300"/>
      <c r="AJ59" s="301"/>
      <c r="AK59" s="302"/>
      <c r="AL59" s="1"/>
      <c r="AM59" s="294"/>
      <c r="AN59" s="300"/>
      <c r="AO59" s="301"/>
      <c r="AP59" s="302"/>
    </row>
    <row r="60" ht="15.75" customHeight="1">
      <c r="A60" s="71"/>
      <c r="B60" s="1"/>
      <c r="C60" s="1"/>
      <c r="D60" s="294"/>
      <c r="E60" s="300"/>
      <c r="F60" s="301"/>
      <c r="G60" s="302"/>
      <c r="H60" s="303"/>
      <c r="I60" s="294"/>
      <c r="J60" s="300"/>
      <c r="K60" s="301"/>
      <c r="L60" s="302"/>
      <c r="M60" s="1"/>
      <c r="N60" s="294"/>
      <c r="O60" s="300"/>
      <c r="P60" s="301"/>
      <c r="Q60" s="302"/>
      <c r="R60" s="1"/>
      <c r="S60" s="294"/>
      <c r="T60" s="300"/>
      <c r="U60" s="301"/>
      <c r="V60" s="302">
        <f t="shared" si="4"/>
        <v>0</v>
      </c>
      <c r="W60" s="1"/>
      <c r="X60" s="294"/>
      <c r="Y60" s="300"/>
      <c r="Z60" s="301"/>
      <c r="AA60" s="302"/>
      <c r="AB60" s="1"/>
      <c r="AC60" s="294"/>
      <c r="AD60" s="300"/>
      <c r="AE60" s="301"/>
      <c r="AF60" s="302"/>
      <c r="AG60" s="1"/>
      <c r="AH60" s="294"/>
      <c r="AI60" s="300"/>
      <c r="AJ60" s="301"/>
      <c r="AK60" s="302"/>
      <c r="AL60" s="1"/>
      <c r="AM60" s="294"/>
      <c r="AN60" s="300"/>
      <c r="AO60" s="301"/>
      <c r="AP60" s="302"/>
    </row>
    <row r="61" ht="15.75" customHeight="1">
      <c r="A61" s="71"/>
      <c r="B61" s="1"/>
      <c r="C61" s="1"/>
      <c r="D61" s="294"/>
      <c r="E61" s="304"/>
      <c r="F61" s="305"/>
      <c r="G61" s="306"/>
      <c r="H61" s="1"/>
      <c r="I61" s="294"/>
      <c r="J61" s="304"/>
      <c r="K61" s="305"/>
      <c r="L61" s="306"/>
      <c r="M61" s="1"/>
      <c r="N61" s="294"/>
      <c r="O61" s="304"/>
      <c r="P61" s="305"/>
      <c r="Q61" s="306"/>
      <c r="R61" s="1"/>
      <c r="S61" s="294"/>
      <c r="T61" s="304"/>
      <c r="U61" s="305"/>
      <c r="V61" s="306"/>
      <c r="W61" s="1"/>
      <c r="X61" s="294"/>
      <c r="Y61" s="304"/>
      <c r="Z61" s="305"/>
      <c r="AA61" s="306"/>
      <c r="AB61" s="1"/>
      <c r="AC61" s="294"/>
      <c r="AD61" s="304"/>
      <c r="AE61" s="305"/>
      <c r="AF61" s="306"/>
      <c r="AG61" s="1"/>
      <c r="AH61" s="294"/>
      <c r="AI61" s="304"/>
      <c r="AJ61" s="305"/>
      <c r="AK61" s="306"/>
      <c r="AL61" s="1"/>
      <c r="AM61" s="294"/>
      <c r="AN61" s="304"/>
      <c r="AO61" s="305"/>
      <c r="AP61" s="306"/>
    </row>
    <row r="62" ht="15.75" customHeight="1">
      <c r="A62" s="71"/>
      <c r="B62" s="59" t="s">
        <v>318</v>
      </c>
      <c r="C62" s="1"/>
      <c r="D62" s="297"/>
      <c r="E62" s="298"/>
      <c r="F62" s="298"/>
      <c r="G62" s="299"/>
      <c r="H62" s="1"/>
      <c r="I62" s="297"/>
      <c r="J62" s="298"/>
      <c r="K62" s="298"/>
      <c r="L62" s="299"/>
      <c r="M62" s="1"/>
      <c r="N62" s="297"/>
      <c r="O62" s="298"/>
      <c r="P62" s="298"/>
      <c r="Q62" s="299"/>
      <c r="R62" s="1"/>
      <c r="S62" s="297" t="s">
        <v>319</v>
      </c>
      <c r="T62" s="298" t="s">
        <v>320</v>
      </c>
      <c r="U62" s="298" t="s">
        <v>321</v>
      </c>
      <c r="V62" s="299" t="s">
        <v>317</v>
      </c>
      <c r="W62" s="1"/>
      <c r="X62" s="297"/>
      <c r="Y62" s="298"/>
      <c r="Z62" s="298"/>
      <c r="AA62" s="299"/>
      <c r="AB62" s="1"/>
      <c r="AC62" s="297"/>
      <c r="AD62" s="298"/>
      <c r="AE62" s="298"/>
      <c r="AF62" s="299"/>
      <c r="AG62" s="1"/>
      <c r="AH62" s="297"/>
      <c r="AI62" s="298"/>
      <c r="AJ62" s="298"/>
      <c r="AK62" s="299"/>
      <c r="AL62" s="1"/>
      <c r="AM62" s="297"/>
      <c r="AN62" s="298"/>
      <c r="AO62" s="298"/>
      <c r="AP62" s="299"/>
    </row>
    <row r="63" ht="15.75" customHeight="1">
      <c r="A63" s="71"/>
      <c r="B63" s="1"/>
      <c r="C63" s="1"/>
      <c r="D63" s="307"/>
      <c r="E63" s="307"/>
      <c r="F63" s="308"/>
      <c r="G63" s="302"/>
      <c r="H63" s="1"/>
      <c r="I63" s="307"/>
      <c r="J63" s="307"/>
      <c r="K63" s="308"/>
      <c r="L63" s="302"/>
      <c r="M63" s="1"/>
      <c r="N63" s="307"/>
      <c r="O63" s="307"/>
      <c r="P63" s="308"/>
      <c r="Q63" s="302"/>
      <c r="R63" s="140"/>
      <c r="S63" s="307"/>
      <c r="T63" s="307">
        <v>1000.0</v>
      </c>
      <c r="U63" s="309"/>
      <c r="V63" s="302">
        <f t="shared" ref="V63:V65" si="5">IFERROR(IF(U63&gt;V$48,0,(+T63/U63)*S63/T63),0)</f>
        <v>0</v>
      </c>
      <c r="W63" s="140"/>
      <c r="X63" s="307"/>
      <c r="Y63" s="307"/>
      <c r="Z63" s="308"/>
      <c r="AA63" s="302"/>
      <c r="AB63" s="140"/>
      <c r="AC63" s="307"/>
      <c r="AD63" s="307"/>
      <c r="AE63" s="308"/>
      <c r="AF63" s="302"/>
      <c r="AG63" s="140"/>
      <c r="AH63" s="307"/>
      <c r="AI63" s="307"/>
      <c r="AJ63" s="308"/>
      <c r="AK63" s="302"/>
      <c r="AL63" s="140"/>
      <c r="AM63" s="307"/>
      <c r="AN63" s="307"/>
      <c r="AO63" s="308"/>
      <c r="AP63" s="302"/>
    </row>
    <row r="64" ht="15.75" customHeight="1">
      <c r="A64" s="71"/>
      <c r="B64" s="1"/>
      <c r="C64" s="1"/>
      <c r="D64" s="310"/>
      <c r="E64" s="310"/>
      <c r="F64" s="311"/>
      <c r="G64" s="302"/>
      <c r="H64" s="1"/>
      <c r="I64" s="310"/>
      <c r="J64" s="310"/>
      <c r="K64" s="311"/>
      <c r="L64" s="302"/>
      <c r="M64" s="1"/>
      <c r="N64" s="310"/>
      <c r="O64" s="310"/>
      <c r="P64" s="311"/>
      <c r="Q64" s="302"/>
      <c r="R64" s="1"/>
      <c r="S64" s="310"/>
      <c r="T64" s="310">
        <v>1000.0</v>
      </c>
      <c r="U64" s="311"/>
      <c r="V64" s="302">
        <f t="shared" si="5"/>
        <v>0</v>
      </c>
      <c r="W64" s="1"/>
      <c r="X64" s="310"/>
      <c r="Y64" s="310"/>
      <c r="Z64" s="311"/>
      <c r="AA64" s="302"/>
      <c r="AB64" s="1"/>
      <c r="AC64" s="310"/>
      <c r="AD64" s="310"/>
      <c r="AE64" s="311"/>
      <c r="AF64" s="302"/>
      <c r="AG64" s="1"/>
      <c r="AH64" s="310"/>
      <c r="AI64" s="310"/>
      <c r="AJ64" s="311"/>
      <c r="AK64" s="302"/>
      <c r="AL64" s="1"/>
      <c r="AM64" s="310"/>
      <c r="AN64" s="310"/>
      <c r="AO64" s="311"/>
      <c r="AP64" s="302"/>
    </row>
    <row r="65" ht="15.75" customHeight="1">
      <c r="A65" s="71"/>
      <c r="B65" s="1"/>
      <c r="C65" s="1"/>
      <c r="D65" s="310"/>
      <c r="E65" s="310"/>
      <c r="F65" s="311"/>
      <c r="G65" s="302"/>
      <c r="H65" s="1"/>
      <c r="I65" s="310"/>
      <c r="J65" s="310"/>
      <c r="K65" s="311"/>
      <c r="L65" s="302"/>
      <c r="M65" s="1"/>
      <c r="N65" s="310"/>
      <c r="O65" s="310"/>
      <c r="P65" s="311"/>
      <c r="Q65" s="302"/>
      <c r="R65" s="1"/>
      <c r="S65" s="310"/>
      <c r="T65" s="310"/>
      <c r="U65" s="311"/>
      <c r="V65" s="302">
        <f t="shared" si="5"/>
        <v>0</v>
      </c>
      <c r="W65" s="1"/>
      <c r="X65" s="310"/>
      <c r="Y65" s="310"/>
      <c r="Z65" s="311"/>
      <c r="AA65" s="302"/>
      <c r="AB65" s="1"/>
      <c r="AC65" s="310"/>
      <c r="AD65" s="310"/>
      <c r="AE65" s="311"/>
      <c r="AF65" s="302"/>
      <c r="AG65" s="1"/>
      <c r="AH65" s="310"/>
      <c r="AI65" s="310"/>
      <c r="AJ65" s="311"/>
      <c r="AK65" s="302"/>
      <c r="AL65" s="1"/>
      <c r="AM65" s="310"/>
      <c r="AN65" s="310"/>
      <c r="AO65" s="311"/>
      <c r="AP65" s="302"/>
    </row>
    <row r="66" ht="15.75" customHeight="1">
      <c r="A66" s="71"/>
      <c r="B66" s="1"/>
      <c r="C66" s="1"/>
      <c r="D66" s="294"/>
      <c r="E66" s="312"/>
      <c r="F66" s="313"/>
      <c r="G66" s="314"/>
      <c r="H66" s="1"/>
      <c r="I66" s="294"/>
      <c r="J66" s="312"/>
      <c r="K66" s="313"/>
      <c r="L66" s="314"/>
      <c r="M66" s="1"/>
      <c r="N66" s="294"/>
      <c r="O66" s="312"/>
      <c r="P66" s="313"/>
      <c r="Q66" s="314"/>
      <c r="R66" s="1"/>
      <c r="S66" s="294"/>
      <c r="T66" s="312"/>
      <c r="U66" s="313"/>
      <c r="V66" s="314"/>
      <c r="W66" s="1"/>
      <c r="X66" s="294"/>
      <c r="Y66" s="312"/>
      <c r="Z66" s="313"/>
      <c r="AA66" s="314"/>
      <c r="AB66" s="1"/>
      <c r="AC66" s="294"/>
      <c r="AD66" s="312"/>
      <c r="AE66" s="313"/>
      <c r="AF66" s="314"/>
      <c r="AG66" s="1"/>
      <c r="AH66" s="294"/>
      <c r="AI66" s="312"/>
      <c r="AJ66" s="313"/>
      <c r="AK66" s="314"/>
      <c r="AL66" s="1"/>
      <c r="AM66" s="294"/>
      <c r="AN66" s="312"/>
      <c r="AO66" s="313"/>
      <c r="AP66" s="314"/>
    </row>
    <row r="67" ht="15.75" customHeight="1">
      <c r="A67" s="71"/>
      <c r="B67" s="1"/>
      <c r="C67" s="1"/>
      <c r="D67" s="297"/>
      <c r="E67" s="299"/>
      <c r="F67" s="315"/>
      <c r="G67" s="316"/>
      <c r="H67" s="1"/>
      <c r="I67" s="297"/>
      <c r="J67" s="299"/>
      <c r="K67" s="315"/>
      <c r="L67" s="316"/>
      <c r="M67" s="1"/>
      <c r="N67" s="297"/>
      <c r="O67" s="299"/>
      <c r="P67" s="315"/>
      <c r="Q67" s="316"/>
      <c r="R67" s="1"/>
      <c r="S67" s="297" t="s">
        <v>322</v>
      </c>
      <c r="T67" s="299" t="s">
        <v>323</v>
      </c>
      <c r="U67" s="317" t="s">
        <v>324</v>
      </c>
      <c r="V67" s="267"/>
      <c r="W67" s="1"/>
      <c r="X67" s="297"/>
      <c r="Y67" s="299"/>
      <c r="Z67" s="299"/>
      <c r="AA67" s="299"/>
      <c r="AB67" s="1"/>
      <c r="AC67" s="297"/>
      <c r="AD67" s="299"/>
      <c r="AE67" s="299"/>
      <c r="AF67" s="299"/>
      <c r="AG67" s="1"/>
      <c r="AH67" s="297"/>
      <c r="AI67" s="299"/>
      <c r="AJ67" s="299"/>
      <c r="AK67" s="299"/>
      <c r="AL67" s="1"/>
      <c r="AM67" s="297"/>
      <c r="AN67" s="299"/>
      <c r="AO67" s="299"/>
      <c r="AP67" s="299"/>
    </row>
    <row r="68" ht="15.75" customHeight="1">
      <c r="A68" s="71"/>
      <c r="B68" s="1"/>
      <c r="C68" s="1"/>
      <c r="D68" s="307"/>
      <c r="E68" s="318"/>
      <c r="F68" s="315"/>
      <c r="G68" s="316"/>
      <c r="H68" s="1"/>
      <c r="I68" s="307"/>
      <c r="J68" s="318"/>
      <c r="K68" s="315"/>
      <c r="L68" s="316"/>
      <c r="M68" s="1"/>
      <c r="N68" s="307"/>
      <c r="O68" s="318"/>
      <c r="P68" s="315"/>
      <c r="Q68" s="316"/>
      <c r="R68" s="1"/>
      <c r="S68" s="307"/>
      <c r="T68" s="318"/>
      <c r="U68" s="315"/>
      <c r="V68" s="319"/>
      <c r="W68" s="1"/>
      <c r="X68" s="307"/>
      <c r="Y68" s="318"/>
      <c r="Z68" s="315"/>
      <c r="AA68" s="307"/>
      <c r="AB68" s="1"/>
      <c r="AC68" s="307"/>
      <c r="AD68" s="318"/>
      <c r="AE68" s="315"/>
      <c r="AF68" s="307"/>
      <c r="AG68" s="1"/>
      <c r="AH68" s="307"/>
      <c r="AI68" s="318"/>
      <c r="AJ68" s="315"/>
      <c r="AK68" s="307"/>
      <c r="AL68" s="1"/>
      <c r="AM68" s="307"/>
      <c r="AN68" s="318"/>
      <c r="AO68" s="315"/>
      <c r="AP68" s="307"/>
    </row>
    <row r="69" ht="15.75" customHeight="1">
      <c r="A69" s="71"/>
      <c r="B69" s="1"/>
      <c r="C69" s="1"/>
      <c r="D69" s="310"/>
      <c r="E69" s="318"/>
      <c r="F69" s="320"/>
      <c r="G69" s="316"/>
      <c r="H69" s="1"/>
      <c r="I69" s="310"/>
      <c r="J69" s="318"/>
      <c r="K69" s="320"/>
      <c r="L69" s="316"/>
      <c r="M69" s="1"/>
      <c r="N69" s="310"/>
      <c r="O69" s="318"/>
      <c r="P69" s="320"/>
      <c r="Q69" s="316"/>
      <c r="R69" s="1"/>
      <c r="S69" s="310"/>
      <c r="T69" s="318"/>
      <c r="U69" s="315"/>
      <c r="V69" s="316"/>
      <c r="W69" s="1"/>
      <c r="X69" s="310"/>
      <c r="Y69" s="318"/>
      <c r="Z69" s="320"/>
      <c r="AA69" s="316"/>
      <c r="AB69" s="1"/>
      <c r="AC69" s="310"/>
      <c r="AD69" s="318"/>
      <c r="AE69" s="320"/>
      <c r="AF69" s="316"/>
      <c r="AG69" s="1"/>
      <c r="AH69" s="310"/>
      <c r="AI69" s="318"/>
      <c r="AJ69" s="320"/>
      <c r="AK69" s="316"/>
      <c r="AL69" s="1"/>
      <c r="AM69" s="310"/>
      <c r="AN69" s="318"/>
      <c r="AO69" s="320"/>
      <c r="AP69" s="316"/>
    </row>
    <row r="70" ht="15.75" customHeight="1">
      <c r="A70" s="71"/>
      <c r="B70" s="1"/>
      <c r="C70" s="1"/>
      <c r="D70" s="310"/>
      <c r="E70" s="318"/>
      <c r="F70" s="315"/>
      <c r="G70" s="316"/>
      <c r="H70" s="1"/>
      <c r="I70" s="310"/>
      <c r="J70" s="318"/>
      <c r="K70" s="315"/>
      <c r="L70" s="316"/>
      <c r="M70" s="1"/>
      <c r="N70" s="310"/>
      <c r="O70" s="318"/>
      <c r="P70" s="315"/>
      <c r="Q70" s="316"/>
      <c r="R70" s="1"/>
      <c r="S70" s="310"/>
      <c r="T70" s="318"/>
      <c r="U70" s="315"/>
      <c r="V70" s="316"/>
      <c r="W70" s="1"/>
      <c r="X70" s="310"/>
      <c r="Y70" s="318"/>
      <c r="Z70" s="315"/>
      <c r="AA70" s="316"/>
      <c r="AB70" s="1"/>
      <c r="AC70" s="310"/>
      <c r="AD70" s="318"/>
      <c r="AE70" s="315"/>
      <c r="AF70" s="316"/>
      <c r="AG70" s="1"/>
      <c r="AH70" s="310"/>
      <c r="AI70" s="318"/>
      <c r="AJ70" s="315"/>
      <c r="AK70" s="316"/>
      <c r="AL70" s="1"/>
      <c r="AM70" s="310"/>
      <c r="AN70" s="318"/>
      <c r="AO70" s="315"/>
      <c r="AP70" s="316"/>
    </row>
    <row r="71" ht="15.75" customHeight="1">
      <c r="A71" s="71"/>
      <c r="B71" s="1"/>
      <c r="C71" s="1"/>
      <c r="D71" s="294"/>
      <c r="E71" s="321"/>
      <c r="F71" s="315"/>
      <c r="G71" s="316"/>
      <c r="H71" s="1"/>
      <c r="I71" s="294"/>
      <c r="J71" s="321"/>
      <c r="K71" s="315"/>
      <c r="L71" s="316"/>
      <c r="M71" s="1"/>
      <c r="N71" s="294"/>
      <c r="O71" s="321"/>
      <c r="P71" s="315"/>
      <c r="Q71" s="316"/>
      <c r="R71" s="1"/>
      <c r="S71" s="294"/>
      <c r="T71" s="321"/>
      <c r="U71" s="315"/>
      <c r="V71" s="316"/>
      <c r="W71" s="1"/>
      <c r="X71" s="294"/>
      <c r="Y71" s="321"/>
      <c r="Z71" s="315"/>
      <c r="AA71" s="316"/>
      <c r="AB71" s="1"/>
      <c r="AC71" s="294"/>
      <c r="AD71" s="321"/>
      <c r="AE71" s="315"/>
      <c r="AF71" s="316"/>
      <c r="AG71" s="1"/>
      <c r="AH71" s="294"/>
      <c r="AI71" s="321"/>
      <c r="AJ71" s="315"/>
      <c r="AK71" s="316"/>
      <c r="AL71" s="1"/>
      <c r="AM71" s="294"/>
      <c r="AN71" s="321"/>
      <c r="AO71" s="315"/>
      <c r="AP71" s="316"/>
    </row>
    <row r="72" ht="15.75" customHeight="1">
      <c r="A72" s="71"/>
      <c r="B72" s="1"/>
      <c r="C72" s="1"/>
      <c r="D72" s="294"/>
      <c r="E72" s="322"/>
      <c r="F72" s="323"/>
      <c r="G72" s="299"/>
      <c r="H72" s="1"/>
      <c r="I72" s="294"/>
      <c r="J72" s="322"/>
      <c r="K72" s="323"/>
      <c r="L72" s="299"/>
      <c r="M72" s="1"/>
      <c r="N72" s="294"/>
      <c r="O72" s="322"/>
      <c r="P72" s="323"/>
      <c r="Q72" s="299"/>
      <c r="R72" s="1"/>
      <c r="S72" s="294"/>
      <c r="T72" s="322"/>
      <c r="U72" s="323" t="s">
        <v>325</v>
      </c>
      <c r="V72" s="299" t="s">
        <v>317</v>
      </c>
      <c r="W72" s="1"/>
      <c r="X72" s="294"/>
      <c r="Y72" s="322"/>
      <c r="Z72" s="323"/>
      <c r="AA72" s="299"/>
      <c r="AB72" s="1"/>
      <c r="AC72" s="294"/>
      <c r="AD72" s="322"/>
      <c r="AE72" s="323"/>
      <c r="AF72" s="299"/>
      <c r="AG72" s="1"/>
      <c r="AH72" s="294"/>
      <c r="AI72" s="322"/>
      <c r="AJ72" s="323"/>
      <c r="AK72" s="299"/>
      <c r="AL72" s="1"/>
      <c r="AM72" s="294"/>
      <c r="AN72" s="322"/>
      <c r="AO72" s="323"/>
      <c r="AP72" s="299"/>
    </row>
    <row r="73" ht="15.75" customHeight="1">
      <c r="A73" s="71"/>
      <c r="B73" s="59" t="s">
        <v>326</v>
      </c>
      <c r="C73" s="1"/>
      <c r="D73" s="294"/>
      <c r="E73" s="322"/>
      <c r="F73" s="302"/>
      <c r="G73" s="302"/>
      <c r="H73" s="303"/>
      <c r="I73" s="294"/>
      <c r="J73" s="322"/>
      <c r="K73" s="300"/>
      <c r="L73" s="302"/>
      <c r="M73" s="1"/>
      <c r="N73" s="294"/>
      <c r="O73" s="322"/>
      <c r="P73" s="302"/>
      <c r="Q73" s="302"/>
      <c r="R73" s="1"/>
      <c r="S73" s="294"/>
      <c r="T73" s="322"/>
      <c r="U73" s="302"/>
      <c r="V73" s="302" t="str">
        <f>U73</f>
        <v/>
      </c>
      <c r="W73" s="1"/>
      <c r="X73" s="294"/>
      <c r="Y73" s="322"/>
      <c r="Z73" s="300"/>
      <c r="AA73" s="302"/>
      <c r="AB73" s="1"/>
      <c r="AC73" s="294"/>
      <c r="AD73" s="322"/>
      <c r="AE73" s="300"/>
      <c r="AF73" s="302"/>
      <c r="AG73" s="1"/>
      <c r="AH73" s="294"/>
      <c r="AI73" s="322"/>
      <c r="AJ73" s="302"/>
      <c r="AK73" s="302"/>
      <c r="AL73" s="1"/>
      <c r="AM73" s="294"/>
      <c r="AN73" s="322"/>
      <c r="AO73" s="302"/>
      <c r="AP73" s="302"/>
    </row>
    <row r="74" ht="15.75" customHeight="1">
      <c r="A74" s="71"/>
      <c r="B74" s="59"/>
      <c r="C74" s="1"/>
      <c r="D74" s="294"/>
      <c r="E74" s="321"/>
      <c r="F74" s="312"/>
      <c r="G74" s="324"/>
      <c r="H74" s="1"/>
      <c r="I74" s="294"/>
      <c r="J74" s="321"/>
      <c r="K74" s="312"/>
      <c r="L74" s="324"/>
      <c r="M74" s="1"/>
      <c r="N74" s="294"/>
      <c r="O74" s="321"/>
      <c r="P74" s="312"/>
      <c r="Q74" s="324"/>
      <c r="R74" s="1"/>
      <c r="S74" s="294"/>
      <c r="T74" s="321"/>
      <c r="U74" s="312"/>
      <c r="V74" s="324"/>
      <c r="W74" s="1"/>
      <c r="X74" s="294"/>
      <c r="Y74" s="321"/>
      <c r="Z74" s="312"/>
      <c r="AA74" s="324"/>
      <c r="AB74" s="1"/>
      <c r="AC74" s="294"/>
      <c r="AD74" s="321"/>
      <c r="AE74" s="312"/>
      <c r="AF74" s="324"/>
      <c r="AG74" s="1"/>
      <c r="AH74" s="294"/>
      <c r="AI74" s="321"/>
      <c r="AJ74" s="312"/>
      <c r="AK74" s="324"/>
      <c r="AL74" s="1"/>
      <c r="AM74" s="294"/>
      <c r="AN74" s="321"/>
      <c r="AO74" s="312"/>
      <c r="AP74" s="324"/>
    </row>
    <row r="75" ht="15.75" customHeight="1">
      <c r="A75" s="71"/>
      <c r="B75" s="59" t="s">
        <v>327</v>
      </c>
      <c r="C75" s="59"/>
      <c r="D75" s="325"/>
      <c r="E75" s="326"/>
      <c r="F75" s="326"/>
      <c r="G75" s="327"/>
      <c r="H75" s="1"/>
      <c r="I75" s="325"/>
      <c r="J75" s="326"/>
      <c r="K75" s="326"/>
      <c r="L75" s="327"/>
      <c r="M75" s="1"/>
      <c r="N75" s="325"/>
      <c r="O75" s="326"/>
      <c r="P75" s="326"/>
      <c r="Q75" s="327"/>
      <c r="R75" s="1"/>
      <c r="S75" s="325"/>
      <c r="T75" s="326"/>
      <c r="U75" s="326"/>
      <c r="V75" s="327">
        <f>V73+SUM(V52:V60)+SUM(V63:V64)+V49</f>
        <v>0</v>
      </c>
      <c r="W75" s="1"/>
      <c r="X75" s="325"/>
      <c r="Y75" s="326"/>
      <c r="Z75" s="326"/>
      <c r="AA75" s="327"/>
      <c r="AB75" s="1"/>
      <c r="AC75" s="325"/>
      <c r="AD75" s="326"/>
      <c r="AE75" s="326"/>
      <c r="AF75" s="327"/>
      <c r="AG75" s="1"/>
      <c r="AH75" s="325"/>
      <c r="AI75" s="326"/>
      <c r="AJ75" s="326"/>
      <c r="AK75" s="327"/>
      <c r="AL75" s="1"/>
      <c r="AM75" s="325"/>
      <c r="AN75" s="326"/>
      <c r="AO75" s="326"/>
      <c r="AP75" s="327"/>
    </row>
    <row r="76" ht="15.75" customHeight="1">
      <c r="A76" s="71"/>
      <c r="B76" s="1"/>
      <c r="C76" s="1"/>
      <c r="D76" s="142"/>
      <c r="E76" s="1"/>
      <c r="F76" s="1"/>
      <c r="G76" s="328"/>
      <c r="H76" s="1"/>
      <c r="I76" s="142"/>
      <c r="J76" s="1"/>
      <c r="K76" s="1"/>
      <c r="L76" s="328"/>
      <c r="M76" s="1"/>
      <c r="N76" s="142"/>
      <c r="O76" s="1"/>
      <c r="P76" s="1"/>
      <c r="Q76" s="328"/>
      <c r="R76" s="1"/>
      <c r="S76" s="142"/>
      <c r="T76" s="1"/>
      <c r="U76" s="1"/>
      <c r="V76" s="328"/>
      <c r="W76" s="1"/>
      <c r="X76" s="142"/>
      <c r="Y76" s="1"/>
      <c r="Z76" s="1"/>
      <c r="AA76" s="328"/>
      <c r="AB76" s="1"/>
      <c r="AC76" s="142"/>
      <c r="AD76" s="1"/>
      <c r="AE76" s="1"/>
      <c r="AF76" s="328"/>
      <c r="AG76" s="1"/>
      <c r="AH76" s="142"/>
      <c r="AI76" s="1"/>
      <c r="AJ76" s="1"/>
      <c r="AK76" s="328"/>
      <c r="AL76" s="1"/>
      <c r="AM76" s="142"/>
      <c r="AN76" s="1"/>
      <c r="AO76" s="1"/>
      <c r="AP76" s="328"/>
    </row>
    <row r="77" ht="15.75" customHeight="1">
      <c r="A77" s="71"/>
      <c r="B77" s="1"/>
      <c r="C77" s="1"/>
      <c r="D77" s="260"/>
      <c r="E77" s="263"/>
      <c r="F77" s="263"/>
      <c r="G77" s="264"/>
      <c r="H77" s="1"/>
      <c r="I77" s="260"/>
      <c r="J77" s="263"/>
      <c r="K77" s="263"/>
      <c r="L77" s="264"/>
      <c r="M77" s="1"/>
      <c r="N77" s="260"/>
      <c r="O77" s="263"/>
      <c r="P77" s="263"/>
      <c r="Q77" s="264"/>
      <c r="R77" s="1"/>
      <c r="S77" s="265" t="s">
        <v>328</v>
      </c>
      <c r="T77" s="266"/>
      <c r="U77" s="266"/>
      <c r="V77" s="267"/>
      <c r="W77" s="1"/>
      <c r="X77" s="260"/>
      <c r="Y77" s="263"/>
      <c r="Z77" s="263"/>
      <c r="AA77" s="264"/>
      <c r="AB77" s="1"/>
      <c r="AC77" s="260"/>
      <c r="AD77" s="263"/>
      <c r="AE77" s="263"/>
      <c r="AF77" s="264"/>
      <c r="AG77" s="1"/>
      <c r="AH77" s="260"/>
      <c r="AI77" s="263"/>
      <c r="AJ77" s="263"/>
      <c r="AK77" s="264"/>
      <c r="AL77" s="1"/>
      <c r="AM77" s="260"/>
      <c r="AN77" s="263"/>
      <c r="AO77" s="263"/>
      <c r="AP77" s="264"/>
    </row>
    <row r="78" ht="15.75" customHeight="1">
      <c r="A78" s="71"/>
      <c r="B78" s="1"/>
      <c r="C78" s="1"/>
      <c r="D78" s="290"/>
      <c r="E78" s="291"/>
      <c r="F78" s="291"/>
      <c r="G78" s="329"/>
      <c r="H78" s="1"/>
      <c r="I78" s="290"/>
      <c r="J78" s="291"/>
      <c r="K78" s="291"/>
      <c r="L78" s="329"/>
      <c r="M78" s="1"/>
      <c r="N78" s="290"/>
      <c r="O78" s="291"/>
      <c r="P78" s="291"/>
      <c r="Q78" s="329"/>
      <c r="R78" s="1"/>
      <c r="S78" s="290"/>
      <c r="T78" s="291"/>
      <c r="U78" s="291"/>
      <c r="V78" s="329"/>
      <c r="W78" s="1"/>
      <c r="X78" s="290"/>
      <c r="Y78" s="291"/>
      <c r="Z78" s="291"/>
      <c r="AA78" s="329"/>
      <c r="AB78" s="1"/>
      <c r="AC78" s="290"/>
      <c r="AD78" s="291"/>
      <c r="AE78" s="291"/>
      <c r="AF78" s="329"/>
      <c r="AG78" s="1"/>
      <c r="AH78" s="290"/>
      <c r="AI78" s="291"/>
      <c r="AJ78" s="291"/>
      <c r="AK78" s="329"/>
      <c r="AL78" s="1"/>
      <c r="AM78" s="290"/>
      <c r="AN78" s="291"/>
      <c r="AO78" s="291"/>
      <c r="AP78" s="329"/>
    </row>
    <row r="79" ht="15.75" customHeight="1">
      <c r="A79" s="71"/>
      <c r="B79" s="1" t="s">
        <v>329</v>
      </c>
      <c r="C79" s="1"/>
      <c r="D79" s="271"/>
      <c r="E79" s="272"/>
      <c r="F79" s="272"/>
      <c r="G79" s="270"/>
      <c r="H79" s="1"/>
      <c r="I79" s="271"/>
      <c r="J79" s="272"/>
      <c r="K79" s="272"/>
      <c r="L79" s="270"/>
      <c r="M79" s="1"/>
      <c r="N79" s="271"/>
      <c r="O79" s="272"/>
      <c r="P79" s="272"/>
      <c r="Q79" s="270"/>
      <c r="R79" s="1"/>
      <c r="S79" s="271"/>
      <c r="T79" s="272"/>
      <c r="U79" s="272"/>
      <c r="V79" s="270">
        <f>V75*V48</f>
        <v>0</v>
      </c>
      <c r="W79" s="1"/>
      <c r="X79" s="271"/>
      <c r="Y79" s="272"/>
      <c r="Z79" s="272"/>
      <c r="AA79" s="270"/>
      <c r="AB79" s="1"/>
      <c r="AC79" s="271"/>
      <c r="AD79" s="272"/>
      <c r="AE79" s="272"/>
      <c r="AF79" s="270"/>
      <c r="AG79" s="1"/>
      <c r="AH79" s="271"/>
      <c r="AI79" s="272"/>
      <c r="AJ79" s="272"/>
      <c r="AK79" s="270"/>
      <c r="AL79" s="1"/>
      <c r="AM79" s="271"/>
      <c r="AN79" s="272"/>
      <c r="AO79" s="272"/>
      <c r="AP79" s="270"/>
    </row>
    <row r="80" ht="15.75" customHeight="1">
      <c r="A80" s="71"/>
      <c r="B80" s="1" t="s">
        <v>330</v>
      </c>
      <c r="C80" s="1"/>
      <c r="D80" s="294"/>
      <c r="E80" s="295"/>
      <c r="F80" s="295"/>
      <c r="G80" s="274"/>
      <c r="H80" s="1"/>
      <c r="I80" s="294"/>
      <c r="J80" s="295"/>
      <c r="K80" s="295"/>
      <c r="L80" s="274"/>
      <c r="M80" s="1"/>
      <c r="N80" s="294"/>
      <c r="O80" s="295"/>
      <c r="P80" s="295"/>
      <c r="Q80" s="274"/>
      <c r="R80" s="25"/>
      <c r="S80" s="294"/>
      <c r="T80" s="295"/>
      <c r="U80" s="295"/>
      <c r="V80" s="274">
        <f>V79+SUM(V30:V39)</f>
        <v>-37.02214646</v>
      </c>
      <c r="W80" s="1"/>
      <c r="X80" s="294"/>
      <c r="Y80" s="295"/>
      <c r="Z80" s="295"/>
      <c r="AA80" s="274"/>
      <c r="AB80" s="1"/>
      <c r="AC80" s="294"/>
      <c r="AD80" s="295"/>
      <c r="AE80" s="295"/>
      <c r="AF80" s="274"/>
      <c r="AG80" s="1"/>
      <c r="AH80" s="294"/>
      <c r="AI80" s="295"/>
      <c r="AJ80" s="295"/>
      <c r="AK80" s="274"/>
      <c r="AL80" s="1"/>
      <c r="AM80" s="294"/>
      <c r="AN80" s="295"/>
      <c r="AO80" s="295"/>
      <c r="AP80" s="274"/>
    </row>
    <row r="81" ht="15.75" customHeight="1">
      <c r="A81" s="71"/>
      <c r="B81" s="1" t="s">
        <v>331</v>
      </c>
      <c r="C81" s="1"/>
      <c r="D81" s="325"/>
      <c r="E81" s="326"/>
      <c r="F81" s="326"/>
      <c r="G81" s="330"/>
      <c r="H81" s="1"/>
      <c r="I81" s="325"/>
      <c r="J81" s="326"/>
      <c r="K81" s="326"/>
      <c r="L81" s="330"/>
      <c r="M81" s="1"/>
      <c r="N81" s="325"/>
      <c r="O81" s="326"/>
      <c r="P81" s="326"/>
      <c r="Q81" s="330"/>
      <c r="R81" s="1"/>
      <c r="S81" s="325"/>
      <c r="T81" s="326"/>
      <c r="U81" s="326"/>
      <c r="V81" s="330">
        <v>0.53</v>
      </c>
      <c r="W81" s="1"/>
      <c r="X81" s="325"/>
      <c r="Y81" s="326"/>
      <c r="Z81" s="326"/>
      <c r="AA81" s="330"/>
      <c r="AB81" s="1"/>
      <c r="AC81" s="325"/>
      <c r="AD81" s="326"/>
      <c r="AE81" s="326"/>
      <c r="AF81" s="330"/>
      <c r="AG81" s="1"/>
      <c r="AH81" s="325"/>
      <c r="AI81" s="326"/>
      <c r="AJ81" s="326"/>
      <c r="AK81" s="330"/>
      <c r="AL81" s="1"/>
      <c r="AM81" s="325"/>
      <c r="AN81" s="326"/>
      <c r="AO81" s="326"/>
      <c r="AP81" s="330"/>
    </row>
    <row r="82" ht="15.75" customHeight="1">
      <c r="A82" s="71"/>
      <c r="B82" s="1"/>
      <c r="C82" s="1"/>
      <c r="D82" s="148"/>
      <c r="E82" s="1"/>
      <c r="F82" s="1"/>
      <c r="G82" s="282"/>
      <c r="H82" s="1"/>
      <c r="I82" s="148"/>
      <c r="J82" s="1"/>
      <c r="K82" s="1"/>
      <c r="L82" s="282"/>
      <c r="M82" s="1"/>
      <c r="N82" s="148"/>
      <c r="O82" s="1"/>
      <c r="P82" s="1"/>
      <c r="Q82" s="282"/>
      <c r="R82" s="1"/>
      <c r="S82" s="148"/>
      <c r="T82" s="1"/>
      <c r="U82" s="1"/>
      <c r="V82" s="282"/>
      <c r="W82" s="1"/>
      <c r="X82" s="148"/>
      <c r="Y82" s="1"/>
      <c r="Z82" s="1"/>
      <c r="AA82" s="282"/>
      <c r="AB82" s="1"/>
      <c r="AC82" s="148"/>
      <c r="AD82" s="1"/>
      <c r="AE82" s="1"/>
      <c r="AF82" s="282"/>
      <c r="AG82" s="1"/>
      <c r="AH82" s="148"/>
      <c r="AI82" s="1"/>
      <c r="AJ82" s="1"/>
      <c r="AK82" s="282"/>
      <c r="AL82" s="1"/>
      <c r="AM82" s="148"/>
      <c r="AN82" s="1"/>
      <c r="AO82" s="1"/>
      <c r="AP82" s="282"/>
    </row>
    <row r="83" ht="15.75" customHeight="1">
      <c r="A83" s="71"/>
      <c r="B83" s="1"/>
      <c r="C83" s="1"/>
      <c r="D83" s="260"/>
      <c r="E83" s="263"/>
      <c r="F83" s="263"/>
      <c r="G83" s="264"/>
      <c r="H83" s="1"/>
      <c r="I83" s="260"/>
      <c r="J83" s="263"/>
      <c r="K83" s="263"/>
      <c r="L83" s="264"/>
      <c r="M83" s="1"/>
      <c r="N83" s="260"/>
      <c r="O83" s="263"/>
      <c r="P83" s="263"/>
      <c r="Q83" s="264"/>
      <c r="R83" s="1"/>
      <c r="S83" s="265" t="s">
        <v>332</v>
      </c>
      <c r="T83" s="266"/>
      <c r="U83" s="266"/>
      <c r="V83" s="267"/>
      <c r="W83" s="1"/>
      <c r="X83" s="260"/>
      <c r="Y83" s="263"/>
      <c r="Z83" s="263"/>
      <c r="AA83" s="264"/>
      <c r="AB83" s="1"/>
      <c r="AC83" s="260"/>
      <c r="AD83" s="263"/>
      <c r="AE83" s="263"/>
      <c r="AF83" s="264"/>
      <c r="AG83" s="1"/>
      <c r="AH83" s="260"/>
      <c r="AI83" s="263"/>
      <c r="AJ83" s="263"/>
      <c r="AK83" s="264"/>
      <c r="AL83" s="1"/>
      <c r="AM83" s="260"/>
      <c r="AN83" s="263"/>
      <c r="AO83" s="263"/>
      <c r="AP83" s="264"/>
    </row>
    <row r="84" ht="15.75" customHeight="1">
      <c r="A84" s="71"/>
      <c r="B84" s="1"/>
      <c r="C84" s="1"/>
      <c r="D84" s="195"/>
      <c r="E84" s="196"/>
      <c r="F84" s="196"/>
      <c r="G84" s="197"/>
      <c r="H84" s="1"/>
      <c r="I84" s="195"/>
      <c r="J84" s="196"/>
      <c r="K84" s="196"/>
      <c r="L84" s="197"/>
      <c r="M84" s="1"/>
      <c r="N84" s="195"/>
      <c r="O84" s="196"/>
      <c r="P84" s="196"/>
      <c r="Q84" s="197"/>
      <c r="R84" s="1"/>
      <c r="S84" s="195" t="str">
        <f>V5</f>
        <v>LTM</v>
      </c>
      <c r="T84" s="196" t="str">
        <f t="shared" ref="T84:V84" si="6">S42</f>
        <v>CY 21</v>
      </c>
      <c r="U84" s="196" t="str">
        <f t="shared" si="6"/>
        <v>CY 22</v>
      </c>
      <c r="V84" s="197" t="str">
        <f t="shared" si="6"/>
        <v>CY 23</v>
      </c>
      <c r="W84" s="1"/>
      <c r="X84" s="195"/>
      <c r="Y84" s="196"/>
      <c r="Z84" s="196"/>
      <c r="AA84" s="197"/>
      <c r="AB84" s="1"/>
      <c r="AC84" s="195"/>
      <c r="AD84" s="196"/>
      <c r="AE84" s="196"/>
      <c r="AF84" s="197"/>
      <c r="AG84" s="1"/>
      <c r="AH84" s="195"/>
      <c r="AI84" s="196"/>
      <c r="AJ84" s="196"/>
      <c r="AK84" s="197"/>
      <c r="AL84" s="1"/>
      <c r="AM84" s="195"/>
      <c r="AN84" s="196"/>
      <c r="AO84" s="196"/>
      <c r="AP84" s="197"/>
    </row>
    <row r="85" ht="15.75" customHeight="1">
      <c r="A85" s="71"/>
      <c r="B85" s="1" t="s">
        <v>333</v>
      </c>
      <c r="C85" s="1"/>
      <c r="D85" s="331"/>
      <c r="E85" s="332"/>
      <c r="F85" s="332"/>
      <c r="G85" s="333"/>
      <c r="H85" s="1"/>
      <c r="I85" s="331"/>
      <c r="J85" s="332"/>
      <c r="K85" s="332"/>
      <c r="L85" s="333"/>
      <c r="M85" s="1"/>
      <c r="N85" s="331"/>
      <c r="O85" s="332"/>
      <c r="P85" s="332"/>
      <c r="Q85" s="333"/>
      <c r="R85" s="1"/>
      <c r="S85" s="331"/>
      <c r="T85" s="332"/>
      <c r="U85" s="332"/>
      <c r="V85" s="333"/>
      <c r="W85" s="1"/>
      <c r="X85" s="331"/>
      <c r="Y85" s="332"/>
      <c r="Z85" s="332"/>
      <c r="AA85" s="333"/>
      <c r="AB85" s="1"/>
      <c r="AC85" s="331"/>
      <c r="AD85" s="332"/>
      <c r="AE85" s="332"/>
      <c r="AF85" s="333"/>
      <c r="AG85" s="1"/>
      <c r="AH85" s="331"/>
      <c r="AI85" s="332"/>
      <c r="AJ85" s="332"/>
      <c r="AK85" s="333"/>
      <c r="AL85" s="1"/>
      <c r="AM85" s="331"/>
      <c r="AN85" s="332"/>
      <c r="AO85" s="332"/>
      <c r="AP85" s="333"/>
    </row>
    <row r="86" ht="15.75" customHeight="1">
      <c r="A86" s="71"/>
      <c r="B86" s="1" t="s">
        <v>334</v>
      </c>
      <c r="C86" s="1"/>
      <c r="D86" s="334"/>
      <c r="E86" s="335"/>
      <c r="F86" s="335"/>
      <c r="G86" s="336"/>
      <c r="H86" s="1"/>
      <c r="I86" s="334"/>
      <c r="J86" s="335"/>
      <c r="K86" s="335"/>
      <c r="L86" s="336"/>
      <c r="M86" s="1"/>
      <c r="N86" s="334"/>
      <c r="O86" s="335"/>
      <c r="P86" s="335"/>
      <c r="Q86" s="336"/>
      <c r="R86" s="1"/>
      <c r="S86" s="334"/>
      <c r="T86" s="335"/>
      <c r="U86" s="335"/>
      <c r="V86" s="336"/>
      <c r="W86" s="1"/>
      <c r="X86" s="334"/>
      <c r="Y86" s="335"/>
      <c r="Z86" s="335"/>
      <c r="AA86" s="336"/>
      <c r="AB86" s="1"/>
      <c r="AC86" s="334"/>
      <c r="AD86" s="335"/>
      <c r="AE86" s="335"/>
      <c r="AF86" s="336"/>
      <c r="AG86" s="1"/>
      <c r="AH86" s="334"/>
      <c r="AI86" s="335"/>
      <c r="AJ86" s="335"/>
      <c r="AK86" s="336"/>
      <c r="AL86" s="1"/>
      <c r="AM86" s="334"/>
      <c r="AN86" s="335"/>
      <c r="AO86" s="335"/>
      <c r="AP86" s="336"/>
    </row>
    <row r="87" ht="15.75" customHeight="1">
      <c r="A87" s="71"/>
      <c r="B87" s="1" t="s">
        <v>335</v>
      </c>
      <c r="C87" s="1"/>
      <c r="D87" s="337"/>
      <c r="E87" s="338"/>
      <c r="F87" s="338"/>
      <c r="G87" s="339"/>
      <c r="H87" s="1"/>
      <c r="I87" s="337"/>
      <c r="J87" s="338"/>
      <c r="K87" s="338"/>
      <c r="L87" s="339"/>
      <c r="M87" s="1"/>
      <c r="N87" s="337"/>
      <c r="O87" s="338"/>
      <c r="P87" s="338"/>
      <c r="Q87" s="339"/>
      <c r="R87" s="1"/>
      <c r="S87" s="337"/>
      <c r="T87" s="338"/>
      <c r="U87" s="338"/>
      <c r="V87" s="339"/>
      <c r="W87" s="1"/>
      <c r="X87" s="337"/>
      <c r="Y87" s="338"/>
      <c r="Z87" s="338"/>
      <c r="AA87" s="339"/>
      <c r="AB87" s="1"/>
      <c r="AC87" s="337"/>
      <c r="AD87" s="338"/>
      <c r="AE87" s="338"/>
      <c r="AF87" s="339"/>
      <c r="AG87" s="1"/>
      <c r="AH87" s="337"/>
      <c r="AI87" s="338"/>
      <c r="AJ87" s="338"/>
      <c r="AK87" s="339"/>
      <c r="AL87" s="1"/>
      <c r="AM87" s="337"/>
      <c r="AN87" s="338"/>
      <c r="AO87" s="338"/>
      <c r="AP87" s="339"/>
    </row>
    <row r="88" ht="15.75" customHeight="1">
      <c r="A88" s="71"/>
      <c r="B88" s="1"/>
      <c r="C88" s="1"/>
      <c r="D88" s="142"/>
      <c r="E88" s="1"/>
      <c r="F88" s="1"/>
      <c r="G88" s="328"/>
      <c r="H88" s="1"/>
      <c r="I88" s="142"/>
      <c r="J88" s="1"/>
      <c r="K88" s="1"/>
      <c r="L88" s="328"/>
      <c r="M88" s="1"/>
      <c r="N88" s="142"/>
      <c r="O88" s="1"/>
      <c r="P88" s="1"/>
      <c r="Q88" s="328"/>
      <c r="R88" s="1"/>
      <c r="S88" s="142"/>
      <c r="T88" s="1"/>
      <c r="U88" s="1"/>
      <c r="V88" s="328"/>
      <c r="W88" s="1"/>
      <c r="X88" s="142"/>
      <c r="Y88" s="1"/>
      <c r="Z88" s="1"/>
      <c r="AA88" s="328"/>
      <c r="AB88" s="1"/>
      <c r="AC88" s="142"/>
      <c r="AD88" s="1"/>
      <c r="AE88" s="1"/>
      <c r="AF88" s="328"/>
      <c r="AG88" s="1"/>
      <c r="AH88" s="142"/>
      <c r="AI88" s="1"/>
      <c r="AJ88" s="1"/>
      <c r="AK88" s="328"/>
      <c r="AL88" s="1"/>
      <c r="AM88" s="142"/>
      <c r="AN88" s="1"/>
      <c r="AO88" s="1"/>
      <c r="AP88" s="328"/>
    </row>
    <row r="89" ht="15.75" customHeight="1">
      <c r="A89" s="71"/>
      <c r="B89" s="1"/>
      <c r="C89" s="1"/>
      <c r="D89" s="260"/>
      <c r="E89" s="263"/>
      <c r="F89" s="263"/>
      <c r="G89" s="264"/>
      <c r="H89" s="1"/>
      <c r="I89" s="260"/>
      <c r="J89" s="263"/>
      <c r="K89" s="263"/>
      <c r="L89" s="264"/>
      <c r="M89" s="1"/>
      <c r="N89" s="260"/>
      <c r="O89" s="263"/>
      <c r="P89" s="263"/>
      <c r="Q89" s="264"/>
      <c r="R89" s="1"/>
      <c r="S89" s="265" t="s">
        <v>336</v>
      </c>
      <c r="T89" s="266"/>
      <c r="U89" s="266"/>
      <c r="V89" s="267"/>
      <c r="W89" s="1"/>
      <c r="X89" s="260"/>
      <c r="Y89" s="263"/>
      <c r="Z89" s="263"/>
      <c r="AA89" s="264"/>
      <c r="AB89" s="1"/>
      <c r="AC89" s="260"/>
      <c r="AD89" s="263"/>
      <c r="AE89" s="263"/>
      <c r="AF89" s="264"/>
      <c r="AG89" s="1"/>
      <c r="AH89" s="260"/>
      <c r="AI89" s="263"/>
      <c r="AJ89" s="263"/>
      <c r="AK89" s="264"/>
      <c r="AL89" s="1"/>
      <c r="AM89" s="260"/>
      <c r="AN89" s="263"/>
      <c r="AO89" s="263"/>
      <c r="AP89" s="264"/>
    </row>
    <row r="90" ht="15.75" customHeight="1">
      <c r="A90" s="71"/>
      <c r="B90" s="1"/>
      <c r="C90" s="1"/>
      <c r="D90" s="294"/>
      <c r="E90" s="295"/>
      <c r="F90" s="295"/>
      <c r="G90" s="340"/>
      <c r="H90" s="1"/>
      <c r="I90" s="294"/>
      <c r="J90" s="295"/>
      <c r="K90" s="295"/>
      <c r="L90" s="340"/>
      <c r="M90" s="1"/>
      <c r="N90" s="294"/>
      <c r="O90" s="295"/>
      <c r="P90" s="295"/>
      <c r="Q90" s="340"/>
      <c r="R90" s="1"/>
      <c r="S90" s="294"/>
      <c r="T90" s="295"/>
      <c r="U90" s="295"/>
      <c r="V90" s="340"/>
      <c r="W90" s="1"/>
      <c r="X90" s="294"/>
      <c r="Y90" s="295"/>
      <c r="Z90" s="295"/>
      <c r="AA90" s="340"/>
      <c r="AB90" s="1"/>
      <c r="AC90" s="294"/>
      <c r="AD90" s="295"/>
      <c r="AE90" s="295"/>
      <c r="AF90" s="340"/>
      <c r="AG90" s="1"/>
      <c r="AH90" s="294"/>
      <c r="AI90" s="295"/>
      <c r="AJ90" s="295"/>
      <c r="AK90" s="340"/>
      <c r="AL90" s="1"/>
      <c r="AM90" s="294"/>
      <c r="AN90" s="295"/>
      <c r="AO90" s="295"/>
      <c r="AP90" s="340"/>
    </row>
    <row r="91" ht="15.75" customHeight="1">
      <c r="A91" s="71"/>
      <c r="B91" s="1" t="str">
        <f t="shared" ref="B91:B93" si="7">$E$84&amp;" "&amp;B43</f>
        <v> Revenue:</v>
      </c>
      <c r="C91" s="1"/>
      <c r="D91" s="294"/>
      <c r="E91" s="295"/>
      <c r="F91" s="295"/>
      <c r="G91" s="270"/>
      <c r="H91" s="1"/>
      <c r="I91" s="294"/>
      <c r="J91" s="295"/>
      <c r="K91" s="295"/>
      <c r="L91" s="270"/>
      <c r="M91" s="1"/>
      <c r="N91" s="294"/>
      <c r="O91" s="295"/>
      <c r="P91" s="295"/>
      <c r="Q91" s="270"/>
      <c r="R91" s="1"/>
      <c r="S91" s="294"/>
      <c r="T91" s="295"/>
      <c r="U91" s="295"/>
      <c r="V91" s="270">
        <f t="shared" ref="V91:V93" si="8">S43</f>
        <v>1853.42</v>
      </c>
      <c r="W91" s="1"/>
      <c r="X91" s="294"/>
      <c r="Y91" s="295"/>
      <c r="Z91" s="295"/>
      <c r="AA91" s="270"/>
      <c r="AB91" s="1"/>
      <c r="AC91" s="294"/>
      <c r="AD91" s="295"/>
      <c r="AE91" s="295"/>
      <c r="AF91" s="270"/>
      <c r="AG91" s="1"/>
      <c r="AH91" s="294"/>
      <c r="AI91" s="295"/>
      <c r="AJ91" s="295"/>
      <c r="AK91" s="270"/>
      <c r="AL91" s="1"/>
      <c r="AM91" s="294"/>
      <c r="AN91" s="295"/>
      <c r="AO91" s="295"/>
      <c r="AP91" s="270"/>
    </row>
    <row r="92" ht="15.75" customHeight="1">
      <c r="A92" s="71"/>
      <c r="B92" s="1" t="str">
        <f t="shared" si="7"/>
        <v> EBITDA:</v>
      </c>
      <c r="C92" s="1"/>
      <c r="D92" s="294"/>
      <c r="E92" s="295"/>
      <c r="F92" s="295"/>
      <c r="G92" s="274"/>
      <c r="H92" s="1"/>
      <c r="I92" s="294"/>
      <c r="J92" s="295"/>
      <c r="K92" s="295"/>
      <c r="L92" s="274"/>
      <c r="M92" s="1"/>
      <c r="N92" s="294"/>
      <c r="O92" s="295"/>
      <c r="P92" s="295"/>
      <c r="Q92" s="274"/>
      <c r="R92" s="1"/>
      <c r="S92" s="294"/>
      <c r="T92" s="295"/>
      <c r="U92" s="295"/>
      <c r="V92" s="274">
        <f t="shared" si="8"/>
        <v>-7.65</v>
      </c>
      <c r="W92" s="1"/>
      <c r="X92" s="294"/>
      <c r="Y92" s="295"/>
      <c r="Z92" s="295"/>
      <c r="AA92" s="274"/>
      <c r="AB92" s="1"/>
      <c r="AC92" s="294"/>
      <c r="AD92" s="295"/>
      <c r="AE92" s="295"/>
      <c r="AF92" s="274"/>
      <c r="AG92" s="1"/>
      <c r="AH92" s="294"/>
      <c r="AI92" s="295"/>
      <c r="AJ92" s="295"/>
      <c r="AK92" s="274"/>
      <c r="AL92" s="1"/>
      <c r="AM92" s="294"/>
      <c r="AN92" s="295"/>
      <c r="AO92" s="295"/>
      <c r="AP92" s="274"/>
    </row>
    <row r="93" ht="15.75" customHeight="1">
      <c r="A93" s="71"/>
      <c r="B93" s="1" t="str">
        <f t="shared" si="7"/>
        <v> Normalized Net Income to Common:</v>
      </c>
      <c r="C93" s="1"/>
      <c r="D93" s="294"/>
      <c r="E93" s="295"/>
      <c r="F93" s="295"/>
      <c r="G93" s="274"/>
      <c r="H93" s="1"/>
      <c r="I93" s="294"/>
      <c r="J93" s="295"/>
      <c r="K93" s="295"/>
      <c r="L93" s="274"/>
      <c r="M93" s="1"/>
      <c r="N93" s="294"/>
      <c r="O93" s="295"/>
      <c r="P93" s="295"/>
      <c r="Q93" s="274"/>
      <c r="R93" s="1"/>
      <c r="S93" s="294"/>
      <c r="T93" s="295"/>
      <c r="U93" s="295"/>
      <c r="V93" s="274">
        <f t="shared" si="8"/>
        <v>226.37</v>
      </c>
      <c r="W93" s="1"/>
      <c r="X93" s="294"/>
      <c r="Y93" s="295"/>
      <c r="Z93" s="295"/>
      <c r="AA93" s="274"/>
      <c r="AB93" s="1"/>
      <c r="AC93" s="294"/>
      <c r="AD93" s="295"/>
      <c r="AE93" s="295"/>
      <c r="AF93" s="274"/>
      <c r="AG93" s="1"/>
      <c r="AH93" s="294"/>
      <c r="AI93" s="295"/>
      <c r="AJ93" s="295"/>
      <c r="AK93" s="274"/>
      <c r="AL93" s="1"/>
      <c r="AM93" s="294"/>
      <c r="AN93" s="295"/>
      <c r="AO93" s="295"/>
      <c r="AP93" s="274"/>
    </row>
    <row r="94" ht="15.75" customHeight="1">
      <c r="A94" s="71"/>
      <c r="B94" s="1"/>
      <c r="C94" s="1"/>
      <c r="D94" s="294"/>
      <c r="E94" s="295"/>
      <c r="F94" s="295"/>
      <c r="G94" s="296"/>
      <c r="H94" s="1"/>
      <c r="I94" s="294"/>
      <c r="J94" s="295"/>
      <c r="K94" s="295"/>
      <c r="L94" s="296"/>
      <c r="M94" s="1"/>
      <c r="N94" s="294"/>
      <c r="O94" s="295"/>
      <c r="P94" s="295"/>
      <c r="Q94" s="296"/>
      <c r="R94" s="1"/>
      <c r="S94" s="294"/>
      <c r="T94" s="295"/>
      <c r="U94" s="295"/>
      <c r="V94" s="296"/>
      <c r="W94" s="1"/>
      <c r="X94" s="294"/>
      <c r="Y94" s="295"/>
      <c r="Z94" s="295"/>
      <c r="AA94" s="296"/>
      <c r="AB94" s="1"/>
      <c r="AC94" s="294"/>
      <c r="AD94" s="295"/>
      <c r="AE94" s="295"/>
      <c r="AF94" s="296"/>
      <c r="AG94" s="1"/>
      <c r="AH94" s="294"/>
      <c r="AI94" s="295"/>
      <c r="AJ94" s="295"/>
      <c r="AK94" s="296"/>
      <c r="AL94" s="1"/>
      <c r="AM94" s="294"/>
      <c r="AN94" s="295"/>
      <c r="AO94" s="295"/>
      <c r="AP94" s="296"/>
    </row>
    <row r="95" ht="15.75" customHeight="1">
      <c r="A95" s="71"/>
      <c r="B95" s="1" t="str">
        <f t="shared" ref="B95:B97" si="9">$F$84&amp;" "&amp;B43</f>
        <v> Revenue:</v>
      </c>
      <c r="C95" s="1"/>
      <c r="D95" s="294"/>
      <c r="E95" s="295"/>
      <c r="F95" s="295"/>
      <c r="G95" s="274"/>
      <c r="H95" s="1"/>
      <c r="I95" s="294"/>
      <c r="J95" s="295"/>
      <c r="K95" s="295"/>
      <c r="L95" s="274"/>
      <c r="M95" s="1"/>
      <c r="N95" s="294"/>
      <c r="O95" s="295"/>
      <c r="P95" s="295"/>
      <c r="Q95" s="274"/>
      <c r="R95" s="1"/>
      <c r="S95" s="294"/>
      <c r="T95" s="295"/>
      <c r="U95" s="295"/>
      <c r="V95" s="274">
        <f t="shared" ref="V95:V97" si="10">T43</f>
        <v>2188.11</v>
      </c>
      <c r="W95" s="1"/>
      <c r="X95" s="294"/>
      <c r="Y95" s="295"/>
      <c r="Z95" s="295"/>
      <c r="AA95" s="274"/>
      <c r="AB95" s="1"/>
      <c r="AC95" s="294"/>
      <c r="AD95" s="295"/>
      <c r="AE95" s="295"/>
      <c r="AF95" s="274"/>
      <c r="AG95" s="1"/>
      <c r="AH95" s="294"/>
      <c r="AI95" s="295"/>
      <c r="AJ95" s="295"/>
      <c r="AK95" s="274"/>
      <c r="AL95" s="1"/>
      <c r="AM95" s="294"/>
      <c r="AN95" s="295"/>
      <c r="AO95" s="295"/>
      <c r="AP95" s="274"/>
    </row>
    <row r="96" ht="15.75" customHeight="1">
      <c r="A96" s="71"/>
      <c r="B96" s="1" t="str">
        <f t="shared" si="9"/>
        <v> EBITDA:</v>
      </c>
      <c r="C96" s="1"/>
      <c r="D96" s="294"/>
      <c r="E96" s="295"/>
      <c r="F96" s="295"/>
      <c r="G96" s="274"/>
      <c r="H96" s="1"/>
      <c r="I96" s="294"/>
      <c r="J96" s="295"/>
      <c r="K96" s="295"/>
      <c r="L96" s="341"/>
      <c r="M96" s="1"/>
      <c r="N96" s="294"/>
      <c r="O96" s="295"/>
      <c r="P96" s="295"/>
      <c r="Q96" s="341"/>
      <c r="R96" s="1"/>
      <c r="S96" s="294"/>
      <c r="T96" s="295"/>
      <c r="U96" s="295"/>
      <c r="V96" s="341">
        <f t="shared" si="10"/>
        <v>346.98</v>
      </c>
      <c r="W96" s="1"/>
      <c r="X96" s="294"/>
      <c r="Y96" s="295"/>
      <c r="Z96" s="295"/>
      <c r="AA96" s="341"/>
      <c r="AB96" s="1"/>
      <c r="AC96" s="294"/>
      <c r="AD96" s="295"/>
      <c r="AE96" s="295"/>
      <c r="AF96" s="341"/>
      <c r="AG96" s="1"/>
      <c r="AH96" s="294"/>
      <c r="AI96" s="295"/>
      <c r="AJ96" s="295"/>
      <c r="AK96" s="341"/>
      <c r="AL96" s="1"/>
      <c r="AM96" s="294"/>
      <c r="AN96" s="295"/>
      <c r="AO96" s="295"/>
      <c r="AP96" s="341"/>
    </row>
    <row r="97" ht="15.75" customHeight="1">
      <c r="A97" s="71"/>
      <c r="B97" s="1" t="str">
        <f t="shared" si="9"/>
        <v> Normalized Net Income to Common:</v>
      </c>
      <c r="C97" s="1"/>
      <c r="D97" s="294"/>
      <c r="E97" s="295"/>
      <c r="F97" s="295"/>
      <c r="G97" s="274"/>
      <c r="H97" s="1"/>
      <c r="I97" s="294"/>
      <c r="J97" s="295"/>
      <c r="K97" s="295"/>
      <c r="L97" s="341"/>
      <c r="M97" s="1"/>
      <c r="N97" s="294"/>
      <c r="O97" s="295"/>
      <c r="P97" s="295"/>
      <c r="Q97" s="341"/>
      <c r="R97" s="1"/>
      <c r="S97" s="294"/>
      <c r="T97" s="295"/>
      <c r="U97" s="295"/>
      <c r="V97" s="341">
        <f t="shared" si="10"/>
        <v>470.36</v>
      </c>
      <c r="W97" s="1"/>
      <c r="X97" s="294"/>
      <c r="Y97" s="295"/>
      <c r="Z97" s="295"/>
      <c r="AA97" s="341"/>
      <c r="AB97" s="1"/>
      <c r="AC97" s="294"/>
      <c r="AD97" s="295"/>
      <c r="AE97" s="295"/>
      <c r="AF97" s="341"/>
      <c r="AG97" s="1"/>
      <c r="AH97" s="294"/>
      <c r="AI97" s="295"/>
      <c r="AJ97" s="295"/>
      <c r="AK97" s="341"/>
      <c r="AL97" s="1"/>
      <c r="AM97" s="294"/>
      <c r="AN97" s="295"/>
      <c r="AO97" s="295"/>
      <c r="AP97" s="341"/>
    </row>
    <row r="98" ht="15.75" customHeight="1">
      <c r="A98" s="71"/>
      <c r="B98" s="1"/>
      <c r="C98" s="1"/>
      <c r="D98" s="294"/>
      <c r="E98" s="295"/>
      <c r="F98" s="295"/>
      <c r="G98" s="296"/>
      <c r="H98" s="1"/>
      <c r="I98" s="294"/>
      <c r="J98" s="295"/>
      <c r="K98" s="295"/>
      <c r="L98" s="296"/>
      <c r="M98" s="1"/>
      <c r="N98" s="294"/>
      <c r="O98" s="295"/>
      <c r="P98" s="295"/>
      <c r="Q98" s="296"/>
      <c r="R98" s="1"/>
      <c r="S98" s="294"/>
      <c r="T98" s="295"/>
      <c r="U98" s="295"/>
      <c r="V98" s="296"/>
      <c r="W98" s="1"/>
      <c r="X98" s="294"/>
      <c r="Y98" s="295"/>
      <c r="Z98" s="295"/>
      <c r="AA98" s="296"/>
      <c r="AB98" s="1"/>
      <c r="AC98" s="294"/>
      <c r="AD98" s="295"/>
      <c r="AE98" s="295"/>
      <c r="AF98" s="296"/>
      <c r="AG98" s="1"/>
      <c r="AH98" s="294"/>
      <c r="AI98" s="295"/>
      <c r="AJ98" s="295"/>
      <c r="AK98" s="296"/>
      <c r="AL98" s="1"/>
      <c r="AM98" s="294"/>
      <c r="AN98" s="295"/>
      <c r="AO98" s="295"/>
      <c r="AP98" s="296"/>
    </row>
    <row r="99" ht="15.75" customHeight="1">
      <c r="A99" s="71"/>
      <c r="B99" s="1" t="str">
        <f t="shared" ref="B99:B101" si="11">$G$84&amp;" "&amp;B43</f>
        <v> Revenue:</v>
      </c>
      <c r="C99" s="1"/>
      <c r="D99" s="294"/>
      <c r="E99" s="295"/>
      <c r="F99" s="295"/>
      <c r="G99" s="274"/>
      <c r="H99" s="1"/>
      <c r="I99" s="294"/>
      <c r="J99" s="295"/>
      <c r="K99" s="295"/>
      <c r="L99" s="341"/>
      <c r="M99" s="1"/>
      <c r="N99" s="294"/>
      <c r="O99" s="295"/>
      <c r="P99" s="295"/>
      <c r="Q99" s="341"/>
      <c r="R99" s="1"/>
      <c r="S99" s="294"/>
      <c r="T99" s="295"/>
      <c r="U99" s="295"/>
      <c r="V99" s="341">
        <f t="shared" ref="V99:V101" si="12">U43</f>
        <v>2747.65</v>
      </c>
      <c r="W99" s="1"/>
      <c r="X99" s="294"/>
      <c r="Y99" s="295"/>
      <c r="Z99" s="295"/>
      <c r="AA99" s="341"/>
      <c r="AB99" s="1"/>
      <c r="AC99" s="294"/>
      <c r="AD99" s="295"/>
      <c r="AE99" s="295"/>
      <c r="AF99" s="341"/>
      <c r="AG99" s="1"/>
      <c r="AH99" s="294"/>
      <c r="AI99" s="295"/>
      <c r="AJ99" s="295"/>
      <c r="AK99" s="341"/>
      <c r="AL99" s="1"/>
      <c r="AM99" s="294"/>
      <c r="AN99" s="295"/>
      <c r="AO99" s="295"/>
      <c r="AP99" s="341"/>
    </row>
    <row r="100" ht="15.75" customHeight="1">
      <c r="A100" s="71"/>
      <c r="B100" s="1" t="str">
        <f t="shared" si="11"/>
        <v> EBITDA:</v>
      </c>
      <c r="C100" s="1"/>
      <c r="D100" s="294"/>
      <c r="E100" s="295"/>
      <c r="F100" s="295"/>
      <c r="G100" s="274"/>
      <c r="H100" s="1"/>
      <c r="I100" s="294"/>
      <c r="J100" s="295"/>
      <c r="K100" s="295"/>
      <c r="L100" s="341"/>
      <c r="M100" s="1"/>
      <c r="N100" s="294"/>
      <c r="O100" s="295"/>
      <c r="P100" s="295"/>
      <c r="Q100" s="341"/>
      <c r="R100" s="1"/>
      <c r="S100" s="294"/>
      <c r="T100" s="295"/>
      <c r="U100" s="295"/>
      <c r="V100" s="341">
        <f t="shared" si="12"/>
        <v>858.7</v>
      </c>
      <c r="W100" s="1"/>
      <c r="X100" s="294"/>
      <c r="Y100" s="295"/>
      <c r="Z100" s="295"/>
      <c r="AA100" s="341"/>
      <c r="AB100" s="1"/>
      <c r="AC100" s="294"/>
      <c r="AD100" s="295"/>
      <c r="AE100" s="295"/>
      <c r="AF100" s="341"/>
      <c r="AG100" s="1"/>
      <c r="AH100" s="294"/>
      <c r="AI100" s="295"/>
      <c r="AJ100" s="295"/>
      <c r="AK100" s="341"/>
      <c r="AL100" s="1"/>
      <c r="AM100" s="294"/>
      <c r="AN100" s="295"/>
      <c r="AO100" s="295"/>
      <c r="AP100" s="341"/>
    </row>
    <row r="101" ht="15.75" customHeight="1">
      <c r="A101" s="71"/>
      <c r="B101" s="1" t="str">
        <f t="shared" si="11"/>
        <v> Normalized Net Income to Common:</v>
      </c>
      <c r="C101" s="1"/>
      <c r="D101" s="294"/>
      <c r="E101" s="295"/>
      <c r="F101" s="295"/>
      <c r="G101" s="274"/>
      <c r="H101" s="1"/>
      <c r="I101" s="294"/>
      <c r="J101" s="295"/>
      <c r="K101" s="295"/>
      <c r="L101" s="341"/>
      <c r="M101" s="1"/>
      <c r="N101" s="294"/>
      <c r="O101" s="295"/>
      <c r="P101" s="295"/>
      <c r="Q101" s="341"/>
      <c r="R101" s="1"/>
      <c r="S101" s="294"/>
      <c r="T101" s="295"/>
      <c r="U101" s="295"/>
      <c r="V101" s="341">
        <f t="shared" si="12"/>
        <v>818.16</v>
      </c>
      <c r="W101" s="1"/>
      <c r="X101" s="294"/>
      <c r="Y101" s="295"/>
      <c r="Z101" s="295"/>
      <c r="AA101" s="341"/>
      <c r="AB101" s="1"/>
      <c r="AC101" s="294"/>
      <c r="AD101" s="295"/>
      <c r="AE101" s="295"/>
      <c r="AF101" s="341"/>
      <c r="AG101" s="1"/>
      <c r="AH101" s="294"/>
      <c r="AI101" s="295"/>
      <c r="AJ101" s="295"/>
      <c r="AK101" s="341"/>
      <c r="AL101" s="1"/>
      <c r="AM101" s="294"/>
      <c r="AN101" s="295"/>
      <c r="AO101" s="295"/>
      <c r="AP101" s="341"/>
    </row>
    <row r="102" ht="15.75" customHeight="1">
      <c r="A102" s="71"/>
      <c r="B102" s="1"/>
      <c r="C102" s="1"/>
      <c r="D102" s="294"/>
      <c r="E102" s="295"/>
      <c r="F102" s="295"/>
      <c r="G102" s="296"/>
      <c r="H102" s="1"/>
      <c r="I102" s="294"/>
      <c r="J102" s="295"/>
      <c r="K102" s="295"/>
      <c r="L102" s="296"/>
      <c r="M102" s="1"/>
      <c r="N102" s="294"/>
      <c r="O102" s="295"/>
      <c r="P102" s="295"/>
      <c r="Q102" s="296"/>
      <c r="R102" s="1"/>
      <c r="S102" s="294"/>
      <c r="T102" s="295"/>
      <c r="U102" s="295"/>
      <c r="V102" s="296"/>
      <c r="W102" s="1"/>
      <c r="X102" s="294"/>
      <c r="Y102" s="295"/>
      <c r="Z102" s="295"/>
      <c r="AA102" s="296"/>
      <c r="AB102" s="1"/>
      <c r="AC102" s="294"/>
      <c r="AD102" s="295"/>
      <c r="AE102" s="295"/>
      <c r="AF102" s="296"/>
      <c r="AG102" s="1"/>
      <c r="AH102" s="294"/>
      <c r="AI102" s="295"/>
      <c r="AJ102" s="295"/>
      <c r="AK102" s="296"/>
      <c r="AL102" s="1"/>
      <c r="AM102" s="294"/>
      <c r="AN102" s="295"/>
      <c r="AO102" s="295"/>
      <c r="AP102" s="296"/>
    </row>
    <row r="103" ht="15.75" customHeight="1">
      <c r="A103" s="71"/>
      <c r="B103" s="1" t="s">
        <v>337</v>
      </c>
      <c r="C103" s="1"/>
      <c r="D103" s="294"/>
      <c r="E103" s="295"/>
      <c r="F103" s="295"/>
      <c r="G103" s="342"/>
      <c r="H103" s="1"/>
      <c r="I103" s="294"/>
      <c r="J103" s="295"/>
      <c r="K103" s="295"/>
      <c r="L103" s="342"/>
      <c r="M103" s="1"/>
      <c r="N103" s="294"/>
      <c r="O103" s="295"/>
      <c r="P103" s="295"/>
      <c r="Q103" s="342"/>
      <c r="R103" s="1"/>
      <c r="S103" s="294"/>
      <c r="T103" s="295"/>
      <c r="U103" s="295"/>
      <c r="V103" s="342">
        <f t="shared" ref="V103:V104" si="13">IFERROR(V95/V91-1,"N/A")</f>
        <v>0.1805796851</v>
      </c>
      <c r="W103" s="1"/>
      <c r="X103" s="294"/>
      <c r="Y103" s="295"/>
      <c r="Z103" s="295"/>
      <c r="AA103" s="342"/>
      <c r="AB103" s="1"/>
      <c r="AC103" s="294"/>
      <c r="AD103" s="295"/>
      <c r="AE103" s="295"/>
      <c r="AF103" s="342"/>
      <c r="AG103" s="1"/>
      <c r="AH103" s="294"/>
      <c r="AI103" s="295"/>
      <c r="AJ103" s="295"/>
      <c r="AK103" s="342"/>
      <c r="AL103" s="1"/>
      <c r="AM103" s="294"/>
      <c r="AN103" s="295"/>
      <c r="AO103" s="295"/>
      <c r="AP103" s="342"/>
    </row>
    <row r="104" ht="15.75" customHeight="1">
      <c r="A104" s="71"/>
      <c r="B104" s="1" t="s">
        <v>338</v>
      </c>
      <c r="C104" s="1"/>
      <c r="D104" s="294"/>
      <c r="E104" s="295"/>
      <c r="F104" s="295"/>
      <c r="G104" s="342"/>
      <c r="H104" s="1"/>
      <c r="I104" s="294"/>
      <c r="J104" s="295"/>
      <c r="K104" s="295"/>
      <c r="L104" s="342"/>
      <c r="M104" s="1"/>
      <c r="N104" s="294"/>
      <c r="O104" s="295"/>
      <c r="P104" s="295"/>
      <c r="Q104" s="342"/>
      <c r="R104" s="1"/>
      <c r="S104" s="294"/>
      <c r="T104" s="295"/>
      <c r="U104" s="295"/>
      <c r="V104" s="342">
        <f t="shared" si="13"/>
        <v>-46.35686275</v>
      </c>
      <c r="W104" s="1"/>
      <c r="X104" s="294"/>
      <c r="Y104" s="295"/>
      <c r="Z104" s="295"/>
      <c r="AA104" s="342"/>
      <c r="AB104" s="1"/>
      <c r="AC104" s="294"/>
      <c r="AD104" s="295"/>
      <c r="AE104" s="295"/>
      <c r="AF104" s="342"/>
      <c r="AG104" s="1"/>
      <c r="AH104" s="294"/>
      <c r="AI104" s="295"/>
      <c r="AJ104" s="295"/>
      <c r="AK104" s="342"/>
      <c r="AL104" s="1"/>
      <c r="AM104" s="294"/>
      <c r="AN104" s="295"/>
      <c r="AO104" s="295"/>
      <c r="AP104" s="342"/>
    </row>
    <row r="105" ht="15.75" customHeight="1">
      <c r="A105" s="71"/>
      <c r="B105" s="1"/>
      <c r="C105" s="1"/>
      <c r="D105" s="294"/>
      <c r="E105" s="295"/>
      <c r="F105" s="295"/>
      <c r="G105" s="296"/>
      <c r="H105" s="1"/>
      <c r="I105" s="294"/>
      <c r="J105" s="295"/>
      <c r="K105" s="295"/>
      <c r="L105" s="296"/>
      <c r="M105" s="1"/>
      <c r="N105" s="294"/>
      <c r="O105" s="295"/>
      <c r="P105" s="295"/>
      <c r="Q105" s="296"/>
      <c r="R105" s="1"/>
      <c r="S105" s="294"/>
      <c r="T105" s="295"/>
      <c r="U105" s="295"/>
      <c r="V105" s="296"/>
      <c r="W105" s="1"/>
      <c r="X105" s="294"/>
      <c r="Y105" s="295"/>
      <c r="Z105" s="295"/>
      <c r="AA105" s="296"/>
      <c r="AB105" s="1"/>
      <c r="AC105" s="294"/>
      <c r="AD105" s="295"/>
      <c r="AE105" s="295"/>
      <c r="AF105" s="296"/>
      <c r="AG105" s="1"/>
      <c r="AH105" s="294"/>
      <c r="AI105" s="295"/>
      <c r="AJ105" s="295"/>
      <c r="AK105" s="296"/>
      <c r="AL105" s="1"/>
      <c r="AM105" s="294"/>
      <c r="AN105" s="295"/>
      <c r="AO105" s="295"/>
      <c r="AP105" s="296"/>
    </row>
    <row r="106" ht="15.75" customHeight="1">
      <c r="A106" s="71"/>
      <c r="B106" s="1" t="s">
        <v>339</v>
      </c>
      <c r="C106" s="1"/>
      <c r="D106" s="294"/>
      <c r="E106" s="295"/>
      <c r="F106" s="295"/>
      <c r="G106" s="342"/>
      <c r="H106" s="1"/>
      <c r="I106" s="294"/>
      <c r="J106" s="295"/>
      <c r="K106" s="295"/>
      <c r="L106" s="342"/>
      <c r="M106" s="1"/>
      <c r="N106" s="294"/>
      <c r="O106" s="295"/>
      <c r="P106" s="295"/>
      <c r="Q106" s="342"/>
      <c r="R106" s="1"/>
      <c r="S106" s="294"/>
      <c r="T106" s="295"/>
      <c r="U106" s="295"/>
      <c r="V106" s="342">
        <f t="shared" ref="V106:V107" si="14">IFERROR(V99/V95-1,"N/A")</f>
        <v>0.2557184054</v>
      </c>
      <c r="W106" s="1"/>
      <c r="X106" s="294"/>
      <c r="Y106" s="295"/>
      <c r="Z106" s="295"/>
      <c r="AA106" s="342"/>
      <c r="AB106" s="1"/>
      <c r="AC106" s="294"/>
      <c r="AD106" s="295"/>
      <c r="AE106" s="295"/>
      <c r="AF106" s="342"/>
      <c r="AG106" s="1"/>
      <c r="AH106" s="294"/>
      <c r="AI106" s="295"/>
      <c r="AJ106" s="295"/>
      <c r="AK106" s="342"/>
      <c r="AL106" s="1"/>
      <c r="AM106" s="294"/>
      <c r="AN106" s="295"/>
      <c r="AO106" s="295"/>
      <c r="AP106" s="342"/>
    </row>
    <row r="107" ht="15.75" customHeight="1">
      <c r="A107" s="71"/>
      <c r="B107" s="1" t="s">
        <v>340</v>
      </c>
      <c r="C107" s="1"/>
      <c r="D107" s="294"/>
      <c r="E107" s="295"/>
      <c r="F107" s="295"/>
      <c r="G107" s="342"/>
      <c r="H107" s="1"/>
      <c r="I107" s="294"/>
      <c r="J107" s="295"/>
      <c r="K107" s="295"/>
      <c r="L107" s="342"/>
      <c r="M107" s="1"/>
      <c r="N107" s="294"/>
      <c r="O107" s="295"/>
      <c r="P107" s="295"/>
      <c r="Q107" s="342"/>
      <c r="R107" s="1"/>
      <c r="S107" s="294"/>
      <c r="T107" s="295"/>
      <c r="U107" s="295"/>
      <c r="V107" s="342">
        <f t="shared" si="14"/>
        <v>1.474782408</v>
      </c>
      <c r="W107" s="1"/>
      <c r="X107" s="294"/>
      <c r="Y107" s="295"/>
      <c r="Z107" s="295"/>
      <c r="AA107" s="342"/>
      <c r="AB107" s="1"/>
      <c r="AC107" s="294"/>
      <c r="AD107" s="295"/>
      <c r="AE107" s="295"/>
      <c r="AF107" s="342"/>
      <c r="AG107" s="1"/>
      <c r="AH107" s="294"/>
      <c r="AI107" s="295"/>
      <c r="AJ107" s="295"/>
      <c r="AK107" s="342"/>
      <c r="AL107" s="1"/>
      <c r="AM107" s="294"/>
      <c r="AN107" s="295"/>
      <c r="AO107" s="295"/>
      <c r="AP107" s="342"/>
    </row>
    <row r="108" ht="15.75" customHeight="1">
      <c r="A108" s="71"/>
      <c r="B108" s="1"/>
      <c r="C108" s="1"/>
      <c r="D108" s="294"/>
      <c r="E108" s="295"/>
      <c r="F108" s="295"/>
      <c r="G108" s="296"/>
      <c r="H108" s="1"/>
      <c r="I108" s="294"/>
      <c r="J108" s="295"/>
      <c r="K108" s="295"/>
      <c r="L108" s="296"/>
      <c r="M108" s="1"/>
      <c r="N108" s="294"/>
      <c r="O108" s="295"/>
      <c r="P108" s="295"/>
      <c r="Q108" s="296"/>
      <c r="R108" s="1"/>
      <c r="S108" s="294"/>
      <c r="T108" s="295"/>
      <c r="U108" s="295"/>
      <c r="V108" s="296"/>
      <c r="W108" s="1"/>
      <c r="X108" s="294"/>
      <c r="Y108" s="295"/>
      <c r="Z108" s="295"/>
      <c r="AA108" s="296"/>
      <c r="AB108" s="1"/>
      <c r="AC108" s="294"/>
      <c r="AD108" s="295"/>
      <c r="AE108" s="295"/>
      <c r="AF108" s="296"/>
      <c r="AG108" s="1"/>
      <c r="AH108" s="294"/>
      <c r="AI108" s="295"/>
      <c r="AJ108" s="295"/>
      <c r="AK108" s="296"/>
      <c r="AL108" s="1"/>
      <c r="AM108" s="294"/>
      <c r="AN108" s="295"/>
      <c r="AO108" s="295"/>
      <c r="AP108" s="296"/>
    </row>
    <row r="109" ht="15.75" customHeight="1">
      <c r="A109" s="71"/>
      <c r="B109" s="1" t="s">
        <v>341</v>
      </c>
      <c r="C109" s="1"/>
      <c r="D109" s="294"/>
      <c r="E109" s="295"/>
      <c r="F109" s="295"/>
      <c r="G109" s="342"/>
      <c r="H109" s="1"/>
      <c r="I109" s="294"/>
      <c r="J109" s="295"/>
      <c r="K109" s="295"/>
      <c r="L109" s="342"/>
      <c r="M109" s="1"/>
      <c r="N109" s="294"/>
      <c r="O109" s="295"/>
      <c r="P109" s="295"/>
      <c r="Q109" s="342"/>
      <c r="R109" s="1"/>
      <c r="S109" s="294"/>
      <c r="T109" s="295"/>
      <c r="U109" s="295"/>
      <c r="V109" s="342">
        <f t="shared" ref="V109:V110" si="15">IFERROR((U43/S43)^(1/2)-1,"N/A")</f>
        <v>0.2175695625</v>
      </c>
      <c r="W109" s="1"/>
      <c r="X109" s="294"/>
      <c r="Y109" s="295"/>
      <c r="Z109" s="295"/>
      <c r="AA109" s="342"/>
      <c r="AB109" s="1"/>
      <c r="AC109" s="294"/>
      <c r="AD109" s="295"/>
      <c r="AE109" s="295"/>
      <c r="AF109" s="342"/>
      <c r="AG109" s="1"/>
      <c r="AH109" s="294"/>
      <c r="AI109" s="295"/>
      <c r="AJ109" s="295"/>
      <c r="AK109" s="342"/>
      <c r="AL109" s="1"/>
      <c r="AM109" s="294"/>
      <c r="AN109" s="295"/>
      <c r="AO109" s="295"/>
      <c r="AP109" s="342"/>
    </row>
    <row r="110" ht="15.75" customHeight="1">
      <c r="A110" s="71"/>
      <c r="B110" s="1" t="s">
        <v>342</v>
      </c>
      <c r="C110" s="1"/>
      <c r="D110" s="294"/>
      <c r="E110" s="295"/>
      <c r="F110" s="295"/>
      <c r="G110" s="342"/>
      <c r="H110" s="1"/>
      <c r="I110" s="294"/>
      <c r="J110" s="295"/>
      <c r="K110" s="295"/>
      <c r="L110" s="342"/>
      <c r="M110" s="1"/>
      <c r="N110" s="294"/>
      <c r="O110" s="295"/>
      <c r="P110" s="295"/>
      <c r="Q110" s="342"/>
      <c r="R110" s="1"/>
      <c r="S110" s="294"/>
      <c r="T110" s="295"/>
      <c r="U110" s="295"/>
      <c r="V110" s="342" t="str">
        <f t="shared" si="15"/>
        <v>N/A</v>
      </c>
      <c r="W110" s="1"/>
      <c r="X110" s="294"/>
      <c r="Y110" s="295"/>
      <c r="Z110" s="295"/>
      <c r="AA110" s="342"/>
      <c r="AB110" s="1"/>
      <c r="AC110" s="294"/>
      <c r="AD110" s="295"/>
      <c r="AE110" s="295"/>
      <c r="AF110" s="342"/>
      <c r="AG110" s="1"/>
      <c r="AH110" s="294"/>
      <c r="AI110" s="295"/>
      <c r="AJ110" s="295"/>
      <c r="AK110" s="342"/>
      <c r="AL110" s="1"/>
      <c r="AM110" s="294"/>
      <c r="AN110" s="295"/>
      <c r="AO110" s="295"/>
      <c r="AP110" s="342"/>
    </row>
    <row r="111" ht="15.75" customHeight="1">
      <c r="A111" s="71"/>
      <c r="B111" s="1"/>
      <c r="C111" s="1"/>
      <c r="D111" s="294"/>
      <c r="E111" s="295"/>
      <c r="F111" s="295"/>
      <c r="G111" s="296"/>
      <c r="H111" s="1"/>
      <c r="I111" s="294"/>
      <c r="J111" s="295"/>
      <c r="K111" s="295"/>
      <c r="L111" s="296"/>
      <c r="M111" s="1"/>
      <c r="N111" s="294"/>
      <c r="O111" s="295"/>
      <c r="P111" s="295"/>
      <c r="Q111" s="296"/>
      <c r="R111" s="1"/>
      <c r="S111" s="294"/>
      <c r="T111" s="295"/>
      <c r="U111" s="295"/>
      <c r="V111" s="296"/>
      <c r="W111" s="1"/>
      <c r="X111" s="294"/>
      <c r="Y111" s="295"/>
      <c r="Z111" s="295"/>
      <c r="AA111" s="296"/>
      <c r="AB111" s="1"/>
      <c r="AC111" s="294"/>
      <c r="AD111" s="295"/>
      <c r="AE111" s="295"/>
      <c r="AF111" s="296"/>
      <c r="AG111" s="1"/>
      <c r="AH111" s="294"/>
      <c r="AI111" s="295"/>
      <c r="AJ111" s="295"/>
      <c r="AK111" s="296"/>
      <c r="AL111" s="1"/>
      <c r="AM111" s="294"/>
      <c r="AN111" s="295"/>
      <c r="AO111" s="295"/>
      <c r="AP111" s="296"/>
    </row>
    <row r="112" ht="15.75" customHeight="1">
      <c r="A112" s="71"/>
      <c r="B112" s="1" t="s">
        <v>343</v>
      </c>
      <c r="C112" s="1"/>
      <c r="D112" s="294"/>
      <c r="E112" s="295"/>
      <c r="F112" s="295"/>
      <c r="G112" s="342"/>
      <c r="H112" s="1"/>
      <c r="I112" s="294"/>
      <c r="J112" s="295"/>
      <c r="K112" s="295"/>
      <c r="L112" s="342"/>
      <c r="M112" s="1"/>
      <c r="N112" s="294"/>
      <c r="O112" s="295"/>
      <c r="P112" s="295"/>
      <c r="Q112" s="342"/>
      <c r="R112" s="1"/>
      <c r="S112" s="294"/>
      <c r="T112" s="295"/>
      <c r="U112" s="295"/>
      <c r="V112" s="342" t="str">
        <f>IFERROR(V11/V6,"N/A")</f>
        <v>N/A</v>
      </c>
      <c r="W112" s="1"/>
      <c r="X112" s="294"/>
      <c r="Y112" s="295"/>
      <c r="Z112" s="295"/>
      <c r="AA112" s="342"/>
      <c r="AB112" s="1"/>
      <c r="AC112" s="294"/>
      <c r="AD112" s="295"/>
      <c r="AE112" s="295"/>
      <c r="AF112" s="342"/>
      <c r="AG112" s="1"/>
      <c r="AH112" s="294"/>
      <c r="AI112" s="295"/>
      <c r="AJ112" s="295"/>
      <c r="AK112" s="342"/>
      <c r="AL112" s="1"/>
      <c r="AM112" s="294"/>
      <c r="AN112" s="295"/>
      <c r="AO112" s="295"/>
      <c r="AP112" s="342"/>
    </row>
    <row r="113" ht="15.75" customHeight="1">
      <c r="A113" s="71"/>
      <c r="B113" s="1" t="str">
        <f>E84&amp;" EBITDA Margin:"</f>
        <v> EBITDA Margin:</v>
      </c>
      <c r="C113" s="1"/>
      <c r="D113" s="294"/>
      <c r="E113" s="295"/>
      <c r="F113" s="295"/>
      <c r="G113" s="342"/>
      <c r="H113" s="1"/>
      <c r="I113" s="294"/>
      <c r="J113" s="295"/>
      <c r="K113" s="295"/>
      <c r="L113" s="342"/>
      <c r="M113" s="1"/>
      <c r="N113" s="294"/>
      <c r="O113" s="295"/>
      <c r="P113" s="295"/>
      <c r="Q113" s="342"/>
      <c r="R113" s="1"/>
      <c r="S113" s="294"/>
      <c r="T113" s="295"/>
      <c r="U113" s="295"/>
      <c r="V113" s="342">
        <f>IFERROR(V92/V91,"N/A")</f>
        <v>-0.004127504829</v>
      </c>
      <c r="W113" s="1"/>
      <c r="X113" s="294"/>
      <c r="Y113" s="295"/>
      <c r="Z113" s="295"/>
      <c r="AA113" s="342"/>
      <c r="AB113" s="1"/>
      <c r="AC113" s="294"/>
      <c r="AD113" s="295"/>
      <c r="AE113" s="295"/>
      <c r="AF113" s="342"/>
      <c r="AG113" s="1"/>
      <c r="AH113" s="294"/>
      <c r="AI113" s="295"/>
      <c r="AJ113" s="295"/>
      <c r="AK113" s="342"/>
      <c r="AL113" s="1"/>
      <c r="AM113" s="294"/>
      <c r="AN113" s="295"/>
      <c r="AO113" s="295"/>
      <c r="AP113" s="342"/>
    </row>
    <row r="114" ht="15.75" customHeight="1">
      <c r="A114" s="71"/>
      <c r="B114" s="1" t="str">
        <f>F84&amp;" EBITDA Margin:"</f>
        <v> EBITDA Margin:</v>
      </c>
      <c r="C114" s="1"/>
      <c r="D114" s="294"/>
      <c r="E114" s="295"/>
      <c r="F114" s="295"/>
      <c r="G114" s="342"/>
      <c r="H114" s="1"/>
      <c r="I114" s="294"/>
      <c r="J114" s="295"/>
      <c r="K114" s="295"/>
      <c r="L114" s="342"/>
      <c r="M114" s="1"/>
      <c r="N114" s="294"/>
      <c r="O114" s="295"/>
      <c r="P114" s="295"/>
      <c r="Q114" s="342"/>
      <c r="R114" s="1"/>
      <c r="S114" s="294"/>
      <c r="T114" s="295"/>
      <c r="U114" s="295"/>
      <c r="V114" s="342">
        <f>IFERROR(V96/V95,"N/A")</f>
        <v>0.1585752087</v>
      </c>
      <c r="W114" s="1"/>
      <c r="X114" s="294"/>
      <c r="Y114" s="295"/>
      <c r="Z114" s="295"/>
      <c r="AA114" s="342"/>
      <c r="AB114" s="1"/>
      <c r="AC114" s="294"/>
      <c r="AD114" s="295"/>
      <c r="AE114" s="295"/>
      <c r="AF114" s="342"/>
      <c r="AG114" s="1"/>
      <c r="AH114" s="294"/>
      <c r="AI114" s="295"/>
      <c r="AJ114" s="295"/>
      <c r="AK114" s="342"/>
      <c r="AL114" s="1"/>
      <c r="AM114" s="294"/>
      <c r="AN114" s="295"/>
      <c r="AO114" s="295"/>
      <c r="AP114" s="342"/>
    </row>
    <row r="115" ht="15.75" customHeight="1">
      <c r="A115" s="71"/>
      <c r="B115" s="1"/>
      <c r="C115" s="1"/>
      <c r="D115" s="294"/>
      <c r="E115" s="295"/>
      <c r="F115" s="295"/>
      <c r="G115" s="296"/>
      <c r="H115" s="1"/>
      <c r="I115" s="294"/>
      <c r="J115" s="295"/>
      <c r="K115" s="295"/>
      <c r="L115" s="296"/>
      <c r="M115" s="1"/>
      <c r="N115" s="294"/>
      <c r="O115" s="295"/>
      <c r="P115" s="295"/>
      <c r="Q115" s="296"/>
      <c r="R115" s="1"/>
      <c r="S115" s="294"/>
      <c r="T115" s="295"/>
      <c r="U115" s="295"/>
      <c r="V115" s="296"/>
      <c r="W115" s="1"/>
      <c r="X115" s="294"/>
      <c r="Y115" s="295"/>
      <c r="Z115" s="295"/>
      <c r="AA115" s="296"/>
      <c r="AB115" s="1"/>
      <c r="AC115" s="294"/>
      <c r="AD115" s="295"/>
      <c r="AE115" s="295"/>
      <c r="AF115" s="296"/>
      <c r="AG115" s="1"/>
      <c r="AH115" s="294"/>
      <c r="AI115" s="295"/>
      <c r="AJ115" s="295"/>
      <c r="AK115" s="296"/>
      <c r="AL115" s="1"/>
      <c r="AM115" s="294"/>
      <c r="AN115" s="295"/>
      <c r="AO115" s="295"/>
      <c r="AP115" s="296"/>
    </row>
    <row r="116" ht="15.75" customHeight="1">
      <c r="A116" s="71"/>
      <c r="B116" s="1" t="str">
        <f>TEXT(D84,"mm/dd/yyyy")&amp;" "&amp;B85</f>
        <v>12/30/1899 TEV / Revenue:</v>
      </c>
      <c r="C116" s="1"/>
      <c r="D116" s="294"/>
      <c r="E116" s="295"/>
      <c r="F116" s="295"/>
      <c r="G116" s="343"/>
      <c r="H116" s="1"/>
      <c r="I116" s="294"/>
      <c r="J116" s="295"/>
      <c r="K116" s="295"/>
      <c r="L116" s="343"/>
      <c r="M116" s="1"/>
      <c r="N116" s="294"/>
      <c r="O116" s="295"/>
      <c r="P116" s="295"/>
      <c r="Q116" s="343"/>
      <c r="R116" s="1"/>
      <c r="S116" s="294"/>
      <c r="T116" s="295"/>
      <c r="U116" s="295"/>
      <c r="V116" s="343" t="str">
        <f t="shared" ref="V116:V118" si="16">S85</f>
        <v/>
      </c>
      <c r="W116" s="1"/>
      <c r="X116" s="294"/>
      <c r="Y116" s="295"/>
      <c r="Z116" s="295"/>
      <c r="AA116" s="343"/>
      <c r="AB116" s="1"/>
      <c r="AC116" s="294"/>
      <c r="AD116" s="295"/>
      <c r="AE116" s="295"/>
      <c r="AF116" s="343"/>
      <c r="AG116" s="1"/>
      <c r="AH116" s="294"/>
      <c r="AI116" s="295"/>
      <c r="AJ116" s="295"/>
      <c r="AK116" s="343"/>
      <c r="AL116" s="1"/>
      <c r="AM116" s="294"/>
      <c r="AN116" s="295"/>
      <c r="AO116" s="295"/>
      <c r="AP116" s="343"/>
    </row>
    <row r="117" ht="15.75" customHeight="1">
      <c r="A117" s="71"/>
      <c r="B117" s="1" t="str">
        <f>TEXT(D84,"mm/dd/yyyy")&amp;" "&amp;B86</f>
        <v>12/30/1899 TEV / EBITDA:</v>
      </c>
      <c r="C117" s="1"/>
      <c r="D117" s="294"/>
      <c r="E117" s="295"/>
      <c r="F117" s="295"/>
      <c r="G117" s="343"/>
      <c r="H117" s="1"/>
      <c r="I117" s="294"/>
      <c r="J117" s="295"/>
      <c r="K117" s="295"/>
      <c r="L117" s="343"/>
      <c r="M117" s="1"/>
      <c r="N117" s="294"/>
      <c r="O117" s="295"/>
      <c r="P117" s="295"/>
      <c r="Q117" s="343"/>
      <c r="R117" s="1"/>
      <c r="S117" s="294"/>
      <c r="T117" s="295"/>
      <c r="U117" s="295"/>
      <c r="V117" s="343" t="str">
        <f t="shared" si="16"/>
        <v/>
      </c>
      <c r="W117" s="1"/>
      <c r="X117" s="294"/>
      <c r="Y117" s="295"/>
      <c r="Z117" s="295"/>
      <c r="AA117" s="343"/>
      <c r="AB117" s="1"/>
      <c r="AC117" s="294"/>
      <c r="AD117" s="295"/>
      <c r="AE117" s="295"/>
      <c r="AF117" s="343"/>
      <c r="AG117" s="1"/>
      <c r="AH117" s="294"/>
      <c r="AI117" s="295"/>
      <c r="AJ117" s="295"/>
      <c r="AK117" s="343"/>
      <c r="AL117" s="1"/>
      <c r="AM117" s="294"/>
      <c r="AN117" s="295"/>
      <c r="AO117" s="295"/>
      <c r="AP117" s="343"/>
    </row>
    <row r="118" ht="15.75" customHeight="1">
      <c r="A118" s="71"/>
      <c r="B118" s="1" t="str">
        <f>TEXT(D84,"mm/dd/yyyy")&amp;" "&amp;B87</f>
        <v>12/30/1899 Normalized P / E:</v>
      </c>
      <c r="C118" s="1"/>
      <c r="D118" s="294"/>
      <c r="E118" s="295"/>
      <c r="F118" s="295"/>
      <c r="G118" s="343"/>
      <c r="H118" s="1"/>
      <c r="I118" s="294"/>
      <c r="J118" s="295"/>
      <c r="K118" s="295"/>
      <c r="L118" s="343"/>
      <c r="M118" s="1"/>
      <c r="N118" s="294"/>
      <c r="O118" s="295"/>
      <c r="P118" s="295"/>
      <c r="Q118" s="343"/>
      <c r="R118" s="1"/>
      <c r="S118" s="294"/>
      <c r="T118" s="295"/>
      <c r="U118" s="295"/>
      <c r="V118" s="343" t="str">
        <f t="shared" si="16"/>
        <v/>
      </c>
      <c r="W118" s="1"/>
      <c r="X118" s="294"/>
      <c r="Y118" s="295"/>
      <c r="Z118" s="295"/>
      <c r="AA118" s="343"/>
      <c r="AB118" s="1"/>
      <c r="AC118" s="294"/>
      <c r="AD118" s="295"/>
      <c r="AE118" s="295"/>
      <c r="AF118" s="343"/>
      <c r="AG118" s="1"/>
      <c r="AH118" s="294"/>
      <c r="AI118" s="295"/>
      <c r="AJ118" s="295"/>
      <c r="AK118" s="343"/>
      <c r="AL118" s="1"/>
      <c r="AM118" s="294"/>
      <c r="AN118" s="295"/>
      <c r="AO118" s="295"/>
      <c r="AP118" s="343"/>
    </row>
    <row r="119" ht="15.75" customHeight="1">
      <c r="A119" s="71"/>
      <c r="B119" s="1"/>
      <c r="C119" s="1"/>
      <c r="D119" s="294"/>
      <c r="E119" s="295"/>
      <c r="F119" s="295"/>
      <c r="G119" s="296"/>
      <c r="H119" s="1"/>
      <c r="I119" s="294"/>
      <c r="J119" s="295"/>
      <c r="K119" s="295"/>
      <c r="L119" s="296"/>
      <c r="M119" s="1"/>
      <c r="N119" s="294"/>
      <c r="O119" s="295"/>
      <c r="P119" s="295"/>
      <c r="Q119" s="296"/>
      <c r="R119" s="1"/>
      <c r="S119" s="294"/>
      <c r="T119" s="295"/>
      <c r="U119" s="295"/>
      <c r="V119" s="296"/>
      <c r="W119" s="1"/>
      <c r="X119" s="294"/>
      <c r="Y119" s="295"/>
      <c r="Z119" s="295"/>
      <c r="AA119" s="296"/>
      <c r="AB119" s="1"/>
      <c r="AC119" s="294"/>
      <c r="AD119" s="295"/>
      <c r="AE119" s="295"/>
      <c r="AF119" s="296"/>
      <c r="AG119" s="1"/>
      <c r="AH119" s="294"/>
      <c r="AI119" s="295"/>
      <c r="AJ119" s="295"/>
      <c r="AK119" s="296"/>
      <c r="AL119" s="1"/>
      <c r="AM119" s="294"/>
      <c r="AN119" s="295"/>
      <c r="AO119" s="295"/>
      <c r="AP119" s="296"/>
    </row>
    <row r="120" ht="15.75" customHeight="1">
      <c r="A120" s="71"/>
      <c r="B120" s="1" t="str">
        <f t="shared" ref="B120:B122" si="17">$E$84&amp;" "&amp;B85</f>
        <v> TEV / Revenue:</v>
      </c>
      <c r="C120" s="1"/>
      <c r="D120" s="294"/>
      <c r="E120" s="295"/>
      <c r="F120" s="295"/>
      <c r="G120" s="343"/>
      <c r="H120" s="1"/>
      <c r="I120" s="294"/>
      <c r="J120" s="295"/>
      <c r="K120" s="295"/>
      <c r="L120" s="343"/>
      <c r="M120" s="1"/>
      <c r="N120" s="294"/>
      <c r="O120" s="295"/>
      <c r="P120" s="295"/>
      <c r="Q120" s="343"/>
      <c r="R120" s="1"/>
      <c r="S120" s="294"/>
      <c r="T120" s="295"/>
      <c r="U120" s="295"/>
      <c r="V120" s="343" t="str">
        <f t="shared" ref="V120:V122" si="18">T85</f>
        <v/>
      </c>
      <c r="W120" s="1"/>
      <c r="X120" s="294"/>
      <c r="Y120" s="295"/>
      <c r="Z120" s="295"/>
      <c r="AA120" s="343"/>
      <c r="AB120" s="1"/>
      <c r="AC120" s="294"/>
      <c r="AD120" s="295"/>
      <c r="AE120" s="295"/>
      <c r="AF120" s="343"/>
      <c r="AG120" s="1"/>
      <c r="AH120" s="294"/>
      <c r="AI120" s="295"/>
      <c r="AJ120" s="295"/>
      <c r="AK120" s="343"/>
      <c r="AL120" s="1"/>
      <c r="AM120" s="294"/>
      <c r="AN120" s="295"/>
      <c r="AO120" s="295"/>
      <c r="AP120" s="343"/>
    </row>
    <row r="121" ht="15.75" customHeight="1">
      <c r="A121" s="71"/>
      <c r="B121" s="1" t="str">
        <f t="shared" si="17"/>
        <v> TEV / EBITDA:</v>
      </c>
      <c r="C121" s="1"/>
      <c r="D121" s="294"/>
      <c r="E121" s="295"/>
      <c r="F121" s="295"/>
      <c r="G121" s="343"/>
      <c r="H121" s="1"/>
      <c r="I121" s="294"/>
      <c r="J121" s="295"/>
      <c r="K121" s="295"/>
      <c r="L121" s="343"/>
      <c r="M121" s="1"/>
      <c r="N121" s="294"/>
      <c r="O121" s="295"/>
      <c r="P121" s="295"/>
      <c r="Q121" s="343"/>
      <c r="R121" s="1"/>
      <c r="S121" s="294"/>
      <c r="T121" s="295"/>
      <c r="U121" s="295"/>
      <c r="V121" s="343" t="str">
        <f t="shared" si="18"/>
        <v/>
      </c>
      <c r="W121" s="1"/>
      <c r="X121" s="294"/>
      <c r="Y121" s="295"/>
      <c r="Z121" s="295"/>
      <c r="AA121" s="343"/>
      <c r="AB121" s="1"/>
      <c r="AC121" s="294"/>
      <c r="AD121" s="295"/>
      <c r="AE121" s="295"/>
      <c r="AF121" s="343"/>
      <c r="AG121" s="1"/>
      <c r="AH121" s="294"/>
      <c r="AI121" s="295"/>
      <c r="AJ121" s="295"/>
      <c r="AK121" s="343"/>
      <c r="AL121" s="1"/>
      <c r="AM121" s="294"/>
      <c r="AN121" s="295"/>
      <c r="AO121" s="295"/>
      <c r="AP121" s="343"/>
    </row>
    <row r="122" ht="15.75" customHeight="1">
      <c r="A122" s="71"/>
      <c r="B122" s="1" t="str">
        <f t="shared" si="17"/>
        <v> Normalized P / E:</v>
      </c>
      <c r="C122" s="1"/>
      <c r="D122" s="294"/>
      <c r="E122" s="295"/>
      <c r="F122" s="295"/>
      <c r="G122" s="343"/>
      <c r="H122" s="1"/>
      <c r="I122" s="294"/>
      <c r="J122" s="295"/>
      <c r="K122" s="295"/>
      <c r="L122" s="343"/>
      <c r="M122" s="1"/>
      <c r="N122" s="294"/>
      <c r="O122" s="295"/>
      <c r="P122" s="295"/>
      <c r="Q122" s="343"/>
      <c r="R122" s="1"/>
      <c r="S122" s="294"/>
      <c r="T122" s="295"/>
      <c r="U122" s="295"/>
      <c r="V122" s="343" t="str">
        <f t="shared" si="18"/>
        <v/>
      </c>
      <c r="W122" s="1"/>
      <c r="X122" s="294"/>
      <c r="Y122" s="295"/>
      <c r="Z122" s="295"/>
      <c r="AA122" s="343"/>
      <c r="AB122" s="1"/>
      <c r="AC122" s="294"/>
      <c r="AD122" s="295"/>
      <c r="AE122" s="295"/>
      <c r="AF122" s="343"/>
      <c r="AG122" s="1"/>
      <c r="AH122" s="294"/>
      <c r="AI122" s="295"/>
      <c r="AJ122" s="295"/>
      <c r="AK122" s="343"/>
      <c r="AL122" s="1"/>
      <c r="AM122" s="294"/>
      <c r="AN122" s="295"/>
      <c r="AO122" s="295"/>
      <c r="AP122" s="343"/>
    </row>
    <row r="123" ht="15.75" customHeight="1">
      <c r="A123" s="71"/>
      <c r="B123" s="1"/>
      <c r="C123" s="1"/>
      <c r="D123" s="294"/>
      <c r="E123" s="295"/>
      <c r="F123" s="295"/>
      <c r="G123" s="296"/>
      <c r="H123" s="1"/>
      <c r="I123" s="294"/>
      <c r="J123" s="295"/>
      <c r="K123" s="295"/>
      <c r="L123" s="296"/>
      <c r="M123" s="1"/>
      <c r="N123" s="294"/>
      <c r="O123" s="295"/>
      <c r="P123" s="295"/>
      <c r="Q123" s="296"/>
      <c r="R123" s="1"/>
      <c r="S123" s="294"/>
      <c r="T123" s="295"/>
      <c r="U123" s="295"/>
      <c r="V123" s="296"/>
      <c r="W123" s="1"/>
      <c r="X123" s="294"/>
      <c r="Y123" s="295"/>
      <c r="Z123" s="295"/>
      <c r="AA123" s="296"/>
      <c r="AB123" s="1"/>
      <c r="AC123" s="294"/>
      <c r="AD123" s="295"/>
      <c r="AE123" s="295"/>
      <c r="AF123" s="296"/>
      <c r="AG123" s="1"/>
      <c r="AH123" s="294"/>
      <c r="AI123" s="295"/>
      <c r="AJ123" s="295"/>
      <c r="AK123" s="296"/>
      <c r="AL123" s="1"/>
      <c r="AM123" s="294"/>
      <c r="AN123" s="295"/>
      <c r="AO123" s="295"/>
      <c r="AP123" s="296"/>
    </row>
    <row r="124" ht="15.75" customHeight="1">
      <c r="A124" s="71"/>
      <c r="B124" s="1" t="str">
        <f t="shared" ref="B124:B126" si="19">$F$84&amp;" "&amp;B85</f>
        <v> TEV / Revenue:</v>
      </c>
      <c r="C124" s="1"/>
      <c r="D124" s="294"/>
      <c r="E124" s="295"/>
      <c r="F124" s="295"/>
      <c r="G124" s="343"/>
      <c r="H124" s="1"/>
      <c r="I124" s="294"/>
      <c r="J124" s="295"/>
      <c r="K124" s="295"/>
      <c r="L124" s="343"/>
      <c r="M124" s="1"/>
      <c r="N124" s="294"/>
      <c r="O124" s="295"/>
      <c r="P124" s="295"/>
      <c r="Q124" s="343"/>
      <c r="R124" s="1"/>
      <c r="S124" s="294"/>
      <c r="T124" s="295"/>
      <c r="U124" s="295"/>
      <c r="V124" s="343" t="str">
        <f t="shared" ref="V124:V126" si="20">U85</f>
        <v/>
      </c>
      <c r="W124" s="1"/>
      <c r="X124" s="294"/>
      <c r="Y124" s="295"/>
      <c r="Z124" s="295"/>
      <c r="AA124" s="343"/>
      <c r="AB124" s="1"/>
      <c r="AC124" s="294"/>
      <c r="AD124" s="295"/>
      <c r="AE124" s="295"/>
      <c r="AF124" s="343"/>
      <c r="AG124" s="1"/>
      <c r="AH124" s="294"/>
      <c r="AI124" s="295"/>
      <c r="AJ124" s="295"/>
      <c r="AK124" s="343"/>
      <c r="AL124" s="1"/>
      <c r="AM124" s="294"/>
      <c r="AN124" s="295"/>
      <c r="AO124" s="295"/>
      <c r="AP124" s="343"/>
    </row>
    <row r="125" ht="15.75" customHeight="1">
      <c r="A125" s="71"/>
      <c r="B125" s="1" t="str">
        <f t="shared" si="19"/>
        <v> TEV / EBITDA:</v>
      </c>
      <c r="C125" s="1"/>
      <c r="D125" s="294"/>
      <c r="E125" s="295"/>
      <c r="F125" s="295"/>
      <c r="G125" s="343"/>
      <c r="H125" s="1"/>
      <c r="I125" s="294"/>
      <c r="J125" s="295"/>
      <c r="K125" s="295"/>
      <c r="L125" s="343"/>
      <c r="M125" s="1"/>
      <c r="N125" s="294"/>
      <c r="O125" s="295"/>
      <c r="P125" s="295"/>
      <c r="Q125" s="343"/>
      <c r="R125" s="1"/>
      <c r="S125" s="294"/>
      <c r="T125" s="295"/>
      <c r="U125" s="295"/>
      <c r="V125" s="343" t="str">
        <f t="shared" si="20"/>
        <v/>
      </c>
      <c r="W125" s="1"/>
      <c r="X125" s="294"/>
      <c r="Y125" s="295"/>
      <c r="Z125" s="295"/>
      <c r="AA125" s="343"/>
      <c r="AB125" s="1"/>
      <c r="AC125" s="294"/>
      <c r="AD125" s="295"/>
      <c r="AE125" s="295"/>
      <c r="AF125" s="343"/>
      <c r="AG125" s="1"/>
      <c r="AH125" s="294"/>
      <c r="AI125" s="295"/>
      <c r="AJ125" s="295"/>
      <c r="AK125" s="343"/>
      <c r="AL125" s="1"/>
      <c r="AM125" s="294"/>
      <c r="AN125" s="295"/>
      <c r="AO125" s="295"/>
      <c r="AP125" s="343"/>
    </row>
    <row r="126" ht="15.75" customHeight="1">
      <c r="A126" s="71"/>
      <c r="B126" s="1" t="str">
        <f t="shared" si="19"/>
        <v> Normalized P / E:</v>
      </c>
      <c r="C126" s="1"/>
      <c r="D126" s="325"/>
      <c r="E126" s="326"/>
      <c r="F126" s="326"/>
      <c r="G126" s="343"/>
      <c r="H126" s="1"/>
      <c r="I126" s="325"/>
      <c r="J126" s="326"/>
      <c r="K126" s="326"/>
      <c r="L126" s="343"/>
      <c r="M126" s="1"/>
      <c r="N126" s="325"/>
      <c r="O126" s="326"/>
      <c r="P126" s="326"/>
      <c r="Q126" s="343"/>
      <c r="R126" s="1"/>
      <c r="S126" s="325"/>
      <c r="T126" s="326"/>
      <c r="U126" s="326"/>
      <c r="V126" s="343" t="str">
        <f t="shared" si="20"/>
        <v/>
      </c>
      <c r="W126" s="1"/>
      <c r="X126" s="325"/>
      <c r="Y126" s="326"/>
      <c r="Z126" s="326"/>
      <c r="AA126" s="343"/>
      <c r="AB126" s="1"/>
      <c r="AC126" s="325"/>
      <c r="AD126" s="326"/>
      <c r="AE126" s="326"/>
      <c r="AF126" s="343"/>
      <c r="AG126" s="1"/>
      <c r="AH126" s="325"/>
      <c r="AI126" s="326"/>
      <c r="AJ126" s="326"/>
      <c r="AK126" s="343"/>
      <c r="AL126" s="1"/>
      <c r="AM126" s="325"/>
      <c r="AN126" s="326"/>
      <c r="AO126" s="326"/>
      <c r="AP126" s="343"/>
    </row>
    <row r="127" ht="15.75" customHeight="1">
      <c r="A127" s="7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A128" s="71"/>
      <c r="B128" s="1" t="s">
        <v>344</v>
      </c>
      <c r="C128" s="1"/>
      <c r="D128" s="344"/>
      <c r="E128" s="1"/>
      <c r="F128" s="1"/>
      <c r="G128" s="345"/>
      <c r="H128" s="1"/>
      <c r="I128" s="344"/>
      <c r="J128" s="1"/>
      <c r="K128" s="1"/>
      <c r="L128" s="345"/>
      <c r="M128" s="1"/>
      <c r="N128" s="344"/>
      <c r="O128" s="1"/>
      <c r="P128" s="1"/>
      <c r="Q128" s="345"/>
      <c r="R128" s="1"/>
      <c r="S128" s="344"/>
      <c r="T128" s="1"/>
      <c r="U128" s="1"/>
      <c r="V128" s="345" t="s">
        <v>345</v>
      </c>
      <c r="W128" s="1"/>
      <c r="X128" s="344"/>
      <c r="Y128" s="1"/>
      <c r="Z128" s="1"/>
      <c r="AA128" s="345"/>
      <c r="AB128" s="1"/>
      <c r="AC128" s="344"/>
      <c r="AD128" s="1"/>
      <c r="AE128" s="1"/>
      <c r="AF128" s="345"/>
      <c r="AG128" s="1"/>
      <c r="AH128" s="344"/>
      <c r="AI128" s="1"/>
      <c r="AJ128" s="1"/>
      <c r="AK128" s="345"/>
      <c r="AL128" s="1"/>
      <c r="AM128" s="344"/>
      <c r="AN128" s="1"/>
      <c r="AO128" s="1"/>
      <c r="AP128" s="345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mergeCells count="8">
    <mergeCell ref="S3:V3"/>
    <mergeCell ref="S29:V29"/>
    <mergeCell ref="S41:V41"/>
    <mergeCell ref="S47:V47"/>
    <mergeCell ref="U67:V67"/>
    <mergeCell ref="S77:V77"/>
    <mergeCell ref="S83:V83"/>
    <mergeCell ref="S89:V89"/>
  </mergeCells>
  <hyperlinks>
    <hyperlink r:id="rId2" ref="V128"/>
  </hyperlinks>
  <printOptions/>
  <pageMargins bottom="0.75" footer="0.0" header="0.0" left="0.7" right="0.7" top="0.75"/>
  <pageSetup orientation="landscape"/>
  <headerFooter>
    <oddHeader>&amp;LWalmart Valuation - &amp;CData for Comparable Public Companies</oddHeader>
  </headerFooter>
  <rowBreaks count="1" manualBreakCount="1">
    <brk id="76" man="1"/>
  </rowBreaks>
  <colBreaks count="2" manualBreakCount="2">
    <brk id="17" man="1"/>
    <brk id="47" man="1"/>
  </colBreak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2B2B2"/>
    <pageSetUpPr/>
  </sheetPr>
  <sheetViews>
    <sheetView showGridLines="0" workbookViewId="0"/>
  </sheetViews>
  <sheetFormatPr customHeight="1" defaultColWidth="14.43" defaultRowHeight="15.0" outlineLevelCol="1"/>
  <cols>
    <col customWidth="1" min="1" max="1" width="2.71"/>
    <col customWidth="1" min="2" max="2" width="41.86"/>
    <col customWidth="1" min="3" max="3" width="35.43"/>
    <col customWidth="1" min="4" max="4" width="11.43"/>
    <col customWidth="1" min="5" max="5" width="12.43"/>
    <col customWidth="1" min="6" max="9" width="10.14"/>
    <col customWidth="1" hidden="1" min="10" max="13" width="10.14" outlineLevel="1"/>
    <col customWidth="1" min="14" max="16" width="10.14"/>
    <col customWidth="1" min="17" max="18" width="2.71"/>
    <col customWidth="1" min="19" max="27" width="10.71"/>
    <col customWidth="1" min="28" max="31" width="9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/>
      <c r="B2" s="126" t="s">
        <v>346</v>
      </c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1"/>
      <c r="B3" s="126" t="s">
        <v>347</v>
      </c>
      <c r="C3" s="6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1"/>
      <c r="B4" s="1" t="str">
        <f>JAZZ_DCF!$B$3</f>
        <v>($ in Millions Except Per Share and Per Unit Data)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1"/>
      <c r="B6" s="130" t="str">
        <f>Company_Name&amp;" - Comparable M&amp;A Transactions"</f>
        <v>Jazz Pharmaceuticals plc - Comparable M&amp;A Transactions</v>
      </c>
      <c r="C6" s="130"/>
      <c r="D6" s="130"/>
      <c r="E6" s="134"/>
      <c r="F6" s="131" t="s">
        <v>348</v>
      </c>
      <c r="G6" s="132"/>
      <c r="H6" s="131" t="s">
        <v>349</v>
      </c>
      <c r="I6" s="132"/>
      <c r="J6" s="346"/>
      <c r="K6" s="131" t="s">
        <v>350</v>
      </c>
      <c r="L6" s="132"/>
      <c r="M6" s="132"/>
      <c r="N6" s="131" t="s">
        <v>351</v>
      </c>
      <c r="O6" s="132"/>
      <c r="P6" s="13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"/>
      <c r="B7" s="130"/>
      <c r="C7" s="130"/>
      <c r="D7" s="130"/>
      <c r="E7" s="134" t="s">
        <v>352</v>
      </c>
      <c r="F7" s="135"/>
      <c r="G7" s="134"/>
      <c r="H7" s="134" t="s">
        <v>353</v>
      </c>
      <c r="I7" s="134" t="s">
        <v>353</v>
      </c>
      <c r="J7" s="134"/>
      <c r="K7" s="135"/>
      <c r="L7" s="135"/>
      <c r="M7" s="135"/>
      <c r="N7" s="131" t="s">
        <v>354</v>
      </c>
      <c r="O7" s="132"/>
      <c r="P7" s="13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"/>
      <c r="B8" s="133"/>
      <c r="C8" s="133"/>
      <c r="D8" s="134"/>
      <c r="E8" s="134" t="s">
        <v>255</v>
      </c>
      <c r="F8" s="134" t="s">
        <v>277</v>
      </c>
      <c r="G8" s="134" t="s">
        <v>277</v>
      </c>
      <c r="H8" s="134" t="s">
        <v>277</v>
      </c>
      <c r="I8" s="134" t="s">
        <v>277</v>
      </c>
      <c r="J8" s="134" t="s">
        <v>355</v>
      </c>
      <c r="K8" s="134" t="s">
        <v>356</v>
      </c>
      <c r="L8" s="134" t="s">
        <v>357</v>
      </c>
      <c r="M8" s="134" t="s">
        <v>358</v>
      </c>
      <c r="N8" s="134" t="s">
        <v>356</v>
      </c>
      <c r="O8" s="134" t="s">
        <v>357</v>
      </c>
      <c r="P8" s="134" t="s">
        <v>358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"/>
      <c r="B9" s="138" t="s">
        <v>359</v>
      </c>
      <c r="C9" s="138" t="s">
        <v>360</v>
      </c>
      <c r="D9" s="138" t="s">
        <v>361</v>
      </c>
      <c r="E9" s="138" t="s">
        <v>262</v>
      </c>
      <c r="F9" s="138" t="s">
        <v>256</v>
      </c>
      <c r="G9" s="138" t="s">
        <v>257</v>
      </c>
      <c r="H9" s="138" t="s">
        <v>256</v>
      </c>
      <c r="I9" s="138" t="s">
        <v>257</v>
      </c>
      <c r="J9" s="138" t="s">
        <v>261</v>
      </c>
      <c r="K9" s="138" t="s">
        <v>362</v>
      </c>
      <c r="L9" s="138" t="s">
        <v>362</v>
      </c>
      <c r="M9" s="138" t="s">
        <v>362</v>
      </c>
      <c r="N9" s="138" t="s">
        <v>362</v>
      </c>
      <c r="O9" s="138" t="s">
        <v>362</v>
      </c>
      <c r="P9" s="138" t="s">
        <v>362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"/>
      <c r="B10" s="347" t="s">
        <v>363</v>
      </c>
      <c r="C10" s="347" t="s">
        <v>364</v>
      </c>
      <c r="D10" s="348">
        <v>44177.0</v>
      </c>
      <c r="E10" s="349">
        <v>40021.09111857863</v>
      </c>
      <c r="F10" s="349">
        <v>5862.400000000001</v>
      </c>
      <c r="G10" s="349">
        <v>3061.7999999999997</v>
      </c>
      <c r="H10" s="350">
        <f t="shared" ref="H10:I10" si="1">IFERROR(IF(OR($E10/F10&lt;0,$E10/F10&gt;=100),"NM",$E10/F10),"N/A")</f>
        <v>6.826741798</v>
      </c>
      <c r="I10" s="350">
        <f t="shared" si="1"/>
        <v>13.07109907</v>
      </c>
      <c r="J10" s="351">
        <v>175.29</v>
      </c>
      <c r="K10" s="351">
        <v>120.98</v>
      </c>
      <c r="L10" s="351">
        <v>120.51</v>
      </c>
      <c r="M10" s="351">
        <v>127.62</v>
      </c>
      <c r="N10" s="352">
        <f t="shared" ref="N10:P10" si="2">IFERROR($J10/K10-1,"N/A")</f>
        <v>0.4489171764</v>
      </c>
      <c r="O10" s="352">
        <f t="shared" si="2"/>
        <v>0.4545680856</v>
      </c>
      <c r="P10" s="352">
        <f t="shared" si="2"/>
        <v>0.3735307945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"/>
      <c r="B11" s="347" t="s">
        <v>365</v>
      </c>
      <c r="C11" s="347" t="s">
        <v>366</v>
      </c>
      <c r="D11" s="348">
        <v>43122.0</v>
      </c>
      <c r="E11" s="353">
        <v>11037.76</v>
      </c>
      <c r="F11" s="353">
        <v>1168.5</v>
      </c>
      <c r="G11" s="353">
        <v>474.8</v>
      </c>
      <c r="H11" s="350">
        <f t="shared" ref="H11:I11" si="3">IFERROR(IF(OR($E11/F11&lt;0,$E11/F11&gt;=100),"NM",$E11/F11),"N/A")</f>
        <v>9.446093282</v>
      </c>
      <c r="I11" s="350">
        <f t="shared" si="3"/>
        <v>23.24717776</v>
      </c>
      <c r="J11" s="354">
        <v>105.0</v>
      </c>
      <c r="K11" s="354">
        <v>64.11</v>
      </c>
      <c r="L11" s="354">
        <v>63.75</v>
      </c>
      <c r="M11" s="354">
        <v>53.64</v>
      </c>
      <c r="N11" s="352">
        <f t="shared" ref="N11:P11" si="4">IFERROR($J11/K11-1,"N/A")</f>
        <v>0.637810014</v>
      </c>
      <c r="O11" s="352">
        <f t="shared" si="4"/>
        <v>0.6470588235</v>
      </c>
      <c r="P11" s="352">
        <f t="shared" si="4"/>
        <v>0.9574944072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"/>
      <c r="B12" s="347" t="s">
        <v>367</v>
      </c>
      <c r="C12" s="347" t="s">
        <v>368</v>
      </c>
      <c r="D12" s="348">
        <v>42380.0</v>
      </c>
      <c r="E12" s="353">
        <v>35218.87</v>
      </c>
      <c r="F12" s="353">
        <v>6148.0</v>
      </c>
      <c r="G12" s="353">
        <v>2105.0</v>
      </c>
      <c r="H12" s="350">
        <f t="shared" ref="H12:I12" si="5">IFERROR(IF(OR($E12/F12&lt;0,$E12/F12&gt;=100),"NM",$E12/F12),"N/A")</f>
        <v>5.728508458</v>
      </c>
      <c r="I12" s="350">
        <f t="shared" si="5"/>
        <v>16.73105463</v>
      </c>
      <c r="J12" s="354">
        <v>45.57</v>
      </c>
      <c r="K12" s="354">
        <v>33.15</v>
      </c>
      <c r="L12" s="354">
        <v>30.6</v>
      </c>
      <c r="M12" s="354">
        <v>31.71</v>
      </c>
      <c r="N12" s="352">
        <f t="shared" ref="N12:P12" si="6">IFERROR($J12/K12-1,"N/A")</f>
        <v>0.3746606335</v>
      </c>
      <c r="O12" s="352">
        <f t="shared" si="6"/>
        <v>0.4892156863</v>
      </c>
      <c r="P12" s="352">
        <f t="shared" si="6"/>
        <v>0.4370860927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"/>
      <c r="B13" s="347" t="s">
        <v>369</v>
      </c>
      <c r="C13" s="347" t="s">
        <v>370</v>
      </c>
      <c r="D13" s="348">
        <v>41960.0</v>
      </c>
      <c r="E13" s="353">
        <v>68725.93</v>
      </c>
      <c r="F13" s="353">
        <v>7003.2</v>
      </c>
      <c r="G13" s="353">
        <v>2330.0</v>
      </c>
      <c r="H13" s="350">
        <f t="shared" ref="H13:I13" si="7">IFERROR(IF(OR($E13/F13&lt;0,$E13/F13&gt;=100),"NM",$E13/F13),"N/A")</f>
        <v>9.813503827</v>
      </c>
      <c r="I13" s="350">
        <f t="shared" si="7"/>
        <v>29.4961073</v>
      </c>
      <c r="J13" s="354">
        <v>219.0</v>
      </c>
      <c r="K13" s="354">
        <v>142.0</v>
      </c>
      <c r="L13" s="354">
        <v>123.97</v>
      </c>
      <c r="M13" s="354">
        <v>125.05</v>
      </c>
      <c r="N13" s="352">
        <f t="shared" ref="N13:P13" si="8">IFERROR($J13/K13-1,"N/A")</f>
        <v>0.5422535211</v>
      </c>
      <c r="O13" s="352">
        <f t="shared" si="8"/>
        <v>0.7665564249</v>
      </c>
      <c r="P13" s="352">
        <f t="shared" si="8"/>
        <v>0.7512994802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347" t="s">
        <v>371</v>
      </c>
      <c r="C14" s="347" t="s">
        <v>372</v>
      </c>
      <c r="D14" s="348">
        <v>41089.0</v>
      </c>
      <c r="E14" s="353">
        <v>6637.73</v>
      </c>
      <c r="F14" s="353">
        <v>651.65</v>
      </c>
      <c r="G14" s="353">
        <v>-449.56</v>
      </c>
      <c r="H14" s="350">
        <f t="shared" ref="H14:I14" si="9">IFERROR(IF(OR($E14/F14&lt;0,$E14/F14&gt;=100),"NM",$E14/F14),"N/A")</f>
        <v>10.18603545</v>
      </c>
      <c r="I14" s="350" t="str">
        <f t="shared" si="9"/>
        <v>NM</v>
      </c>
      <c r="J14" s="354">
        <v>31.0</v>
      </c>
      <c r="K14" s="354">
        <v>15.39</v>
      </c>
      <c r="L14" s="354">
        <v>15.27</v>
      </c>
      <c r="M14" s="354">
        <v>17.87</v>
      </c>
      <c r="N14" s="352">
        <f t="shared" ref="N14:P14" si="10">IFERROR($J14/K14-1,"N/A")</f>
        <v>1.014294997</v>
      </c>
      <c r="O14" s="352">
        <f t="shared" si="10"/>
        <v>1.030124427</v>
      </c>
      <c r="P14" s="352">
        <f t="shared" si="10"/>
        <v>0.7347509793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"/>
      <c r="B15" s="347" t="s">
        <v>373</v>
      </c>
      <c r="C15" s="347" t="s">
        <v>374</v>
      </c>
      <c r="D15" s="348">
        <v>42849.0</v>
      </c>
      <c r="E15" s="353">
        <v>4789.02</v>
      </c>
      <c r="F15" s="353">
        <v>1101.92</v>
      </c>
      <c r="G15" s="353">
        <v>445.85</v>
      </c>
      <c r="H15" s="350">
        <f t="shared" ref="H15:I15" si="11">IFERROR(IF(OR($E15/F15&lt;0,$E15/F15&gt;=100),"NM",$E15/F15),"N/A")</f>
        <v>4.34606868</v>
      </c>
      <c r="I15" s="350">
        <f t="shared" si="11"/>
        <v>10.74132556</v>
      </c>
      <c r="J15" s="351">
        <v>34.0</v>
      </c>
      <c r="K15" s="351">
        <v>25.22</v>
      </c>
      <c r="L15" s="351">
        <v>24.08</v>
      </c>
      <c r="M15" s="351">
        <v>22.39</v>
      </c>
      <c r="N15" s="352">
        <f t="shared" ref="N15:P15" si="12">IFERROR($J15/K15-1,"N/A")</f>
        <v>0.3481363997</v>
      </c>
      <c r="O15" s="352">
        <f t="shared" si="12"/>
        <v>0.4119601329</v>
      </c>
      <c r="P15" s="352">
        <f t="shared" si="12"/>
        <v>0.5185350603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"/>
      <c r="B16" s="347" t="s">
        <v>375</v>
      </c>
      <c r="C16" s="347" t="s">
        <v>376</v>
      </c>
      <c r="D16" s="348">
        <v>42719.0</v>
      </c>
      <c r="E16" s="353">
        <v>5500.0</v>
      </c>
      <c r="F16" s="353">
        <v>1000.0</v>
      </c>
      <c r="G16" s="353">
        <v>344.0</v>
      </c>
      <c r="H16" s="350">
        <f t="shared" ref="H16:I16" si="13">IFERROR(IF(OR($E16/F16&lt;0,$E16/F16&gt;=100),"NM",$E16/F16),"N/A")</f>
        <v>5.5</v>
      </c>
      <c r="I16" s="350">
        <f t="shared" si="13"/>
        <v>15.98837209</v>
      </c>
      <c r="J16" s="354" t="s">
        <v>377</v>
      </c>
      <c r="K16" s="354" t="s">
        <v>377</v>
      </c>
      <c r="L16" s="354" t="s">
        <v>377</v>
      </c>
      <c r="M16" s="354" t="s">
        <v>377</v>
      </c>
      <c r="N16" s="352" t="str">
        <f t="shared" ref="N16:P16" si="14">IFERROR($J16/K16-1,"N/A")</f>
        <v>N/A</v>
      </c>
      <c r="O16" s="352" t="str">
        <f t="shared" si="14"/>
        <v>N/A</v>
      </c>
      <c r="P16" s="352" t="str">
        <f t="shared" si="14"/>
        <v>N/A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"/>
      <c r="B17" s="347" t="s">
        <v>378</v>
      </c>
      <c r="C17" s="347" t="s">
        <v>379</v>
      </c>
      <c r="D17" s="348">
        <v>42619.0</v>
      </c>
      <c r="E17" s="353">
        <v>4078.76</v>
      </c>
      <c r="F17" s="353">
        <v>564.25</v>
      </c>
      <c r="G17" s="353">
        <v>0.588</v>
      </c>
      <c r="H17" s="350">
        <f t="shared" ref="H17:I17" si="15">IFERROR(IF(OR($E17/F17&lt;0,$E17/F17&gt;=100),"NM",$E17/F17),"N/A")</f>
        <v>7.228639787</v>
      </c>
      <c r="I17" s="350" t="str">
        <f t="shared" si="15"/>
        <v>NM</v>
      </c>
      <c r="J17" s="354">
        <v>53.0</v>
      </c>
      <c r="K17" s="354">
        <v>34.42</v>
      </c>
      <c r="L17" s="354">
        <v>34.55</v>
      </c>
      <c r="M17" s="354">
        <v>35.84</v>
      </c>
      <c r="N17" s="352">
        <f t="shared" ref="N17:P17" si="16">IFERROR($J17/K17-1,"N/A")</f>
        <v>0.5398024404</v>
      </c>
      <c r="O17" s="352">
        <f t="shared" si="16"/>
        <v>0.5340086831</v>
      </c>
      <c r="P17" s="352">
        <f t="shared" si="16"/>
        <v>0.4787946429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"/>
      <c r="B18" s="347" t="s">
        <v>380</v>
      </c>
      <c r="C18" s="347" t="s">
        <v>381</v>
      </c>
      <c r="D18" s="348">
        <v>42604.0</v>
      </c>
      <c r="E18" s="353">
        <v>14003.71</v>
      </c>
      <c r="F18" s="353">
        <v>1027.08</v>
      </c>
      <c r="G18" s="353">
        <v>456.48</v>
      </c>
      <c r="H18" s="350">
        <f t="shared" ref="H18:I18" si="17">IFERROR(IF(OR($E18/F18&lt;0,$E18/F18&gt;=100),"NM",$E18/F18),"N/A")</f>
        <v>13.63448806</v>
      </c>
      <c r="I18" s="350">
        <f t="shared" si="17"/>
        <v>30.67759814</v>
      </c>
      <c r="J18" s="354">
        <v>81.5</v>
      </c>
      <c r="K18" s="354">
        <v>37.39</v>
      </c>
      <c r="L18" s="354">
        <v>39.39</v>
      </c>
      <c r="M18" s="354">
        <v>35.77</v>
      </c>
      <c r="N18" s="352">
        <f t="shared" ref="N18:P18" si="18">IFERROR($J18/K18-1,"N/A")</f>
        <v>1.1797272</v>
      </c>
      <c r="O18" s="352">
        <f t="shared" si="18"/>
        <v>1.069053059</v>
      </c>
      <c r="P18" s="352">
        <f t="shared" si="18"/>
        <v>1.278445625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"/>
      <c r="B19" s="347" t="s">
        <v>382</v>
      </c>
      <c r="C19" s="347" t="s">
        <v>383</v>
      </c>
      <c r="D19" s="348">
        <v>42067.0</v>
      </c>
      <c r="E19" s="353">
        <v>20166.71</v>
      </c>
      <c r="F19" s="353">
        <v>816.12</v>
      </c>
      <c r="G19" s="353">
        <v>112.85</v>
      </c>
      <c r="H19" s="350">
        <f t="shared" ref="H19:I19" si="19">IFERROR(IF(OR($E19/F19&lt;0,$E19/F19&gt;=100),"NM",$E19/F19),"N/A")</f>
        <v>24.7104715</v>
      </c>
      <c r="I19" s="350" t="str">
        <f t="shared" si="19"/>
        <v>NM</v>
      </c>
      <c r="J19" s="354">
        <v>261.25</v>
      </c>
      <c r="K19" s="354">
        <v>188.45</v>
      </c>
      <c r="L19" s="354">
        <v>167.18</v>
      </c>
      <c r="M19" s="354">
        <v>158.55</v>
      </c>
      <c r="N19" s="352">
        <f t="shared" ref="N19:P19" si="20">IFERROR($J19/K19-1,"N/A")</f>
        <v>0.3863093659</v>
      </c>
      <c r="O19" s="352">
        <f t="shared" si="20"/>
        <v>0.5626869243</v>
      </c>
      <c r="P19" s="352">
        <f t="shared" si="20"/>
        <v>0.6477451908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"/>
      <c r="B20" s="347" t="s">
        <v>384</v>
      </c>
      <c r="C20" s="347" t="s">
        <v>385</v>
      </c>
      <c r="D20" s="348">
        <v>42057.0</v>
      </c>
      <c r="E20" s="353">
        <v>16137.23</v>
      </c>
      <c r="F20" s="353">
        <v>1133.54</v>
      </c>
      <c r="G20" s="353">
        <v>154.77</v>
      </c>
      <c r="H20" s="350">
        <f t="shared" ref="H20:I20" si="21">IFERROR(IF(OR($E20/F20&lt;0,$E20/F20&gt;=100),"NM",$E20/F20),"N/A")</f>
        <v>14.23613635</v>
      </c>
      <c r="I20" s="350" t="str">
        <f t="shared" si="21"/>
        <v>NM</v>
      </c>
      <c r="J20" s="354">
        <v>173.0</v>
      </c>
      <c r="K20" s="354">
        <v>120.19</v>
      </c>
      <c r="L20" s="354">
        <v>118.09</v>
      </c>
      <c r="M20" s="354">
        <v>110.11</v>
      </c>
      <c r="N20" s="352">
        <f t="shared" ref="N20:P20" si="22">IFERROR($J20/K20-1,"N/A")</f>
        <v>0.4393876362</v>
      </c>
      <c r="O20" s="352">
        <f t="shared" si="22"/>
        <v>0.464984334</v>
      </c>
      <c r="P20" s="352">
        <f t="shared" si="22"/>
        <v>0.5711561166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"/>
      <c r="B21" s="347" t="s">
        <v>386</v>
      </c>
      <c r="C21" s="347" t="s">
        <v>387</v>
      </c>
      <c r="D21" s="348">
        <v>41981.0</v>
      </c>
      <c r="E21" s="353">
        <v>9488.28</v>
      </c>
      <c r="F21" s="353">
        <v>1164.53</v>
      </c>
      <c r="G21" s="353">
        <v>203.55</v>
      </c>
      <c r="H21" s="350">
        <f t="shared" ref="H21:I21" si="23">IFERROR(IF(OR($E21/F21&lt;0,$E21/F21&gt;=100),"NM",$E21/F21),"N/A")</f>
        <v>8.14773342</v>
      </c>
      <c r="I21" s="350">
        <f t="shared" si="23"/>
        <v>46.61400147</v>
      </c>
      <c r="J21" s="354">
        <v>102.0</v>
      </c>
      <c r="K21" s="354">
        <v>74.36</v>
      </c>
      <c r="L21" s="354">
        <v>75.81</v>
      </c>
      <c r="M21" s="354">
        <v>70.75</v>
      </c>
      <c r="N21" s="352">
        <f t="shared" ref="N21:P21" si="24">IFERROR($J21/K21-1,"N/A")</f>
        <v>0.3717052179</v>
      </c>
      <c r="O21" s="352">
        <f t="shared" si="24"/>
        <v>0.3454689355</v>
      </c>
      <c r="P21" s="352">
        <f t="shared" si="24"/>
        <v>0.4416961131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"/>
      <c r="B22" s="347" t="s">
        <v>388</v>
      </c>
      <c r="C22" s="347" t="s">
        <v>389</v>
      </c>
      <c r="D22" s="348">
        <v>41736.0</v>
      </c>
      <c r="E22" s="353">
        <v>5300.27</v>
      </c>
      <c r="F22" s="353">
        <v>890.9</v>
      </c>
      <c r="G22" s="353">
        <v>516.94</v>
      </c>
      <c r="H22" s="350">
        <f t="shared" ref="H22:I22" si="25">IFERROR(IF(OR($E22/F22&lt;0,$E22/F22&gt;=100),"NM",$E22/F22),"N/A")</f>
        <v>5.949343361</v>
      </c>
      <c r="I22" s="350">
        <f t="shared" si="25"/>
        <v>10.25316284</v>
      </c>
      <c r="J22" s="354">
        <v>86.1</v>
      </c>
      <c r="K22" s="354">
        <v>67.87</v>
      </c>
      <c r="L22" s="354">
        <v>62.12</v>
      </c>
      <c r="M22" s="354">
        <v>64.9</v>
      </c>
      <c r="N22" s="352">
        <f t="shared" ref="N22:P22" si="26">IFERROR($J22/K22-1,"N/A")</f>
        <v>0.2686017386</v>
      </c>
      <c r="O22" s="352">
        <f t="shared" si="26"/>
        <v>0.3860270444</v>
      </c>
      <c r="P22" s="352">
        <f t="shared" si="26"/>
        <v>0.3266563945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"/>
      <c r="B23" s="347" t="s">
        <v>369</v>
      </c>
      <c r="C23" s="347" t="s">
        <v>390</v>
      </c>
      <c r="D23" s="348">
        <v>41688.0</v>
      </c>
      <c r="E23" s="353">
        <v>22128.81</v>
      </c>
      <c r="F23" s="353">
        <v>3371.42</v>
      </c>
      <c r="G23" s="353">
        <v>418.34</v>
      </c>
      <c r="H23" s="350">
        <f t="shared" ref="H23:I23" si="27">IFERROR(IF(OR($E23/F23&lt;0,$E23/F23&gt;=100),"NM",$E23/F23),"N/A")</f>
        <v>6.563646772</v>
      </c>
      <c r="I23" s="350">
        <f t="shared" si="27"/>
        <v>52.89671081</v>
      </c>
      <c r="J23" s="354">
        <v>89.48</v>
      </c>
      <c r="K23" s="354">
        <v>71.39</v>
      </c>
      <c r="L23" s="354">
        <v>68.89</v>
      </c>
      <c r="M23" s="354">
        <v>69.97</v>
      </c>
      <c r="N23" s="352">
        <f t="shared" ref="N23:P23" si="28">IFERROR($J23/K23-1,"N/A")</f>
        <v>0.2533968343</v>
      </c>
      <c r="O23" s="352">
        <f t="shared" si="28"/>
        <v>0.2988822761</v>
      </c>
      <c r="P23" s="352">
        <f t="shared" si="28"/>
        <v>0.2788337859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"/>
      <c r="B24" s="347" t="s">
        <v>390</v>
      </c>
      <c r="C24" s="347" t="s">
        <v>391</v>
      </c>
      <c r="D24" s="348">
        <v>41647.0</v>
      </c>
      <c r="E24" s="353">
        <v>2900.0</v>
      </c>
      <c r="F24" s="353">
        <v>700.18</v>
      </c>
      <c r="G24" s="353">
        <v>275.6</v>
      </c>
      <c r="H24" s="350">
        <f t="shared" ref="H24:I24" si="29">IFERROR(IF(OR($E24/F24&lt;0,$E24/F24&gt;=100),"NM",$E24/F24),"N/A")</f>
        <v>4.141792111</v>
      </c>
      <c r="I24" s="350">
        <f t="shared" si="29"/>
        <v>10.52249637</v>
      </c>
      <c r="J24" s="354" t="s">
        <v>377</v>
      </c>
      <c r="K24" s="354" t="s">
        <v>377</v>
      </c>
      <c r="L24" s="354" t="s">
        <v>377</v>
      </c>
      <c r="M24" s="354" t="s">
        <v>377</v>
      </c>
      <c r="N24" s="352" t="str">
        <f t="shared" ref="N24:P24" si="30">IFERROR($J24/K24-1,"N/A")</f>
        <v>N/A</v>
      </c>
      <c r="O24" s="352" t="str">
        <f t="shared" si="30"/>
        <v>N/A</v>
      </c>
      <c r="P24" s="352" t="str">
        <f t="shared" si="30"/>
        <v>N/A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"/>
      <c r="B25" s="347" t="s">
        <v>392</v>
      </c>
      <c r="C25" s="347" t="s">
        <v>393</v>
      </c>
      <c r="D25" s="348">
        <v>41511.0</v>
      </c>
      <c r="E25" s="353">
        <v>9253.84</v>
      </c>
      <c r="F25" s="353">
        <v>515.95</v>
      </c>
      <c r="G25" s="353">
        <v>-151.48</v>
      </c>
      <c r="H25" s="350">
        <f t="shared" ref="H25:I25" si="31">IFERROR(IF(OR($E25/F25&lt;0,$E25/F25&gt;=100),"NM",$E25/F25),"N/A")</f>
        <v>17.93553639</v>
      </c>
      <c r="I25" s="350" t="str">
        <f t="shared" si="31"/>
        <v>NM</v>
      </c>
      <c r="J25" s="354">
        <v>125.0</v>
      </c>
      <c r="K25" s="354">
        <v>86.82</v>
      </c>
      <c r="L25" s="354">
        <v>81.83</v>
      </c>
      <c r="M25" s="354">
        <v>96.31</v>
      </c>
      <c r="N25" s="352">
        <f t="shared" ref="N25:P25" si="32">IFERROR($J25/K25-1,"N/A")</f>
        <v>0.4397604239</v>
      </c>
      <c r="O25" s="352">
        <f t="shared" si="32"/>
        <v>0.5275571306</v>
      </c>
      <c r="P25" s="352">
        <f t="shared" si="32"/>
        <v>0.297892223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"/>
      <c r="B26" s="347" t="s">
        <v>384</v>
      </c>
      <c r="C26" s="347" t="s">
        <v>394</v>
      </c>
      <c r="D26" s="348">
        <v>41155.0</v>
      </c>
      <c r="E26" s="353">
        <v>2328.78</v>
      </c>
      <c r="F26" s="353">
        <v>763.68</v>
      </c>
      <c r="G26" s="353">
        <v>191.39</v>
      </c>
      <c r="H26" s="350">
        <f t="shared" ref="H26:I26" si="33">IFERROR(IF(OR($E26/F26&lt;0,$E26/F26&gt;=100),"NM",$E26/F26),"N/A")</f>
        <v>3.049418605</v>
      </c>
      <c r="I26" s="350">
        <f t="shared" si="33"/>
        <v>12.16772036</v>
      </c>
      <c r="J26" s="354">
        <v>44.0</v>
      </c>
      <c r="K26" s="354">
        <v>31.56</v>
      </c>
      <c r="L26" s="354">
        <v>32.5</v>
      </c>
      <c r="M26" s="354">
        <v>32.92</v>
      </c>
      <c r="N26" s="352">
        <f t="shared" ref="N26:P26" si="34">IFERROR($J26/K26-1,"N/A")</f>
        <v>0.3941698352</v>
      </c>
      <c r="O26" s="352">
        <f t="shared" si="34"/>
        <v>0.3538461538</v>
      </c>
      <c r="P26" s="352">
        <f t="shared" si="34"/>
        <v>0.3365735115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"/>
      <c r="B27" s="1"/>
      <c r="C27" s="1"/>
      <c r="D27" s="355"/>
      <c r="E27" s="356"/>
      <c r="F27" s="356"/>
      <c r="G27" s="356"/>
      <c r="H27" s="357"/>
      <c r="I27" s="357"/>
      <c r="J27" s="357"/>
      <c r="K27" s="357"/>
      <c r="L27" s="357"/>
      <c r="M27" s="357"/>
      <c r="N27" s="357"/>
      <c r="O27" s="357"/>
      <c r="P27" s="357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"/>
      <c r="B28" s="1"/>
      <c r="C28" s="358" t="s">
        <v>264</v>
      </c>
      <c r="D28" s="359"/>
      <c r="E28" s="360">
        <f t="shared" ref="E28:I28" si="35">MAX(E10:E26)</f>
        <v>68725.93</v>
      </c>
      <c r="F28" s="360">
        <f t="shared" si="35"/>
        <v>7003.2</v>
      </c>
      <c r="G28" s="360">
        <f t="shared" si="35"/>
        <v>3061.8</v>
      </c>
      <c r="H28" s="332">
        <f t="shared" si="35"/>
        <v>24.7104715</v>
      </c>
      <c r="I28" s="332">
        <f t="shared" si="35"/>
        <v>52.89671081</v>
      </c>
      <c r="J28" s="332"/>
      <c r="K28" s="332"/>
      <c r="L28" s="332"/>
      <c r="M28" s="332"/>
      <c r="N28" s="361">
        <f t="shared" ref="N28:P28" si="36">MAX(N10:N26)</f>
        <v>1.1797272</v>
      </c>
      <c r="O28" s="361">
        <f t="shared" si="36"/>
        <v>1.069053059</v>
      </c>
      <c r="P28" s="362">
        <f t="shared" si="36"/>
        <v>1.278445625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"/>
      <c r="B29" s="1"/>
      <c r="C29" s="363" t="s">
        <v>265</v>
      </c>
      <c r="D29" s="364"/>
      <c r="E29" s="9">
        <f t="shared" ref="E29:I29" si="37">QUARTILE(E10:E26,3)</f>
        <v>20166.71</v>
      </c>
      <c r="F29" s="9">
        <f t="shared" si="37"/>
        <v>1168.5</v>
      </c>
      <c r="G29" s="9">
        <f t="shared" si="37"/>
        <v>474.8</v>
      </c>
      <c r="H29" s="335">
        <f t="shared" si="37"/>
        <v>10.18603545</v>
      </c>
      <c r="I29" s="335">
        <f t="shared" si="37"/>
        <v>29.79148001</v>
      </c>
      <c r="J29" s="335"/>
      <c r="K29" s="335"/>
      <c r="L29" s="335"/>
      <c r="M29" s="335"/>
      <c r="N29" s="365">
        <f t="shared" ref="N29:P29" si="38">QUARTILE(N10:N26,3)</f>
        <v>0.5410279808</v>
      </c>
      <c r="O29" s="365">
        <f t="shared" si="38"/>
        <v>0.6048728739</v>
      </c>
      <c r="P29" s="366">
        <f t="shared" si="38"/>
        <v>0.691248085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"/>
      <c r="B30" s="6"/>
      <c r="C30" s="367" t="s">
        <v>266</v>
      </c>
      <c r="D30" s="368"/>
      <c r="E30" s="153">
        <f t="shared" ref="E30:I30" si="39">MEDIAN(E10:E26)</f>
        <v>9488.28</v>
      </c>
      <c r="F30" s="153">
        <f t="shared" si="39"/>
        <v>1027.08</v>
      </c>
      <c r="G30" s="153">
        <f t="shared" si="39"/>
        <v>344</v>
      </c>
      <c r="H30" s="369">
        <f t="shared" si="39"/>
        <v>7.228639787</v>
      </c>
      <c r="I30" s="369">
        <f t="shared" si="39"/>
        <v>16.35971336</v>
      </c>
      <c r="J30" s="369"/>
      <c r="K30" s="369"/>
      <c r="L30" s="369"/>
      <c r="M30" s="369"/>
      <c r="N30" s="370">
        <f t="shared" ref="N30:P30" si="40">MEDIAN(N10:N26)</f>
        <v>0.4393876362</v>
      </c>
      <c r="O30" s="370">
        <f t="shared" si="40"/>
        <v>0.4892156863</v>
      </c>
      <c r="P30" s="371">
        <f t="shared" si="40"/>
        <v>0.4787946429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"/>
      <c r="B31" s="1"/>
      <c r="C31" s="363" t="s">
        <v>267</v>
      </c>
      <c r="D31" s="364"/>
      <c r="E31" s="219">
        <f t="shared" ref="E31:I31" si="41">QUARTILE(E10:E26,1)</f>
        <v>5300.27</v>
      </c>
      <c r="F31" s="219">
        <f t="shared" si="41"/>
        <v>763.68</v>
      </c>
      <c r="G31" s="219">
        <f t="shared" si="41"/>
        <v>154.77</v>
      </c>
      <c r="H31" s="335">
        <f t="shared" si="41"/>
        <v>5.728508458</v>
      </c>
      <c r="I31" s="335">
        <f t="shared" si="41"/>
        <v>11.81112166</v>
      </c>
      <c r="J31" s="335"/>
      <c r="K31" s="335"/>
      <c r="L31" s="335"/>
      <c r="M31" s="335"/>
      <c r="N31" s="365">
        <f t="shared" ref="N31:P31" si="42">QUARTILE(N10:N26,1)</f>
        <v>0.3731829257</v>
      </c>
      <c r="O31" s="365">
        <f t="shared" si="42"/>
        <v>0.3989935887</v>
      </c>
      <c r="P31" s="366">
        <f t="shared" si="42"/>
        <v>0.355052153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"/>
      <c r="B32" s="1"/>
      <c r="C32" s="372" t="s">
        <v>268</v>
      </c>
      <c r="D32" s="373"/>
      <c r="E32" s="374">
        <f t="shared" ref="E32:I32" si="43">MIN(E10:E26)</f>
        <v>2328.78</v>
      </c>
      <c r="F32" s="374">
        <f t="shared" si="43"/>
        <v>515.95</v>
      </c>
      <c r="G32" s="374">
        <f t="shared" si="43"/>
        <v>-449.56</v>
      </c>
      <c r="H32" s="338">
        <f t="shared" si="43"/>
        <v>3.049418605</v>
      </c>
      <c r="I32" s="338">
        <f t="shared" si="43"/>
        <v>10.25316284</v>
      </c>
      <c r="J32" s="338"/>
      <c r="K32" s="338"/>
      <c r="L32" s="338"/>
      <c r="M32" s="338"/>
      <c r="N32" s="375">
        <f t="shared" ref="N32:P32" si="44">MIN(N10:N26)</f>
        <v>0.2533968343</v>
      </c>
      <c r="O32" s="375">
        <f t="shared" si="44"/>
        <v>0.2988822761</v>
      </c>
      <c r="P32" s="376">
        <f t="shared" si="44"/>
        <v>0.2788337859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"/>
      <c r="B34" s="1"/>
      <c r="C34" s="1"/>
      <c r="D34" s="1"/>
      <c r="E34" s="1"/>
      <c r="F34" s="1"/>
      <c r="G34" s="1"/>
      <c r="H34" s="335"/>
      <c r="I34" s="335"/>
      <c r="J34" s="335"/>
      <c r="K34" s="335"/>
      <c r="L34" s="335"/>
      <c r="M34" s="335"/>
      <c r="N34" s="335"/>
      <c r="O34" s="335"/>
      <c r="P34" s="335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77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77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77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5">
    <mergeCell ref="F6:G6"/>
    <mergeCell ref="H6:I6"/>
    <mergeCell ref="K6:M6"/>
    <mergeCell ref="N6:P6"/>
    <mergeCell ref="N7:P7"/>
  </mergeCells>
  <printOptions/>
  <pageMargins bottom="1.0" footer="0.0" header="0.0" left="0.75" right="0.75" top="1.0"/>
  <pageSetup scale="45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 outlineLevelCol="1" outlineLevelRow="1"/>
  <cols>
    <col customWidth="1" min="1" max="1" width="2.71"/>
    <col customWidth="1" min="2" max="2" width="31.86"/>
    <col customWidth="1" min="3" max="3" width="6.29" outlineLevel="1"/>
    <col customWidth="1" min="4" max="16" width="12.71"/>
    <col customWidth="1" min="17" max="18" width="2.71"/>
    <col customWidth="1" min="19" max="27" width="10.71"/>
    <col customWidth="1" min="28" max="31" width="9.1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/>
      <c r="B2" s="126" t="str">
        <f>"WACC Analysis - "&amp;TEXT(Company_Name,"")</f>
        <v>WACC Analysis - Jazz Pharmaceuticals plc</v>
      </c>
      <c r="C2" s="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1"/>
      <c r="B3" s="1" t="str">
        <f>JAZZ_DCF!$B$3</f>
        <v>($ in Millions Except Per Share and Per Unit Data)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1"/>
      <c r="B5" s="137" t="s">
        <v>395</v>
      </c>
      <c r="C5" s="137"/>
      <c r="D5" s="378"/>
      <c r="E5" s="378"/>
      <c r="F5" s="378"/>
      <c r="G5" s="379"/>
      <c r="H5" s="37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1"/>
      <c r="B6" s="1" t="s">
        <v>396</v>
      </c>
      <c r="C6" s="1"/>
      <c r="D6" s="1"/>
      <c r="E6" s="1"/>
      <c r="F6" s="380"/>
      <c r="G6" s="381"/>
      <c r="H6" s="38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"/>
      <c r="B7" s="1" t="s">
        <v>397</v>
      </c>
      <c r="C7" s="1"/>
      <c r="D7" s="1"/>
      <c r="E7" s="1"/>
      <c r="F7" s="380"/>
      <c r="G7" s="381"/>
      <c r="H7" s="38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"/>
      <c r="B8" s="1" t="s">
        <v>293</v>
      </c>
      <c r="C8" s="1"/>
      <c r="D8" s="1"/>
      <c r="E8" s="1"/>
      <c r="F8" s="382"/>
      <c r="G8" s="381"/>
      <c r="H8" s="381"/>
      <c r="I8" s="181"/>
      <c r="J8" s="18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"/>
      <c r="B9" s="1" t="s">
        <v>294</v>
      </c>
      <c r="C9" s="1"/>
      <c r="D9" s="1"/>
      <c r="E9" s="1"/>
      <c r="F9" s="382"/>
      <c r="G9" s="381"/>
      <c r="H9" s="381"/>
      <c r="I9" s="181"/>
      <c r="J9" s="18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 outlineLevel="1">
      <c r="A11" s="1"/>
      <c r="B11" s="128"/>
      <c r="C11" s="127"/>
      <c r="D11" s="127"/>
      <c r="E11" s="127"/>
      <c r="F11" s="127"/>
      <c r="G11" s="127"/>
      <c r="H11" s="127"/>
      <c r="I11" s="128"/>
      <c r="J11" s="128"/>
      <c r="K11" s="127"/>
      <c r="L11" s="1"/>
      <c r="M11" s="1"/>
      <c r="N11" s="127"/>
      <c r="O11" s="12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 outlineLevel="1">
      <c r="A12" s="1"/>
      <c r="B12" s="128"/>
      <c r="C12" s="127"/>
      <c r="D12" s="127"/>
      <c r="E12" s="127"/>
      <c r="F12" s="127"/>
      <c r="G12" s="127"/>
      <c r="H12" s="127"/>
      <c r="I12" s="128"/>
      <c r="J12" s="128"/>
      <c r="K12" s="127"/>
      <c r="L12" s="1"/>
      <c r="M12" s="1"/>
      <c r="N12" s="127"/>
      <c r="O12" s="12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"/>
      <c r="B13" s="130" t="s">
        <v>398</v>
      </c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"/>
      <c r="B14" s="130"/>
      <c r="C14" s="130"/>
      <c r="D14" s="134" t="s">
        <v>399</v>
      </c>
      <c r="E14" s="134"/>
      <c r="F14" s="134"/>
      <c r="G14" s="134" t="s">
        <v>400</v>
      </c>
      <c r="H14" s="134"/>
      <c r="I14" s="134" t="s">
        <v>254</v>
      </c>
      <c r="J14" s="134"/>
      <c r="K14" s="134"/>
      <c r="L14" s="134" t="s">
        <v>401</v>
      </c>
      <c r="M14" s="134" t="s">
        <v>402</v>
      </c>
      <c r="N14" s="134" t="s">
        <v>402</v>
      </c>
      <c r="O14" s="134" t="s">
        <v>402</v>
      </c>
      <c r="P14" s="134" t="s">
        <v>403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"/>
      <c r="B15" s="137" t="s">
        <v>404</v>
      </c>
      <c r="C15" s="137" t="s">
        <v>260</v>
      </c>
      <c r="D15" s="138" t="s">
        <v>405</v>
      </c>
      <c r="E15" s="138" t="s">
        <v>406</v>
      </c>
      <c r="F15" s="138" t="s">
        <v>407</v>
      </c>
      <c r="G15" s="138" t="s">
        <v>408</v>
      </c>
      <c r="H15" s="138" t="s">
        <v>409</v>
      </c>
      <c r="I15" s="138" t="s">
        <v>262</v>
      </c>
      <c r="J15" s="138" t="s">
        <v>410</v>
      </c>
      <c r="K15" s="138" t="s">
        <v>411</v>
      </c>
      <c r="L15" s="138" t="s">
        <v>405</v>
      </c>
      <c r="M15" s="138" t="s">
        <v>254</v>
      </c>
      <c r="N15" s="138" t="s">
        <v>406</v>
      </c>
      <c r="O15" s="138" t="s">
        <v>400</v>
      </c>
      <c r="P15" s="138" t="s">
        <v>412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"/>
      <c r="B16" s="1"/>
      <c r="C16" s="1"/>
      <c r="D16" s="383"/>
      <c r="E16" s="53"/>
      <c r="F16" s="55"/>
      <c r="G16" s="53"/>
      <c r="H16" s="55"/>
      <c r="I16" s="53"/>
      <c r="J16" s="55"/>
      <c r="K16" s="55"/>
      <c r="L16" s="384"/>
      <c r="M16" s="55"/>
      <c r="N16" s="55"/>
      <c r="O16" s="55"/>
      <c r="P16" s="5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"/>
      <c r="B17" s="1"/>
      <c r="C17" s="1"/>
      <c r="D17" s="383"/>
      <c r="E17" s="9"/>
      <c r="F17" s="55"/>
      <c r="G17" s="9"/>
      <c r="H17" s="55"/>
      <c r="I17" s="9"/>
      <c r="J17" s="55"/>
      <c r="K17" s="55"/>
      <c r="L17" s="384"/>
      <c r="M17" s="55"/>
      <c r="N17" s="55"/>
      <c r="O17" s="55"/>
      <c r="P17" s="55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"/>
      <c r="B18" s="1"/>
      <c r="C18" s="1"/>
      <c r="D18" s="383"/>
      <c r="E18" s="9"/>
      <c r="F18" s="55"/>
      <c r="G18" s="9"/>
      <c r="H18" s="55"/>
      <c r="I18" s="9"/>
      <c r="J18" s="55"/>
      <c r="K18" s="55"/>
      <c r="L18" s="384"/>
      <c r="M18" s="55"/>
      <c r="N18" s="55"/>
      <c r="O18" s="55"/>
      <c r="P18" s="5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"/>
      <c r="B19" s="1"/>
      <c r="C19" s="1" t="s">
        <v>202</v>
      </c>
      <c r="D19" s="383"/>
      <c r="E19" s="9"/>
      <c r="F19" s="55"/>
      <c r="G19" s="9"/>
      <c r="H19" s="55"/>
      <c r="I19" s="9"/>
      <c r="J19" s="55"/>
      <c r="K19" s="55"/>
      <c r="L19" s="384"/>
      <c r="M19" s="55"/>
      <c r="N19" s="55"/>
      <c r="O19" s="55"/>
      <c r="P19" s="55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"/>
      <c r="B20" s="1"/>
      <c r="C20" s="1"/>
      <c r="D20" s="383"/>
      <c r="E20" s="9"/>
      <c r="F20" s="55"/>
      <c r="G20" s="9"/>
      <c r="H20" s="55"/>
      <c r="I20" s="9"/>
      <c r="J20" s="55"/>
      <c r="K20" s="55"/>
      <c r="L20" s="384"/>
      <c r="M20" s="55"/>
      <c r="N20" s="55"/>
      <c r="O20" s="55"/>
      <c r="P20" s="5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"/>
      <c r="B21" s="1"/>
      <c r="C21" s="1"/>
      <c r="D21" s="383"/>
      <c r="E21" s="9"/>
      <c r="F21" s="55"/>
      <c r="G21" s="9"/>
      <c r="H21" s="55"/>
      <c r="I21" s="9"/>
      <c r="J21" s="55"/>
      <c r="K21" s="55"/>
      <c r="L21" s="384"/>
      <c r="M21" s="55"/>
      <c r="N21" s="55"/>
      <c r="O21" s="55"/>
      <c r="P21" s="5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"/>
      <c r="B22" s="1"/>
      <c r="C22" s="1"/>
      <c r="D22" s="383"/>
      <c r="E22" s="9"/>
      <c r="F22" s="55"/>
      <c r="G22" s="9"/>
      <c r="H22" s="55"/>
      <c r="I22" s="9"/>
      <c r="J22" s="55"/>
      <c r="K22" s="55"/>
      <c r="L22" s="384"/>
      <c r="M22" s="55"/>
      <c r="N22" s="55"/>
      <c r="O22" s="55"/>
      <c r="P22" s="5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"/>
      <c r="B23" s="1"/>
      <c r="C23" s="1"/>
      <c r="D23" s="383"/>
      <c r="E23" s="9"/>
      <c r="F23" s="55"/>
      <c r="G23" s="9"/>
      <c r="H23" s="55"/>
      <c r="I23" s="9"/>
      <c r="J23" s="55"/>
      <c r="K23" s="55"/>
      <c r="L23" s="384"/>
      <c r="M23" s="55"/>
      <c r="N23" s="55"/>
      <c r="O23" s="55"/>
      <c r="P23" s="55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"/>
      <c r="B25" s="385" t="s">
        <v>413</v>
      </c>
      <c r="C25" s="151"/>
      <c r="D25" s="386"/>
      <c r="E25" s="387"/>
      <c r="F25" s="388"/>
      <c r="G25" s="387"/>
      <c r="H25" s="388"/>
      <c r="I25" s="387"/>
      <c r="J25" s="388"/>
      <c r="K25" s="388"/>
      <c r="L25" s="152"/>
      <c r="M25" s="388"/>
      <c r="N25" s="388"/>
      <c r="O25" s="388"/>
      <c r="P25" s="389"/>
      <c r="Q25" s="1"/>
      <c r="R25" s="1"/>
      <c r="S25" s="5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"/>
      <c r="B27" s="162"/>
      <c r="C27" s="163" t="str">
        <f>Ticker</f>
        <v>JAZZ</v>
      </c>
      <c r="D27" s="390"/>
      <c r="E27" s="391"/>
      <c r="F27" s="392"/>
      <c r="G27" s="392"/>
      <c r="H27" s="392"/>
      <c r="I27" s="392"/>
      <c r="J27" s="392"/>
      <c r="K27" s="393"/>
      <c r="L27" s="394"/>
      <c r="M27" s="394"/>
      <c r="N27" s="394"/>
      <c r="O27" s="394"/>
      <c r="P27" s="395"/>
      <c r="Q27" s="1"/>
      <c r="R27" s="1"/>
      <c r="S27" s="5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25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"/>
      <c r="B29" s="130" t="str">
        <f>TEXT(Company_Name,"")&amp; " - Levered Beta &amp; WACC Calculation:"</f>
        <v>Jazz Pharmaceuticals plc - Levered Beta &amp; WACC Calculation:</v>
      </c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396"/>
      <c r="N29" s="396"/>
      <c r="O29" s="396"/>
      <c r="P29" s="396"/>
      <c r="Q29" s="1"/>
      <c r="R29" s="1"/>
      <c r="S29" s="5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"/>
      <c r="B30" s="130"/>
      <c r="C30" s="130"/>
      <c r="D30" s="134" t="s">
        <v>401</v>
      </c>
      <c r="E30" s="134"/>
      <c r="F30" s="134"/>
      <c r="G30" s="134" t="s">
        <v>400</v>
      </c>
      <c r="H30" s="134"/>
      <c r="I30" s="134" t="s">
        <v>254</v>
      </c>
      <c r="J30" s="134"/>
      <c r="K30" s="134"/>
      <c r="L30" s="134" t="s">
        <v>399</v>
      </c>
      <c r="M30" s="397"/>
      <c r="N30" s="397"/>
      <c r="O30" s="397"/>
      <c r="P30" s="39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"/>
      <c r="B31" s="137"/>
      <c r="C31" s="137" t="s">
        <v>260</v>
      </c>
      <c r="D31" s="138" t="s">
        <v>405</v>
      </c>
      <c r="E31" s="138" t="s">
        <v>406</v>
      </c>
      <c r="F31" s="138" t="s">
        <v>407</v>
      </c>
      <c r="G31" s="138" t="s">
        <v>408</v>
      </c>
      <c r="H31" s="138" t="s">
        <v>409</v>
      </c>
      <c r="I31" s="138" t="s">
        <v>262</v>
      </c>
      <c r="J31" s="138" t="s">
        <v>410</v>
      </c>
      <c r="K31" s="138" t="s">
        <v>411</v>
      </c>
      <c r="L31" s="138" t="s">
        <v>405</v>
      </c>
      <c r="M31" s="397"/>
      <c r="N31" s="397"/>
      <c r="O31" s="397"/>
      <c r="P31" s="397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"/>
      <c r="B32" s="143" t="s">
        <v>414</v>
      </c>
      <c r="C32" s="398" t="str">
        <f>Ticker</f>
        <v>JAZZ</v>
      </c>
      <c r="D32" s="399"/>
      <c r="E32" s="145"/>
      <c r="F32" s="400"/>
      <c r="G32" s="145"/>
      <c r="H32" s="400"/>
      <c r="I32" s="145"/>
      <c r="J32" s="400"/>
      <c r="K32" s="401"/>
      <c r="L32" s="402"/>
      <c r="M32" s="141"/>
      <c r="N32" s="141"/>
      <c r="O32" s="141"/>
      <c r="P32" s="14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"/>
      <c r="B33" s="1" t="s">
        <v>415</v>
      </c>
      <c r="C33" s="403" t="str">
        <f>Ticker</f>
        <v>JAZZ</v>
      </c>
      <c r="D33" s="383"/>
      <c r="E33" s="9"/>
      <c r="F33" s="55"/>
      <c r="G33" s="9"/>
      <c r="H33" s="55"/>
      <c r="I33" s="9"/>
      <c r="J33" s="55"/>
      <c r="K33" s="250"/>
      <c r="L33" s="141"/>
      <c r="M33" s="141"/>
      <c r="N33" s="141"/>
      <c r="O33" s="141"/>
      <c r="P33" s="14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"/>
      <c r="B35" s="404" t="s">
        <v>416</v>
      </c>
      <c r="C35" s="405"/>
      <c r="D35" s="405"/>
      <c r="E35" s="405"/>
      <c r="F35" s="405"/>
      <c r="G35" s="405"/>
      <c r="H35" s="405"/>
      <c r="I35" s="405"/>
      <c r="J35" s="405"/>
      <c r="K35" s="405"/>
      <c r="L35" s="406"/>
      <c r="M35" s="407"/>
      <c r="N35" s="407"/>
      <c r="O35" s="407"/>
      <c r="P35" s="40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"/>
      <c r="B36" s="409" t="s">
        <v>417</v>
      </c>
      <c r="C36" s="410"/>
      <c r="D36" s="410"/>
      <c r="E36" s="410"/>
      <c r="F36" s="410"/>
      <c r="G36" s="410"/>
      <c r="H36" s="410"/>
      <c r="I36" s="410"/>
      <c r="J36" s="410"/>
      <c r="K36" s="410"/>
      <c r="L36" s="411"/>
      <c r="M36" s="407"/>
      <c r="N36" s="407"/>
      <c r="O36" s="407"/>
      <c r="P36" s="40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"/>
      <c r="B37" s="412" t="s">
        <v>418</v>
      </c>
      <c r="C37" s="413"/>
      <c r="D37" s="413"/>
      <c r="E37" s="413"/>
      <c r="F37" s="413"/>
      <c r="G37" s="413"/>
      <c r="H37" s="413"/>
      <c r="I37" s="413"/>
      <c r="J37" s="413"/>
      <c r="K37" s="413"/>
      <c r="L37" s="414"/>
      <c r="M37" s="407"/>
      <c r="N37" s="407"/>
      <c r="O37" s="407"/>
      <c r="P37" s="40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"/>
      <c r="B39" s="404" t="s">
        <v>419</v>
      </c>
      <c r="C39" s="405"/>
      <c r="D39" s="405"/>
      <c r="E39" s="405"/>
      <c r="F39" s="405"/>
      <c r="G39" s="405"/>
      <c r="H39" s="405"/>
      <c r="I39" s="405"/>
      <c r="J39" s="405"/>
      <c r="K39" s="405"/>
      <c r="L39" s="406"/>
      <c r="M39" s="407"/>
      <c r="N39" s="407"/>
      <c r="O39" s="407"/>
      <c r="P39" s="407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"/>
      <c r="B40" s="409" t="s">
        <v>420</v>
      </c>
      <c r="C40" s="410"/>
      <c r="D40" s="410"/>
      <c r="E40" s="410"/>
      <c r="F40" s="410"/>
      <c r="G40" s="410"/>
      <c r="H40" s="410"/>
      <c r="I40" s="410"/>
      <c r="J40" s="410"/>
      <c r="K40" s="410"/>
      <c r="L40" s="411"/>
      <c r="M40" s="407"/>
      <c r="N40" s="407"/>
      <c r="O40" s="407"/>
      <c r="P40" s="407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"/>
      <c r="B41" s="412" t="s">
        <v>421</v>
      </c>
      <c r="C41" s="413"/>
      <c r="D41" s="413"/>
      <c r="E41" s="413"/>
      <c r="F41" s="413"/>
      <c r="G41" s="413"/>
      <c r="H41" s="413"/>
      <c r="I41" s="413"/>
      <c r="J41" s="413"/>
      <c r="K41" s="413"/>
      <c r="L41" s="414"/>
      <c r="M41" s="407"/>
      <c r="N41" s="407"/>
      <c r="O41" s="407"/>
      <c r="P41" s="407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"/>
      <c r="B43" s="162" t="s">
        <v>422</v>
      </c>
      <c r="C43" s="176"/>
      <c r="D43" s="176"/>
      <c r="E43" s="176"/>
      <c r="F43" s="176"/>
      <c r="G43" s="176"/>
      <c r="H43" s="176"/>
      <c r="I43" s="176"/>
      <c r="J43" s="176"/>
      <c r="K43" s="176"/>
      <c r="L43" s="415"/>
      <c r="M43" s="407"/>
      <c r="N43" s="407"/>
      <c r="O43" s="407"/>
      <c r="P43" s="407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rintOptions/>
  <pageMargins bottom="0.75" footer="0.0" header="0.0" left="0.7" right="0.7" top="0.75"/>
  <pageSetup scale="44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2014-03-07T00:48:59Z</dcterms:created>
  <dc:creator>BIWS</dc:creator>
</cp:coreProperties>
</file>