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11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Esteves\OneDrive\Lyseis GRUPO\LYSEIS ENGENHARIA SOLAR\PLANILHAS\ORÇAMENTO 2022\MS\ANASTACIO + AQUIDAUNA\"/>
    </mc:Choice>
  </mc:AlternateContent>
  <xr:revisionPtr revIDLastSave="0" documentId="13_ncr:1_{C80EFAFC-F28A-4661-98EE-B7E256A45558}" xr6:coauthVersionLast="47" xr6:coauthVersionMax="47" xr10:uidLastSave="{00000000-0000-0000-0000-000000000000}"/>
  <bookViews>
    <workbookView xWindow="-108" yWindow="-108" windowWidth="23256" windowHeight="12576" tabRatio="563" firstSheet="8" activeTab="11" xr2:uid="{F576FC7E-C91F-440E-BAFE-D2300A051FD2}"/>
  </bookViews>
  <sheets>
    <sheet name="PLANINHA CENTRAL" sheetId="1" r:id="rId1"/>
    <sheet name="TABELAS" sheetId="14" r:id="rId2"/>
    <sheet name="EQUIPAMENTO AD" sheetId="9" r:id="rId3"/>
    <sheet name="ANALIZE DE DADOS " sheetId="12" r:id="rId4"/>
    <sheet name="P.D.E" sheetId="2" r:id="rId5"/>
    <sheet name="DIMENCINAMENTO DE PLACA" sheetId="4" r:id="rId6"/>
    <sheet name="GERAÇÃO DE ENERGIA" sheetId="3" r:id="rId7"/>
    <sheet name="RETORNO DE INVESTIMENTO " sheetId="5" r:id="rId8"/>
    <sheet name="CONTROLE DE ESTOQUE " sheetId="6" r:id="rId9"/>
    <sheet name="ESTRUTURA + ISUMOS" sheetId="11" r:id="rId10"/>
    <sheet name="MAO DE OBRA" sheetId="7" r:id="rId11"/>
    <sheet name="VALORES" sheetId="8" r:id="rId12"/>
    <sheet name="PROPOSTA" sheetId="13" r:id="rId13"/>
  </sheets>
  <definedNames>
    <definedName name="A">VALORES!$R$28:$Y$32</definedName>
    <definedName name="ARCD">#REF!</definedName>
    <definedName name="ARCOND">VALORES!$V$26</definedName>
    <definedName name="ARCONDI">VALORES!$R$28:$Y$32</definedName>
    <definedName name="_xlnm.Print_Area" localSheetId="12">PROPOSTA!$C$1:$C$138</definedName>
    <definedName name="ARMAÇAO">'ESTRUTURA + ISUMOS'!$AO$52:$AY$63</definedName>
    <definedName name="CENTRO...PLAN...1">'PLANINHA CENTRAL'!$A$2:$K$15</definedName>
    <definedName name="FEC">'ESTRUTURA + ISUMOS'!$A$38:$H$38</definedName>
    <definedName name="FERR_I">'CONTROLE DE ESTOQUE '!$O$5</definedName>
    <definedName name="FERR_II">'CONTROLE DE ESTOQUE '!$O$7</definedName>
    <definedName name="FERR_III">'CONTROLE DE ESTOQUE '!$O$9</definedName>
    <definedName name="FERR_IV">'CONTROLE DE ESTOQUE '!$O$11</definedName>
    <definedName name="FERR_V">'CONTROLE DE ESTOQUE '!$O$13</definedName>
    <definedName name="GAST_I">'MAO DE OBRA'!$F$4</definedName>
    <definedName name="GAST_II">'MAO DE OBRA'!$F$35</definedName>
    <definedName name="GAST_III">'MAO DE OBRA'!$F$64</definedName>
    <definedName name="GAST_IV">'MAO DE OBRA'!$F$92</definedName>
    <definedName name="GAST_V">'MAO DE OBRA'!$F$121</definedName>
    <definedName name="GERAÇO1">'GERAÇÃO DE ENERGIA'!$C$1:$K$19</definedName>
    <definedName name="INST...AR">'ESTRUTURA + ISUMOS'!$A$33:$H$37</definedName>
    <definedName name="INSUMO_I">'ESTRUTURA + ISUMOS'!$J$13</definedName>
    <definedName name="INSUMO_II">'ESTRUTURA + ISUMOS'!$J$47</definedName>
    <definedName name="INSUMO_III">'ESTRUTURA + ISUMOS'!$J$69</definedName>
    <definedName name="INSUMO_IV">'ESTRUTURA + ISUMOS'!$J$91</definedName>
    <definedName name="INSUMO_V">'ESTRUTURA + ISUMOS'!$J$113</definedName>
    <definedName name="INVER_I">'PLANINHA CENTRAL'!$K$13</definedName>
    <definedName name="INVER_II">'PLANINHA CENTRAL'!$K$27</definedName>
    <definedName name="INVER_III">'PLANINHA CENTRAL'!$K$41</definedName>
    <definedName name="INVER_IV">'PLANINHA CENTRAL'!$K$55</definedName>
    <definedName name="INVER_V">'PLANINHA CENTRAL'!$K$69</definedName>
    <definedName name="MENU">'PLANINHA CENTRAL'!$P$1:$U$15</definedName>
    <definedName name="PERDA0001">'P.D.E'!$G$3</definedName>
    <definedName name="PERDA0002">'P.D.E'!$G$12</definedName>
    <definedName name="PERDA0003">'P.D.E'!$G$21</definedName>
    <definedName name="PERDA0004">'P.D.E'!$G$30</definedName>
    <definedName name="PERDA0005">'P.D.E'!$G$39</definedName>
    <definedName name="PERDAS">'P.D.E'!$A$1:$F$8</definedName>
    <definedName name="PERDAS_I">'P.D.E'!$A$1:$F$8</definedName>
    <definedName name="PERDAS_II">'P.D.E'!$A$10:$F$17</definedName>
    <definedName name="PERDASI">'P.D.E'!$A$1:$F$8</definedName>
    <definedName name="PLACA_I">'DIMENCINAMENTO DE PLACA'!$B$10:$I$16</definedName>
    <definedName name="PLACA_II">'DIMENCINAMENTO DE PLACA'!$B$27:$I$33</definedName>
    <definedName name="PLACA_III">'DIMENCINAMENTO DE PLACA'!$B$44:$I$50</definedName>
    <definedName name="PLACA_IIII">'DIMENCINAMENTO DE PLACA'!$B$61:$I$67</definedName>
    <definedName name="PLACA_SOMATORIA">'DIMENCINAMENTO DE PLACA'!$B$78:$I$84</definedName>
    <definedName name="RET.INVEST1">'RETORNO DE INVESTIMENTO '!$B$1:$H$28</definedName>
    <definedName name="SUB...TRANSF">'ESTRUTURA + ISUMOS'!$A$39:$H$45</definedName>
    <definedName name="TABELA1">TABELAS!$G$3:$AS$70</definedName>
    <definedName name="TOTALDEPLACA_I">'PLANINHA CENTRAL'!$J$4</definedName>
    <definedName name="VALOR_I">VALORES!$K$2:$K$3</definedName>
    <definedName name="VALOR_II">VALORES!$A$5:$L$7</definedName>
    <definedName name="VALOR_III">VALORES!$A$9:$L$11</definedName>
    <definedName name="VALOR_IV">VALORES!$A$13:$L$16</definedName>
    <definedName name="VALOR_V">VALORES!$A$18:$L$20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06" i="13" l="1"/>
  <c r="K304" i="13"/>
  <c r="K302" i="13"/>
  <c r="K301" i="13"/>
  <c r="K299" i="13"/>
  <c r="J248" i="13"/>
  <c r="H248" i="13"/>
  <c r="H247" i="13"/>
  <c r="J243" i="13"/>
  <c r="H243" i="13"/>
  <c r="I238" i="13"/>
  <c r="I237" i="13"/>
  <c r="I236" i="13"/>
  <c r="I235" i="13"/>
  <c r="H33" i="11"/>
  <c r="H34" i="11"/>
  <c r="H35" i="11"/>
  <c r="H36" i="11"/>
  <c r="H37" i="11"/>
  <c r="J8" i="1"/>
  <c r="AI52" i="13"/>
  <c r="AG52" i="13"/>
  <c r="H6" i="3" l="1"/>
  <c r="I226" i="13" s="1"/>
  <c r="AS63" i="11" l="1"/>
  <c r="AW63" i="11" s="1"/>
  <c r="AY63" i="11" s="1"/>
  <c r="AS57" i="11"/>
  <c r="AW61" i="11"/>
  <c r="AY61" i="11" s="1"/>
  <c r="AW55" i="11"/>
  <c r="AY55" i="11" s="1"/>
  <c r="AV59" i="11"/>
  <c r="AW57" i="11"/>
  <c r="AY57" i="11" s="1"/>
  <c r="AV53" i="11"/>
  <c r="AX53" i="11" s="1"/>
  <c r="F84" i="4"/>
  <c r="F83" i="4"/>
  <c r="F82" i="4"/>
  <c r="F81" i="4"/>
  <c r="F80" i="4"/>
  <c r="F79" i="4"/>
  <c r="F67" i="4"/>
  <c r="F66" i="4"/>
  <c r="F65" i="4"/>
  <c r="F64" i="4"/>
  <c r="F63" i="4"/>
  <c r="F62" i="4"/>
  <c r="F50" i="4"/>
  <c r="F49" i="4"/>
  <c r="F48" i="4"/>
  <c r="F47" i="4"/>
  <c r="F46" i="4"/>
  <c r="F45" i="4"/>
  <c r="F33" i="4"/>
  <c r="F32" i="4"/>
  <c r="F31" i="4"/>
  <c r="F30" i="4"/>
  <c r="F29" i="4"/>
  <c r="F28" i="4"/>
  <c r="F11" i="4"/>
  <c r="F5" i="1"/>
  <c r="H39" i="11"/>
  <c r="H40" i="11"/>
  <c r="H41" i="11"/>
  <c r="H42" i="11"/>
  <c r="H43" i="11"/>
  <c r="H44" i="11"/>
  <c r="AX59" i="11" l="1"/>
  <c r="G38" i="11" s="1"/>
  <c r="H38" i="11" s="1"/>
  <c r="AG47" i="13" l="1"/>
  <c r="F5" i="12" l="1"/>
  <c r="F6" i="12"/>
  <c r="F7" i="12"/>
  <c r="F8" i="12"/>
  <c r="F9" i="12"/>
  <c r="F10" i="12"/>
  <c r="F11" i="12"/>
  <c r="F12" i="12"/>
  <c r="F13" i="12"/>
  <c r="F14" i="12"/>
  <c r="F15" i="12"/>
  <c r="F4" i="12"/>
  <c r="F3" i="12"/>
  <c r="F17" i="12" l="1"/>
  <c r="H8" i="1" s="1"/>
  <c r="B4" i="1" l="1"/>
  <c r="B5" i="1"/>
  <c r="B6" i="1"/>
  <c r="B7" i="1"/>
  <c r="B8" i="1"/>
  <c r="B9" i="1"/>
  <c r="B10" i="1"/>
  <c r="B11" i="1"/>
  <c r="B12" i="1"/>
  <c r="B13" i="1"/>
  <c r="B14" i="1"/>
  <c r="B15" i="1"/>
  <c r="F21" i="7" l="1"/>
  <c r="M20" i="8"/>
  <c r="M16" i="8"/>
  <c r="M11" i="8"/>
  <c r="M7" i="8"/>
  <c r="N3" i="8"/>
  <c r="H45" i="11"/>
  <c r="Q2" i="6"/>
  <c r="G16" i="8"/>
  <c r="G20" i="8" s="1"/>
  <c r="U2" i="6"/>
  <c r="N13" i="6" s="1"/>
  <c r="T2" i="6"/>
  <c r="S2" i="6"/>
  <c r="R2" i="6"/>
  <c r="P9" i="6"/>
  <c r="P11" i="6" s="1"/>
  <c r="P13" i="6" s="1"/>
  <c r="P7" i="6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F118" i="11"/>
  <c r="H118" i="11" s="1"/>
  <c r="H117" i="11"/>
  <c r="F116" i="11"/>
  <c r="H116" i="11" s="1"/>
  <c r="H115" i="11"/>
  <c r="H114" i="11"/>
  <c r="H113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F96" i="11"/>
  <c r="H96" i="11" s="1"/>
  <c r="H95" i="11"/>
  <c r="F94" i="11"/>
  <c r="H94" i="11" s="1"/>
  <c r="H93" i="11"/>
  <c r="H92" i="11"/>
  <c r="H91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F74" i="11"/>
  <c r="H74" i="11" s="1"/>
  <c r="H73" i="11"/>
  <c r="F72" i="11"/>
  <c r="H72" i="11" s="1"/>
  <c r="H71" i="11"/>
  <c r="H70" i="11"/>
  <c r="H69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F52" i="11"/>
  <c r="H52" i="11" s="1"/>
  <c r="H51" i="11"/>
  <c r="F50" i="11"/>
  <c r="H50" i="11" s="1"/>
  <c r="H49" i="11"/>
  <c r="H48" i="11"/>
  <c r="H47" i="11"/>
  <c r="C132" i="7"/>
  <c r="E132" i="7" s="1"/>
  <c r="F41" i="7"/>
  <c r="E41" i="7" s="1"/>
  <c r="F42" i="7"/>
  <c r="E42" i="7" s="1"/>
  <c r="F70" i="7"/>
  <c r="E70" i="7" s="1"/>
  <c r="F71" i="7"/>
  <c r="E71" i="7" s="1"/>
  <c r="N5" i="6" l="1"/>
  <c r="N7" i="6"/>
  <c r="I91" i="11"/>
  <c r="J91" i="11" s="1"/>
  <c r="E16" i="8" s="1"/>
  <c r="I47" i="11"/>
  <c r="J47" i="11" s="1"/>
  <c r="E7" i="8" s="1"/>
  <c r="I69" i="11"/>
  <c r="J69" i="11" s="1"/>
  <c r="E11" i="8" s="1"/>
  <c r="I113" i="11"/>
  <c r="J113" i="11" s="1"/>
  <c r="E20" i="8" s="1"/>
  <c r="F129" i="7"/>
  <c r="E129" i="7" s="1"/>
  <c r="F128" i="7"/>
  <c r="E128" i="7" s="1"/>
  <c r="F127" i="7"/>
  <c r="E127" i="7" s="1"/>
  <c r="F100" i="7"/>
  <c r="E100" i="7" s="1"/>
  <c r="F99" i="7"/>
  <c r="E99" i="7" s="1"/>
  <c r="F98" i="7"/>
  <c r="E98" i="7" s="1"/>
  <c r="T5" i="7"/>
  <c r="T6" i="7"/>
  <c r="T7" i="7"/>
  <c r="T8" i="7"/>
  <c r="T9" i="7"/>
  <c r="T10" i="7"/>
  <c r="T11" i="7"/>
  <c r="T12" i="7"/>
  <c r="T13" i="7"/>
  <c r="T14" i="7"/>
  <c r="T15" i="7"/>
  <c r="T16" i="7"/>
  <c r="T4" i="7"/>
  <c r="B4" i="12"/>
  <c r="B5" i="12"/>
  <c r="B6" i="12"/>
  <c r="B7" i="12"/>
  <c r="B8" i="12"/>
  <c r="B9" i="12"/>
  <c r="B10" i="12"/>
  <c r="B11" i="12"/>
  <c r="B12" i="12"/>
  <c r="B13" i="12"/>
  <c r="B14" i="12"/>
  <c r="H22" i="1"/>
  <c r="H36" i="1" s="1"/>
  <c r="H50" i="1" s="1"/>
  <c r="H64" i="1" s="1"/>
  <c r="F18" i="1"/>
  <c r="F32" i="1" s="1"/>
  <c r="F46" i="1" s="1"/>
  <c r="F60" i="1" s="1"/>
  <c r="F13" i="4"/>
  <c r="F14" i="4"/>
  <c r="F12" i="4"/>
  <c r="F15" i="4"/>
  <c r="F16" i="4"/>
  <c r="H31" i="11"/>
  <c r="H32" i="11"/>
  <c r="H29" i="11"/>
  <c r="H30" i="11"/>
  <c r="H23" i="11"/>
  <c r="H24" i="11"/>
  <c r="H25" i="11"/>
  <c r="H26" i="11"/>
  <c r="H27" i="11"/>
  <c r="H28" i="11"/>
  <c r="F18" i="11"/>
  <c r="H18" i="11" s="1"/>
  <c r="F16" i="11"/>
  <c r="H16" i="11" s="1"/>
  <c r="H14" i="11"/>
  <c r="H15" i="11"/>
  <c r="H17" i="11"/>
  <c r="H19" i="11"/>
  <c r="H20" i="11"/>
  <c r="H21" i="11"/>
  <c r="H22" i="11"/>
  <c r="H13" i="11"/>
  <c r="C10" i="9"/>
  <c r="C11" i="9"/>
  <c r="C12" i="9"/>
  <c r="C13" i="9"/>
  <c r="C14" i="9"/>
  <c r="C15" i="9"/>
  <c r="C16" i="9"/>
  <c r="C17" i="9"/>
  <c r="C18" i="9"/>
  <c r="C19" i="9"/>
  <c r="C20" i="9"/>
  <c r="F3" i="9"/>
  <c r="F4" i="9"/>
  <c r="F5" i="9"/>
  <c r="F6" i="9"/>
  <c r="F7" i="9"/>
  <c r="F2" i="9"/>
  <c r="D10" i="12"/>
  <c r="I13" i="11" l="1"/>
  <c r="J13" i="11" s="1"/>
  <c r="E3" i="8" s="1"/>
  <c r="N11" i="6"/>
  <c r="N9" i="6"/>
  <c r="C74" i="7"/>
  <c r="E74" i="7" s="1"/>
  <c r="C14" i="7"/>
  <c r="E14" i="7" s="1"/>
  <c r="C103" i="7"/>
  <c r="E103" i="7" s="1"/>
  <c r="C45" i="7"/>
  <c r="E45" i="7" s="1"/>
  <c r="G2" i="9"/>
  <c r="D10" i="9" l="1"/>
  <c r="D14" i="9"/>
  <c r="D18" i="9"/>
  <c r="D19" i="9"/>
  <c r="D20" i="9"/>
  <c r="D11" i="9"/>
  <c r="D15" i="9"/>
  <c r="D12" i="9"/>
  <c r="D16" i="9"/>
  <c r="D13" i="9"/>
  <c r="D17" i="9"/>
  <c r="D24" i="7"/>
  <c r="E13" i="6"/>
  <c r="E12" i="6"/>
  <c r="E14" i="6"/>
  <c r="J22" i="3"/>
  <c r="J42" i="3" s="1"/>
  <c r="J62" i="3" s="1"/>
  <c r="J82" i="3" s="1"/>
  <c r="F119" i="5"/>
  <c r="C1" i="3"/>
  <c r="D27" i="3"/>
  <c r="D28" i="3"/>
  <c r="D29" i="3"/>
  <c r="D30" i="3"/>
  <c r="D31" i="3"/>
  <c r="D32" i="3"/>
  <c r="D33" i="3"/>
  <c r="D34" i="3"/>
  <c r="D35" i="3"/>
  <c r="D36" i="3"/>
  <c r="D37" i="3"/>
  <c r="D26" i="3"/>
  <c r="D7" i="3"/>
  <c r="D8" i="3"/>
  <c r="D9" i="3"/>
  <c r="D10" i="3"/>
  <c r="D11" i="3"/>
  <c r="D12" i="3"/>
  <c r="D13" i="3"/>
  <c r="D14" i="3"/>
  <c r="D15" i="3"/>
  <c r="D16" i="3"/>
  <c r="D17" i="3"/>
  <c r="D145" i="7"/>
  <c r="D144" i="7"/>
  <c r="D143" i="7"/>
  <c r="D142" i="7"/>
  <c r="D141" i="7"/>
  <c r="D140" i="7"/>
  <c r="D139" i="7"/>
  <c r="D138" i="7"/>
  <c r="D137" i="7"/>
  <c r="D116" i="7"/>
  <c r="D115" i="7"/>
  <c r="D114" i="7"/>
  <c r="D113" i="7"/>
  <c r="D112" i="7"/>
  <c r="D111" i="7"/>
  <c r="D110" i="7"/>
  <c r="D109" i="7"/>
  <c r="D108" i="7"/>
  <c r="D87" i="7"/>
  <c r="D86" i="7"/>
  <c r="D85" i="7"/>
  <c r="D84" i="7"/>
  <c r="D83" i="7"/>
  <c r="D82" i="7"/>
  <c r="D81" i="7"/>
  <c r="D80" i="7"/>
  <c r="D79" i="7"/>
  <c r="G34" i="7"/>
  <c r="G63" i="7" s="1"/>
  <c r="G91" i="7" s="1"/>
  <c r="G120" i="7" s="1"/>
  <c r="D59" i="7"/>
  <c r="D58" i="7"/>
  <c r="D57" i="7"/>
  <c r="D56" i="7"/>
  <c r="D55" i="7"/>
  <c r="D54" i="7"/>
  <c r="D53" i="7"/>
  <c r="D52" i="7"/>
  <c r="D51" i="7"/>
  <c r="D121" i="5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E120" i="5"/>
  <c r="G119" i="5"/>
  <c r="D92" i="5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G90" i="5"/>
  <c r="D63" i="5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G61" i="5"/>
  <c r="D34" i="5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G32" i="5"/>
  <c r="D67" i="3"/>
  <c r="D68" i="3"/>
  <c r="D69" i="3"/>
  <c r="D70" i="3"/>
  <c r="D71" i="3"/>
  <c r="D72" i="3"/>
  <c r="D73" i="3"/>
  <c r="D74" i="3"/>
  <c r="D75" i="3"/>
  <c r="D76" i="3"/>
  <c r="D77" i="3"/>
  <c r="D66" i="3"/>
  <c r="D29" i="7"/>
  <c r="D22" i="7"/>
  <c r="D23" i="7"/>
  <c r="D25" i="7"/>
  <c r="D26" i="7"/>
  <c r="D27" i="7"/>
  <c r="D28" i="7"/>
  <c r="D30" i="7"/>
  <c r="D21" i="7"/>
  <c r="C67" i="3"/>
  <c r="C68" i="3"/>
  <c r="C69" i="3"/>
  <c r="C70" i="3"/>
  <c r="C71" i="3"/>
  <c r="C72" i="3"/>
  <c r="C73" i="3"/>
  <c r="C74" i="3"/>
  <c r="C75" i="3"/>
  <c r="C76" i="3"/>
  <c r="C77" i="3"/>
  <c r="C66" i="3"/>
  <c r="C47" i="3"/>
  <c r="C48" i="3"/>
  <c r="C49" i="3"/>
  <c r="C50" i="3"/>
  <c r="C51" i="3"/>
  <c r="C52" i="3"/>
  <c r="C53" i="3"/>
  <c r="C54" i="3"/>
  <c r="C55" i="3"/>
  <c r="C56" i="3"/>
  <c r="C57" i="3"/>
  <c r="C46" i="3"/>
  <c r="D51" i="3"/>
  <c r="D47" i="3"/>
  <c r="D48" i="3"/>
  <c r="D49" i="3"/>
  <c r="D50" i="3"/>
  <c r="D52" i="3"/>
  <c r="D53" i="3"/>
  <c r="D54" i="3"/>
  <c r="D55" i="3"/>
  <c r="D56" i="3"/>
  <c r="D57" i="3"/>
  <c r="D46" i="3"/>
  <c r="C27" i="3"/>
  <c r="C28" i="3"/>
  <c r="C29" i="3"/>
  <c r="C30" i="3"/>
  <c r="C31" i="3"/>
  <c r="C32" i="3"/>
  <c r="C33" i="3"/>
  <c r="C34" i="3"/>
  <c r="C35" i="3"/>
  <c r="C36" i="3"/>
  <c r="C37" i="3"/>
  <c r="C26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E86" i="3"/>
  <c r="D86" i="3"/>
  <c r="C86" i="3"/>
  <c r="A84" i="3"/>
  <c r="A64" i="3"/>
  <c r="A44" i="3"/>
  <c r="A24" i="3"/>
  <c r="C7" i="3"/>
  <c r="C8" i="3"/>
  <c r="C9" i="3"/>
  <c r="C10" i="3"/>
  <c r="C11" i="3"/>
  <c r="C12" i="3"/>
  <c r="C13" i="3"/>
  <c r="C14" i="3"/>
  <c r="C15" i="3"/>
  <c r="C16" i="3"/>
  <c r="C17" i="3"/>
  <c r="C6" i="3"/>
  <c r="A4" i="3"/>
  <c r="F11" i="7"/>
  <c r="E11" i="7" s="1"/>
  <c r="E18" i="1"/>
  <c r="G18" i="1" s="1"/>
  <c r="F10" i="7"/>
  <c r="E10" i="7" s="1"/>
  <c r="L86" i="6"/>
  <c r="K86" i="6"/>
  <c r="E86" i="6"/>
  <c r="L85" i="6"/>
  <c r="K85" i="6"/>
  <c r="E85" i="6"/>
  <c r="L84" i="6"/>
  <c r="K84" i="6"/>
  <c r="E84" i="6"/>
  <c r="L83" i="6"/>
  <c r="K83" i="6"/>
  <c r="E83" i="6"/>
  <c r="L82" i="6"/>
  <c r="K82" i="6"/>
  <c r="E82" i="6"/>
  <c r="L81" i="6"/>
  <c r="K81" i="6"/>
  <c r="E81" i="6"/>
  <c r="L80" i="6"/>
  <c r="K80" i="6"/>
  <c r="E80" i="6"/>
  <c r="L79" i="6"/>
  <c r="K79" i="6"/>
  <c r="E79" i="6"/>
  <c r="L78" i="6"/>
  <c r="K78" i="6"/>
  <c r="E78" i="6"/>
  <c r="L77" i="6"/>
  <c r="K77" i="6"/>
  <c r="E77" i="6"/>
  <c r="L76" i="6"/>
  <c r="K76" i="6"/>
  <c r="E76" i="6"/>
  <c r="L75" i="6"/>
  <c r="K75" i="6"/>
  <c r="E75" i="6"/>
  <c r="L74" i="6"/>
  <c r="K74" i="6"/>
  <c r="E74" i="6"/>
  <c r="L73" i="6"/>
  <c r="K73" i="6"/>
  <c r="E73" i="6"/>
  <c r="L72" i="6"/>
  <c r="K72" i="6"/>
  <c r="E72" i="6"/>
  <c r="L71" i="6"/>
  <c r="K71" i="6"/>
  <c r="E71" i="6"/>
  <c r="L70" i="6"/>
  <c r="K70" i="6"/>
  <c r="E70" i="6"/>
  <c r="L69" i="6"/>
  <c r="K69" i="6"/>
  <c r="E69" i="6"/>
  <c r="L68" i="6"/>
  <c r="K68" i="6"/>
  <c r="E68" i="6"/>
  <c r="L67" i="6"/>
  <c r="K67" i="6"/>
  <c r="E67" i="6"/>
  <c r="L66" i="6"/>
  <c r="K66" i="6"/>
  <c r="E66" i="6"/>
  <c r="L65" i="6"/>
  <c r="K65" i="6"/>
  <c r="E65" i="6"/>
  <c r="L64" i="6"/>
  <c r="K64" i="6"/>
  <c r="E64" i="6"/>
  <c r="L63" i="6"/>
  <c r="K63" i="6"/>
  <c r="E63" i="6"/>
  <c r="L62" i="6"/>
  <c r="K62" i="6"/>
  <c r="E62" i="6"/>
  <c r="L61" i="6"/>
  <c r="K61" i="6"/>
  <c r="E61" i="6"/>
  <c r="L60" i="6"/>
  <c r="K60" i="6"/>
  <c r="E60" i="6"/>
  <c r="L59" i="6"/>
  <c r="K59" i="6"/>
  <c r="E59" i="6"/>
  <c r="L58" i="6"/>
  <c r="K58" i="6"/>
  <c r="E58" i="6"/>
  <c r="L57" i="6"/>
  <c r="K57" i="6"/>
  <c r="E57" i="6"/>
  <c r="L56" i="6"/>
  <c r="K56" i="6"/>
  <c r="E56" i="6"/>
  <c r="L55" i="6"/>
  <c r="K55" i="6"/>
  <c r="E55" i="6"/>
  <c r="L54" i="6"/>
  <c r="K54" i="6"/>
  <c r="E54" i="6"/>
  <c r="L53" i="6"/>
  <c r="K53" i="6"/>
  <c r="E53" i="6"/>
  <c r="L52" i="6"/>
  <c r="K52" i="6"/>
  <c r="E52" i="6"/>
  <c r="L51" i="6"/>
  <c r="K51" i="6"/>
  <c r="E51" i="6"/>
  <c r="L50" i="6"/>
  <c r="K50" i="6"/>
  <c r="E50" i="6"/>
  <c r="L49" i="6"/>
  <c r="K49" i="6"/>
  <c r="E49" i="6"/>
  <c r="L48" i="6"/>
  <c r="K48" i="6"/>
  <c r="E48" i="6"/>
  <c r="L47" i="6"/>
  <c r="K47" i="6"/>
  <c r="E47" i="6"/>
  <c r="L46" i="6"/>
  <c r="K46" i="6"/>
  <c r="E46" i="6"/>
  <c r="L45" i="6"/>
  <c r="K45" i="6"/>
  <c r="E45" i="6"/>
  <c r="L44" i="6"/>
  <c r="K44" i="6"/>
  <c r="E44" i="6"/>
  <c r="L43" i="6"/>
  <c r="K43" i="6"/>
  <c r="E43" i="6"/>
  <c r="L42" i="6"/>
  <c r="K42" i="6"/>
  <c r="E42" i="6"/>
  <c r="L41" i="6"/>
  <c r="K41" i="6"/>
  <c r="E41" i="6"/>
  <c r="L40" i="6"/>
  <c r="K40" i="6"/>
  <c r="E40" i="6"/>
  <c r="L39" i="6"/>
  <c r="K39" i="6"/>
  <c r="E39" i="6"/>
  <c r="L38" i="6"/>
  <c r="K38" i="6"/>
  <c r="E38" i="6"/>
  <c r="L37" i="6"/>
  <c r="K37" i="6"/>
  <c r="E37" i="6"/>
  <c r="L36" i="6"/>
  <c r="K36" i="6"/>
  <c r="E36" i="6"/>
  <c r="L35" i="6"/>
  <c r="K35" i="6"/>
  <c r="E35" i="6"/>
  <c r="L34" i="6"/>
  <c r="K34" i="6"/>
  <c r="E34" i="6"/>
  <c r="L33" i="6"/>
  <c r="K33" i="6"/>
  <c r="E33" i="6"/>
  <c r="L32" i="6"/>
  <c r="K32" i="6"/>
  <c r="E32" i="6"/>
  <c r="L31" i="6"/>
  <c r="K31" i="6"/>
  <c r="L30" i="6"/>
  <c r="K30" i="6"/>
  <c r="E30" i="6"/>
  <c r="L29" i="6"/>
  <c r="K29" i="6"/>
  <c r="E29" i="6"/>
  <c r="L28" i="6"/>
  <c r="K28" i="6"/>
  <c r="E28" i="6"/>
  <c r="L27" i="6"/>
  <c r="K27" i="6"/>
  <c r="E27" i="6"/>
  <c r="L26" i="6"/>
  <c r="K26" i="6"/>
  <c r="E26" i="6"/>
  <c r="L25" i="6"/>
  <c r="K25" i="6"/>
  <c r="E25" i="6"/>
  <c r="L24" i="6"/>
  <c r="K24" i="6"/>
  <c r="E24" i="6"/>
  <c r="L23" i="6"/>
  <c r="K23" i="6"/>
  <c r="E23" i="6"/>
  <c r="L22" i="6"/>
  <c r="K22" i="6"/>
  <c r="E22" i="6"/>
  <c r="L21" i="6"/>
  <c r="K21" i="6"/>
  <c r="E21" i="6"/>
  <c r="L20" i="6"/>
  <c r="K20" i="6"/>
  <c r="E20" i="6"/>
  <c r="L19" i="6"/>
  <c r="K19" i="6"/>
  <c r="E19" i="6"/>
  <c r="L18" i="6"/>
  <c r="K18" i="6"/>
  <c r="E18" i="6"/>
  <c r="L17" i="6"/>
  <c r="K17" i="6"/>
  <c r="E17" i="6"/>
  <c r="L16" i="6"/>
  <c r="K16" i="6"/>
  <c r="E16" i="6"/>
  <c r="L15" i="6"/>
  <c r="K15" i="6"/>
  <c r="E15" i="6"/>
  <c r="L14" i="6"/>
  <c r="K14" i="6"/>
  <c r="L13" i="6"/>
  <c r="K13" i="6"/>
  <c r="L12" i="6"/>
  <c r="K12" i="6"/>
  <c r="L11" i="6"/>
  <c r="K11" i="6"/>
  <c r="E11" i="6"/>
  <c r="L10" i="6"/>
  <c r="K10" i="6"/>
  <c r="E10" i="6"/>
  <c r="L9" i="6"/>
  <c r="K9" i="6"/>
  <c r="M5" i="6" s="1"/>
  <c r="E9" i="6"/>
  <c r="L8" i="6"/>
  <c r="K8" i="6"/>
  <c r="E8" i="6"/>
  <c r="L7" i="6"/>
  <c r="K7" i="6"/>
  <c r="E7" i="6"/>
  <c r="L6" i="6"/>
  <c r="K6" i="6"/>
  <c r="E6" i="6"/>
  <c r="D5" i="5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E44" i="2"/>
  <c r="E43" i="2"/>
  <c r="E42" i="2"/>
  <c r="E41" i="2"/>
  <c r="E40" i="2"/>
  <c r="E39" i="2"/>
  <c r="E35" i="2"/>
  <c r="E34" i="2"/>
  <c r="E33" i="2"/>
  <c r="E32" i="2"/>
  <c r="E31" i="2"/>
  <c r="E30" i="2"/>
  <c r="G30" i="2" s="1"/>
  <c r="H69" i="1" s="1"/>
  <c r="E32" i="1"/>
  <c r="G32" i="1" s="1"/>
  <c r="E21" i="2"/>
  <c r="E12" i="2"/>
  <c r="O13" i="6" l="1"/>
  <c r="O5" i="6"/>
  <c r="O7" i="6"/>
  <c r="F11" i="8" s="1"/>
  <c r="O9" i="6"/>
  <c r="F16" i="8" s="1"/>
  <c r="O11" i="6"/>
  <c r="F20" i="8" s="1"/>
  <c r="G39" i="2"/>
  <c r="H13" i="1" s="1"/>
  <c r="E21" i="7"/>
  <c r="F120" i="5"/>
  <c r="E108" i="7"/>
  <c r="E51" i="7"/>
  <c r="E137" i="7"/>
  <c r="E79" i="7"/>
  <c r="A85" i="3"/>
  <c r="A65" i="3"/>
  <c r="A45" i="3"/>
  <c r="A25" i="3"/>
  <c r="H87" i="3"/>
  <c r="H88" i="3"/>
  <c r="H89" i="3"/>
  <c r="H90" i="3"/>
  <c r="H91" i="3"/>
  <c r="H92" i="3"/>
  <c r="H93" i="3"/>
  <c r="H94" i="3"/>
  <c r="H95" i="3"/>
  <c r="H96" i="3"/>
  <c r="H97" i="3"/>
  <c r="H77" i="3"/>
  <c r="H76" i="3"/>
  <c r="H74" i="3"/>
  <c r="H73" i="3"/>
  <c r="H67" i="3"/>
  <c r="E46" i="1"/>
  <c r="G46" i="1" s="1"/>
  <c r="G53" i="1" s="1"/>
  <c r="E66" i="3" s="1"/>
  <c r="H120" i="5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G120" i="5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H119" i="5"/>
  <c r="H91" i="5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G91" i="5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H90" i="5"/>
  <c r="H62" i="5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G62" i="5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H61" i="5"/>
  <c r="H33" i="5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G33" i="5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H32" i="5"/>
  <c r="D98" i="3"/>
  <c r="H86" i="3"/>
  <c r="E87" i="3"/>
  <c r="F86" i="3"/>
  <c r="D78" i="3"/>
  <c r="H66" i="3"/>
  <c r="D58" i="3"/>
  <c r="H46" i="3"/>
  <c r="D38" i="3"/>
  <c r="H26" i="3"/>
  <c r="G39" i="1"/>
  <c r="E46" i="3" s="1"/>
  <c r="L32" i="1"/>
  <c r="G25" i="1"/>
  <c r="E26" i="3" s="1"/>
  <c r="L18" i="1"/>
  <c r="F19" i="1"/>
  <c r="F33" i="1" s="1"/>
  <c r="F47" i="1" s="1"/>
  <c r="L70" i="1"/>
  <c r="J6" i="6"/>
  <c r="G6" i="6"/>
  <c r="F6" i="6"/>
  <c r="J7" i="6"/>
  <c r="G7" i="6"/>
  <c r="F7" i="6"/>
  <c r="J8" i="6"/>
  <c r="G8" i="6"/>
  <c r="F8" i="6"/>
  <c r="J9" i="6"/>
  <c r="G9" i="6"/>
  <c r="F9" i="6"/>
  <c r="J10" i="6"/>
  <c r="G10" i="6"/>
  <c r="F10" i="6"/>
  <c r="J11" i="6"/>
  <c r="G11" i="6"/>
  <c r="F11" i="6"/>
  <c r="J12" i="6"/>
  <c r="G12" i="6"/>
  <c r="F12" i="6"/>
  <c r="J13" i="6"/>
  <c r="G13" i="6"/>
  <c r="F13" i="6"/>
  <c r="J14" i="6"/>
  <c r="G14" i="6"/>
  <c r="F14" i="6"/>
  <c r="J15" i="6"/>
  <c r="G15" i="6"/>
  <c r="F15" i="6"/>
  <c r="J16" i="6"/>
  <c r="G16" i="6"/>
  <c r="F16" i="6"/>
  <c r="J17" i="6"/>
  <c r="G17" i="6"/>
  <c r="F17" i="6"/>
  <c r="J18" i="6"/>
  <c r="G18" i="6"/>
  <c r="F18" i="6"/>
  <c r="J19" i="6"/>
  <c r="G19" i="6"/>
  <c r="F19" i="6"/>
  <c r="J20" i="6"/>
  <c r="G20" i="6"/>
  <c r="F20" i="6"/>
  <c r="J21" i="6"/>
  <c r="G21" i="6"/>
  <c r="F21" i="6"/>
  <c r="J22" i="6"/>
  <c r="G22" i="6"/>
  <c r="F22" i="6"/>
  <c r="J23" i="6"/>
  <c r="G23" i="6"/>
  <c r="F23" i="6"/>
  <c r="J24" i="6"/>
  <c r="G24" i="6"/>
  <c r="F24" i="6"/>
  <c r="J25" i="6"/>
  <c r="G25" i="6"/>
  <c r="F25" i="6"/>
  <c r="J26" i="6"/>
  <c r="G26" i="6"/>
  <c r="F26" i="6"/>
  <c r="J27" i="6"/>
  <c r="G27" i="6"/>
  <c r="F27" i="6"/>
  <c r="J28" i="6"/>
  <c r="G28" i="6"/>
  <c r="F28" i="6"/>
  <c r="J29" i="6"/>
  <c r="G29" i="6"/>
  <c r="F29" i="6"/>
  <c r="J30" i="6"/>
  <c r="G30" i="6"/>
  <c r="F30" i="6"/>
  <c r="J31" i="6"/>
  <c r="G31" i="6"/>
  <c r="F31" i="6"/>
  <c r="J32" i="6"/>
  <c r="G32" i="6"/>
  <c r="F32" i="6"/>
  <c r="J33" i="6"/>
  <c r="G33" i="6"/>
  <c r="F33" i="6"/>
  <c r="J34" i="6"/>
  <c r="G34" i="6"/>
  <c r="F34" i="6"/>
  <c r="J35" i="6"/>
  <c r="G35" i="6"/>
  <c r="F35" i="6"/>
  <c r="J36" i="6"/>
  <c r="G36" i="6"/>
  <c r="F36" i="6"/>
  <c r="J37" i="6"/>
  <c r="G37" i="6"/>
  <c r="F37" i="6"/>
  <c r="J38" i="6"/>
  <c r="G38" i="6"/>
  <c r="F38" i="6"/>
  <c r="J39" i="6"/>
  <c r="G39" i="6"/>
  <c r="F39" i="6"/>
  <c r="J40" i="6"/>
  <c r="G40" i="6"/>
  <c r="F40" i="6"/>
  <c r="J41" i="6"/>
  <c r="G41" i="6"/>
  <c r="F41" i="6"/>
  <c r="J42" i="6"/>
  <c r="G42" i="6"/>
  <c r="F42" i="6"/>
  <c r="J43" i="6"/>
  <c r="G43" i="6"/>
  <c r="F43" i="6"/>
  <c r="J44" i="6"/>
  <c r="G44" i="6"/>
  <c r="F44" i="6"/>
  <c r="J45" i="6"/>
  <c r="G45" i="6"/>
  <c r="F45" i="6"/>
  <c r="J46" i="6"/>
  <c r="G46" i="6"/>
  <c r="F46" i="6"/>
  <c r="J47" i="6"/>
  <c r="G47" i="6"/>
  <c r="F47" i="6"/>
  <c r="J48" i="6"/>
  <c r="G48" i="6"/>
  <c r="F48" i="6"/>
  <c r="J49" i="6"/>
  <c r="G49" i="6"/>
  <c r="F49" i="6"/>
  <c r="J50" i="6"/>
  <c r="G50" i="6"/>
  <c r="F50" i="6"/>
  <c r="J51" i="6"/>
  <c r="G51" i="6"/>
  <c r="F51" i="6"/>
  <c r="J52" i="6"/>
  <c r="G52" i="6"/>
  <c r="F52" i="6"/>
  <c r="J53" i="6"/>
  <c r="G53" i="6"/>
  <c r="F53" i="6"/>
  <c r="J54" i="6"/>
  <c r="G54" i="6"/>
  <c r="F54" i="6"/>
  <c r="J55" i="6"/>
  <c r="G55" i="6"/>
  <c r="F55" i="6"/>
  <c r="J56" i="6"/>
  <c r="G56" i="6"/>
  <c r="F56" i="6"/>
  <c r="J57" i="6"/>
  <c r="G57" i="6"/>
  <c r="F57" i="6"/>
  <c r="J58" i="6"/>
  <c r="G58" i="6"/>
  <c r="F58" i="6"/>
  <c r="J59" i="6"/>
  <c r="G59" i="6"/>
  <c r="F59" i="6"/>
  <c r="J60" i="6"/>
  <c r="G60" i="6"/>
  <c r="F60" i="6"/>
  <c r="J61" i="6"/>
  <c r="G61" i="6"/>
  <c r="F61" i="6"/>
  <c r="J62" i="6"/>
  <c r="G62" i="6"/>
  <c r="F62" i="6"/>
  <c r="J63" i="6"/>
  <c r="G63" i="6"/>
  <c r="F63" i="6"/>
  <c r="J64" i="6"/>
  <c r="G64" i="6"/>
  <c r="F64" i="6"/>
  <c r="J65" i="6"/>
  <c r="G65" i="6"/>
  <c r="F65" i="6"/>
  <c r="J66" i="6"/>
  <c r="G66" i="6"/>
  <c r="F66" i="6"/>
  <c r="J67" i="6"/>
  <c r="G67" i="6"/>
  <c r="F67" i="6"/>
  <c r="J68" i="6"/>
  <c r="G68" i="6"/>
  <c r="F68" i="6"/>
  <c r="J69" i="6"/>
  <c r="G69" i="6"/>
  <c r="F69" i="6"/>
  <c r="J70" i="6"/>
  <c r="G70" i="6"/>
  <c r="F70" i="6"/>
  <c r="J71" i="6"/>
  <c r="G71" i="6"/>
  <c r="F71" i="6"/>
  <c r="J72" i="6"/>
  <c r="G72" i="6"/>
  <c r="F72" i="6"/>
  <c r="J73" i="6"/>
  <c r="G73" i="6"/>
  <c r="F73" i="6"/>
  <c r="J74" i="6"/>
  <c r="G74" i="6"/>
  <c r="F74" i="6"/>
  <c r="J75" i="6"/>
  <c r="G75" i="6"/>
  <c r="F75" i="6"/>
  <c r="J76" i="6"/>
  <c r="G76" i="6"/>
  <c r="F76" i="6"/>
  <c r="J77" i="6"/>
  <c r="G77" i="6"/>
  <c r="F77" i="6"/>
  <c r="J78" i="6"/>
  <c r="G78" i="6"/>
  <c r="F78" i="6"/>
  <c r="J79" i="6"/>
  <c r="G79" i="6"/>
  <c r="F79" i="6"/>
  <c r="J80" i="6"/>
  <c r="G80" i="6"/>
  <c r="F80" i="6"/>
  <c r="J81" i="6"/>
  <c r="G81" i="6"/>
  <c r="F81" i="6"/>
  <c r="J82" i="6"/>
  <c r="G82" i="6"/>
  <c r="F82" i="6"/>
  <c r="J83" i="6"/>
  <c r="G83" i="6"/>
  <c r="F83" i="6"/>
  <c r="J84" i="6"/>
  <c r="G84" i="6"/>
  <c r="F84" i="6"/>
  <c r="J85" i="6"/>
  <c r="G85" i="6"/>
  <c r="F85" i="6"/>
  <c r="J86" i="6"/>
  <c r="G86" i="6"/>
  <c r="F86" i="6"/>
  <c r="D86" i="1" a="1"/>
  <c r="D86" i="1" s="1"/>
  <c r="D85" i="1" a="1"/>
  <c r="D85" i="1" s="1"/>
  <c r="D84" i="1" a="1"/>
  <c r="D84" i="1" s="1"/>
  <c r="D83" i="1" a="1"/>
  <c r="D83" i="1" s="1"/>
  <c r="D82" i="1" a="1"/>
  <c r="D82" i="1" s="1"/>
  <c r="D81" i="1" a="1"/>
  <c r="D81" i="1" s="1"/>
  <c r="D80" i="1" a="1"/>
  <c r="D80" i="1" s="1"/>
  <c r="D79" i="1" a="1"/>
  <c r="D79" i="1" s="1"/>
  <c r="D78" i="1" a="1"/>
  <c r="D78" i="1" s="1"/>
  <c r="D77" i="1" a="1"/>
  <c r="D77" i="1" s="1"/>
  <c r="E3" i="2"/>
  <c r="E4" i="2"/>
  <c r="E5" i="2"/>
  <c r="E6" i="2"/>
  <c r="E7" i="2"/>
  <c r="E8" i="2"/>
  <c r="E22" i="2"/>
  <c r="G21" i="2" s="1"/>
  <c r="H55" i="1" s="1"/>
  <c r="E23" i="2"/>
  <c r="E24" i="2"/>
  <c r="E25" i="2"/>
  <c r="E26" i="2"/>
  <c r="E17" i="2"/>
  <c r="E16" i="2"/>
  <c r="E15" i="2"/>
  <c r="E14" i="2"/>
  <c r="E13" i="2"/>
  <c r="G12" i="2" s="1"/>
  <c r="H41" i="1" s="1"/>
  <c r="G3" i="2" l="1"/>
  <c r="H27" i="1" s="1"/>
  <c r="F3" i="8"/>
  <c r="F7" i="8"/>
  <c r="F27" i="1"/>
  <c r="F36" i="1"/>
  <c r="H98" i="3"/>
  <c r="I66" i="3"/>
  <c r="I27" i="3"/>
  <c r="I28" i="3"/>
  <c r="I29" i="3"/>
  <c r="I30" i="3"/>
  <c r="I31" i="3"/>
  <c r="I32" i="3"/>
  <c r="I33" i="3"/>
  <c r="I34" i="3"/>
  <c r="I35" i="3"/>
  <c r="I36" i="3"/>
  <c r="I37" i="3"/>
  <c r="I26" i="3"/>
  <c r="I97" i="3"/>
  <c r="I96" i="3"/>
  <c r="I95" i="3"/>
  <c r="I94" i="3"/>
  <c r="I93" i="3"/>
  <c r="I92" i="3"/>
  <c r="I91" i="3"/>
  <c r="I90" i="3"/>
  <c r="I89" i="3"/>
  <c r="I88" i="3"/>
  <c r="I87" i="3"/>
  <c r="I77" i="3"/>
  <c r="I76" i="3"/>
  <c r="I75" i="3"/>
  <c r="H75" i="3"/>
  <c r="I74" i="3"/>
  <c r="I73" i="3"/>
  <c r="H72" i="3"/>
  <c r="I71" i="3"/>
  <c r="H71" i="3"/>
  <c r="I70" i="3"/>
  <c r="H70" i="3"/>
  <c r="I69" i="3"/>
  <c r="H69" i="3"/>
  <c r="I68" i="3"/>
  <c r="H68" i="3"/>
  <c r="I67" i="3"/>
  <c r="H57" i="3"/>
  <c r="H56" i="3"/>
  <c r="H55" i="3"/>
  <c r="H54" i="3"/>
  <c r="H53" i="3"/>
  <c r="H52" i="3"/>
  <c r="H51" i="3"/>
  <c r="H50" i="3"/>
  <c r="H49" i="3"/>
  <c r="H48" i="3"/>
  <c r="H47" i="3"/>
  <c r="H37" i="3"/>
  <c r="H36" i="3"/>
  <c r="H35" i="3"/>
  <c r="H34" i="3"/>
  <c r="H33" i="3"/>
  <c r="H32" i="3"/>
  <c r="H31" i="3"/>
  <c r="H30" i="3"/>
  <c r="H29" i="3"/>
  <c r="H28" i="3"/>
  <c r="H27" i="3"/>
  <c r="I46" i="3"/>
  <c r="I47" i="3"/>
  <c r="I48" i="3"/>
  <c r="I49" i="3"/>
  <c r="I50" i="3"/>
  <c r="I51" i="3"/>
  <c r="I52" i="3"/>
  <c r="I53" i="3"/>
  <c r="I54" i="3"/>
  <c r="I55" i="3"/>
  <c r="I56" i="3"/>
  <c r="I57" i="3"/>
  <c r="F66" i="3"/>
  <c r="G66" i="3" s="1"/>
  <c r="E67" i="3"/>
  <c r="F67" i="3" s="1"/>
  <c r="F55" i="1"/>
  <c r="E27" i="3"/>
  <c r="F27" i="3" s="1"/>
  <c r="F26" i="3"/>
  <c r="G26" i="3" s="1"/>
  <c r="E47" i="3"/>
  <c r="E48" i="3" s="1"/>
  <c r="F46" i="3"/>
  <c r="G46" i="3" s="1"/>
  <c r="I86" i="3"/>
  <c r="G86" i="3"/>
  <c r="E88" i="3"/>
  <c r="F87" i="3"/>
  <c r="F61" i="1"/>
  <c r="F50" i="1"/>
  <c r="L46" i="1"/>
  <c r="H32" i="1"/>
  <c r="F41" i="1"/>
  <c r="F22" i="1"/>
  <c r="D11" i="12" l="1"/>
  <c r="I98" i="3"/>
  <c r="J86" i="3" s="1"/>
  <c r="F47" i="3"/>
  <c r="G47" i="3" s="1"/>
  <c r="H58" i="3"/>
  <c r="E62" i="5" s="1"/>
  <c r="I32" i="1"/>
  <c r="A38" i="4" s="1"/>
  <c r="I38" i="3"/>
  <c r="H38" i="3"/>
  <c r="E33" i="5" s="1"/>
  <c r="E28" i="3"/>
  <c r="F28" i="3" s="1"/>
  <c r="H78" i="3"/>
  <c r="E91" i="5" s="1"/>
  <c r="G67" i="3"/>
  <c r="E68" i="3"/>
  <c r="F68" i="3" s="1"/>
  <c r="G27" i="3"/>
  <c r="G87" i="3"/>
  <c r="E89" i="3"/>
  <c r="F88" i="3"/>
  <c r="E49" i="3"/>
  <c r="F48" i="3"/>
  <c r="H46" i="1"/>
  <c r="I46" i="1" s="1"/>
  <c r="A55" i="4" s="1"/>
  <c r="H18" i="1"/>
  <c r="K32" i="1" l="1"/>
  <c r="K41" i="1"/>
  <c r="C11" i="8" s="1"/>
  <c r="K37" i="1"/>
  <c r="J26" i="3"/>
  <c r="I18" i="1"/>
  <c r="K23" i="1" s="1"/>
  <c r="G28" i="3"/>
  <c r="E29" i="3"/>
  <c r="F29" i="3" s="1"/>
  <c r="E69" i="3"/>
  <c r="F69" i="3" s="1"/>
  <c r="G68" i="3"/>
  <c r="G48" i="3"/>
  <c r="G88" i="3"/>
  <c r="E90" i="3"/>
  <c r="F89" i="3"/>
  <c r="E50" i="3"/>
  <c r="F49" i="3"/>
  <c r="K55" i="1"/>
  <c r="C16" i="8" s="1"/>
  <c r="K51" i="1"/>
  <c r="K46" i="1"/>
  <c r="K27" i="1" l="1"/>
  <c r="C7" i="8" s="1"/>
  <c r="E30" i="3"/>
  <c r="F30" i="3" s="1"/>
  <c r="G29" i="3"/>
  <c r="K18" i="1"/>
  <c r="A21" i="4"/>
  <c r="E70" i="3"/>
  <c r="F70" i="3" s="1"/>
  <c r="G69" i="3"/>
  <c r="G49" i="3"/>
  <c r="E91" i="3"/>
  <c r="F90" i="3"/>
  <c r="G89" i="3"/>
  <c r="E51" i="3"/>
  <c r="F50" i="3"/>
  <c r="G30" i="3" l="1"/>
  <c r="E71" i="3"/>
  <c r="F71" i="3" s="1"/>
  <c r="E31" i="3"/>
  <c r="F31" i="3" s="1"/>
  <c r="G90" i="3"/>
  <c r="G70" i="3"/>
  <c r="G50" i="3"/>
  <c r="E92" i="3"/>
  <c r="F91" i="3"/>
  <c r="E52" i="3"/>
  <c r="F51" i="3"/>
  <c r="G31" i="3" l="1"/>
  <c r="E32" i="3"/>
  <c r="F32" i="3" s="1"/>
  <c r="G71" i="3"/>
  <c r="E72" i="3"/>
  <c r="F72" i="3" s="1"/>
  <c r="G51" i="3"/>
  <c r="G91" i="3"/>
  <c r="E93" i="3"/>
  <c r="F92" i="3"/>
  <c r="E53" i="3"/>
  <c r="F52" i="3"/>
  <c r="G32" i="3" l="1"/>
  <c r="E33" i="3"/>
  <c r="F33" i="3" s="1"/>
  <c r="G72" i="3"/>
  <c r="I72" i="3" s="1"/>
  <c r="I78" i="3" s="1"/>
  <c r="J66" i="3" s="1"/>
  <c r="E73" i="3"/>
  <c r="F73" i="3" s="1"/>
  <c r="G52" i="3"/>
  <c r="E94" i="3"/>
  <c r="F93" i="3"/>
  <c r="G92" i="3"/>
  <c r="E54" i="3"/>
  <c r="F53" i="3"/>
  <c r="G33" i="3" l="1"/>
  <c r="E34" i="3"/>
  <c r="F34" i="3" s="1"/>
  <c r="E74" i="3"/>
  <c r="F74" i="3" s="1"/>
  <c r="G73" i="3"/>
  <c r="G93" i="3"/>
  <c r="G53" i="3"/>
  <c r="E95" i="3"/>
  <c r="F94" i="3"/>
  <c r="E55" i="3"/>
  <c r="F54" i="3"/>
  <c r="G34" i="3" l="1"/>
  <c r="E35" i="3"/>
  <c r="F35" i="3" s="1"/>
  <c r="G74" i="3"/>
  <c r="E75" i="3"/>
  <c r="F75" i="3" s="1"/>
  <c r="G54" i="3"/>
  <c r="G94" i="3"/>
  <c r="E96" i="3"/>
  <c r="F95" i="3"/>
  <c r="E56" i="3"/>
  <c r="F55" i="3"/>
  <c r="G75" i="3" l="1"/>
  <c r="E76" i="3"/>
  <c r="F76" i="3" s="1"/>
  <c r="G35" i="3"/>
  <c r="E36" i="3"/>
  <c r="F36" i="3" s="1"/>
  <c r="I58" i="3"/>
  <c r="J46" i="3" s="1"/>
  <c r="G55" i="3"/>
  <c r="E97" i="3"/>
  <c r="F96" i="3"/>
  <c r="G95" i="3"/>
  <c r="E57" i="3"/>
  <c r="F56" i="3"/>
  <c r="E77" i="3" l="1"/>
  <c r="F77" i="3" s="1"/>
  <c r="G76" i="3"/>
  <c r="E37" i="3"/>
  <c r="F37" i="3" s="1"/>
  <c r="G36" i="3"/>
  <c r="G96" i="3"/>
  <c r="G56" i="3"/>
  <c r="F97" i="3"/>
  <c r="E98" i="3"/>
  <c r="F57" i="3"/>
  <c r="E58" i="3"/>
  <c r="E78" i="3" l="1"/>
  <c r="G77" i="3"/>
  <c r="G78" i="3" s="1"/>
  <c r="E38" i="3"/>
  <c r="G37" i="3"/>
  <c r="G38" i="3" s="1"/>
  <c r="G57" i="3"/>
  <c r="G58" i="3" s="1"/>
  <c r="F58" i="3"/>
  <c r="F38" i="3"/>
  <c r="G97" i="3"/>
  <c r="G98" i="3" s="1"/>
  <c r="F98" i="3"/>
  <c r="F78" i="3"/>
  <c r="D88" i="1" l="1" a="1"/>
  <c r="D88" i="1" s="1"/>
  <c r="D76" i="1" a="1"/>
  <c r="D76" i="1" s="1"/>
  <c r="D87" i="1" a="1"/>
  <c r="D87" i="1" s="1"/>
  <c r="C9" i="9"/>
  <c r="D9" i="9" s="1"/>
  <c r="E9" i="9" s="1"/>
  <c r="E60" i="1"/>
  <c r="B3" i="12" l="1"/>
  <c r="D6" i="3"/>
  <c r="E4" i="1"/>
  <c r="G4" i="1" s="1"/>
  <c r="G3" i="8" s="1"/>
  <c r="H3" i="8" s="1"/>
  <c r="G60" i="1"/>
  <c r="F64" i="1"/>
  <c r="F8" i="1" l="1"/>
  <c r="L4" i="1"/>
  <c r="D18" i="3"/>
  <c r="H7" i="3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F69" i="1"/>
  <c r="L60" i="1"/>
  <c r="G67" i="1"/>
  <c r="H60" i="1" s="1"/>
  <c r="I60" i="1" s="1"/>
  <c r="G11" i="1" l="1"/>
  <c r="I225" i="13" s="1"/>
  <c r="F13" i="1"/>
  <c r="H18" i="3"/>
  <c r="K69" i="1"/>
  <c r="C20" i="8" s="1"/>
  <c r="K65" i="1"/>
  <c r="A72" i="4"/>
  <c r="K60" i="1"/>
  <c r="H4" i="1" l="1"/>
  <c r="I4" i="1" s="1"/>
  <c r="E6" i="3"/>
  <c r="D7" i="12" l="1"/>
  <c r="E7" i="3"/>
  <c r="G7" i="3" s="1"/>
  <c r="AL63" i="13"/>
  <c r="G6" i="3"/>
  <c r="I227" i="13" s="1"/>
  <c r="F6" i="3"/>
  <c r="K9" i="1"/>
  <c r="D3" i="12"/>
  <c r="K13" i="1"/>
  <c r="C3" i="8" s="1"/>
  <c r="K4" i="1"/>
  <c r="AI47" i="13" s="1"/>
  <c r="A4" i="4"/>
  <c r="G11" i="4" l="1"/>
  <c r="E4" i="4" s="1"/>
  <c r="G84" i="4"/>
  <c r="G64" i="4"/>
  <c r="G81" i="4"/>
  <c r="G79" i="4"/>
  <c r="G65" i="4"/>
  <c r="G49" i="4"/>
  <c r="G47" i="4"/>
  <c r="G45" i="4"/>
  <c r="G32" i="4"/>
  <c r="G30" i="4"/>
  <c r="G28" i="4"/>
  <c r="G66" i="4"/>
  <c r="G62" i="4"/>
  <c r="G82" i="4"/>
  <c r="G80" i="4"/>
  <c r="G67" i="4"/>
  <c r="G63" i="4"/>
  <c r="G50" i="4"/>
  <c r="G48" i="4"/>
  <c r="G46" i="4"/>
  <c r="G33" i="4"/>
  <c r="G31" i="4"/>
  <c r="G29" i="4"/>
  <c r="G83" i="4"/>
  <c r="I11" i="4"/>
  <c r="E8" i="3"/>
  <c r="G8" i="3" s="1"/>
  <c r="F7" i="3"/>
  <c r="I6" i="3"/>
  <c r="G15" i="12"/>
  <c r="I15" i="12" s="1"/>
  <c r="J15" i="12" s="1"/>
  <c r="G6" i="12"/>
  <c r="I6" i="12" s="1"/>
  <c r="J6" i="12" s="1"/>
  <c r="G5" i="12"/>
  <c r="I5" i="12" s="1"/>
  <c r="J5" i="12" s="1"/>
  <c r="G8" i="12"/>
  <c r="I8" i="12" s="1"/>
  <c r="J8" i="12" s="1"/>
  <c r="G7" i="12"/>
  <c r="I7" i="12" s="1"/>
  <c r="J7" i="12" s="1"/>
  <c r="G11" i="12"/>
  <c r="I11" i="12" s="1"/>
  <c r="J11" i="12" s="1"/>
  <c r="G4" i="12"/>
  <c r="I4" i="12" s="1"/>
  <c r="J4" i="12" s="1"/>
  <c r="G14" i="12"/>
  <c r="I14" i="12" s="1"/>
  <c r="J14" i="12" s="1"/>
  <c r="G13" i="12"/>
  <c r="I13" i="12" s="1"/>
  <c r="J13" i="12" s="1"/>
  <c r="G12" i="12"/>
  <c r="I12" i="12" s="1"/>
  <c r="J12" i="12" s="1"/>
  <c r="G10" i="12"/>
  <c r="I10" i="12" s="1"/>
  <c r="J10" i="12" s="1"/>
  <c r="G9" i="12"/>
  <c r="I9" i="12" s="1"/>
  <c r="J9" i="12" s="1"/>
  <c r="G12" i="4"/>
  <c r="E5" i="4" s="1"/>
  <c r="G13" i="4"/>
  <c r="E6" i="4" s="1"/>
  <c r="G14" i="4"/>
  <c r="G15" i="4"/>
  <c r="E8" i="4" s="1"/>
  <c r="G16" i="4"/>
  <c r="E9" i="4" s="1"/>
  <c r="E7" i="4" l="1"/>
  <c r="AG51" i="13"/>
  <c r="F8" i="3"/>
  <c r="I29" i="4"/>
  <c r="E22" i="4"/>
  <c r="F22" i="4" s="1"/>
  <c r="H29" i="4"/>
  <c r="I48" i="4"/>
  <c r="H48" i="4"/>
  <c r="E41" i="4"/>
  <c r="F41" i="4" s="1"/>
  <c r="I80" i="4"/>
  <c r="E73" i="4"/>
  <c r="F73" i="4" s="1"/>
  <c r="H80" i="4"/>
  <c r="I28" i="4"/>
  <c r="E21" i="4"/>
  <c r="F21" i="4" s="1"/>
  <c r="H28" i="4"/>
  <c r="I47" i="4"/>
  <c r="E40" i="4"/>
  <c r="F40" i="4" s="1"/>
  <c r="H47" i="4"/>
  <c r="I81" i="4"/>
  <c r="E74" i="4"/>
  <c r="F74" i="4" s="1"/>
  <c r="H81" i="4"/>
  <c r="H11" i="4"/>
  <c r="I31" i="4"/>
  <c r="H31" i="4"/>
  <c r="E24" i="4"/>
  <c r="F24" i="4" s="1"/>
  <c r="I50" i="4"/>
  <c r="H50" i="4"/>
  <c r="E43" i="4"/>
  <c r="F43" i="4" s="1"/>
  <c r="I82" i="4"/>
  <c r="A20" i="8" s="1"/>
  <c r="E75" i="4"/>
  <c r="F75" i="4" s="1"/>
  <c r="B20" i="8" s="1"/>
  <c r="H82" i="4"/>
  <c r="J64" i="1" s="1"/>
  <c r="I30" i="4"/>
  <c r="A7" i="8" s="1"/>
  <c r="E23" i="4"/>
  <c r="F23" i="4" s="1"/>
  <c r="B7" i="8" s="1"/>
  <c r="H30" i="4"/>
  <c r="J22" i="1" s="1"/>
  <c r="I49" i="4"/>
  <c r="E42" i="4"/>
  <c r="F42" i="4" s="1"/>
  <c r="H49" i="4"/>
  <c r="H64" i="4"/>
  <c r="J50" i="1" s="1"/>
  <c r="E57" i="4"/>
  <c r="F57" i="4" s="1"/>
  <c r="B16" i="8" s="1"/>
  <c r="I64" i="4"/>
  <c r="A16" i="8" s="1"/>
  <c r="I33" i="4"/>
  <c r="E26" i="4"/>
  <c r="F26" i="4" s="1"/>
  <c r="H33" i="4"/>
  <c r="H63" i="4"/>
  <c r="I63" i="4"/>
  <c r="E56" i="4"/>
  <c r="F56" i="4" s="1"/>
  <c r="H62" i="4"/>
  <c r="I62" i="4"/>
  <c r="E55" i="4"/>
  <c r="F55" i="4" s="1"/>
  <c r="I32" i="4"/>
  <c r="E25" i="4"/>
  <c r="F25" i="4" s="1"/>
  <c r="H32" i="4"/>
  <c r="H65" i="4"/>
  <c r="I65" i="4"/>
  <c r="E58" i="4"/>
  <c r="F58" i="4" s="1"/>
  <c r="I84" i="4"/>
  <c r="E77" i="4"/>
  <c r="F77" i="4" s="1"/>
  <c r="H84" i="4"/>
  <c r="I83" i="4"/>
  <c r="E76" i="4"/>
  <c r="F76" i="4" s="1"/>
  <c r="H83" i="4"/>
  <c r="I46" i="4"/>
  <c r="E39" i="4"/>
  <c r="F39" i="4" s="1"/>
  <c r="H46" i="4"/>
  <c r="H67" i="4"/>
  <c r="I67" i="4"/>
  <c r="E60" i="4"/>
  <c r="F60" i="4" s="1"/>
  <c r="H66" i="4"/>
  <c r="E59" i="4"/>
  <c r="F59" i="4" s="1"/>
  <c r="I66" i="4"/>
  <c r="I45" i="4"/>
  <c r="A11" i="8" s="1"/>
  <c r="E38" i="4"/>
  <c r="F38" i="4" s="1"/>
  <c r="B11" i="8" s="1"/>
  <c r="H45" i="4"/>
  <c r="J36" i="1" s="1"/>
  <c r="I79" i="4"/>
  <c r="E72" i="4"/>
  <c r="F72" i="4" s="1"/>
  <c r="H79" i="4"/>
  <c r="E9" i="3"/>
  <c r="G9" i="3" s="1"/>
  <c r="J9" i="1"/>
  <c r="F6" i="4"/>
  <c r="H14" i="4"/>
  <c r="F4" i="4"/>
  <c r="H12" i="4"/>
  <c r="F8" i="4"/>
  <c r="H16" i="4"/>
  <c r="F5" i="4"/>
  <c r="H13" i="4"/>
  <c r="F9" i="4"/>
  <c r="AL66" i="13"/>
  <c r="I7" i="3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F7" i="4"/>
  <c r="H15" i="4"/>
  <c r="C96" i="7"/>
  <c r="C125" i="7"/>
  <c r="C68" i="7"/>
  <c r="C39" i="7"/>
  <c r="I16" i="4"/>
  <c r="I13" i="4"/>
  <c r="C8" i="7"/>
  <c r="I15" i="4"/>
  <c r="I14" i="4"/>
  <c r="I12" i="4"/>
  <c r="K3" i="12"/>
  <c r="E10" i="3" l="1"/>
  <c r="G10" i="3" s="1"/>
  <c r="F9" i="3"/>
  <c r="J11" i="1"/>
  <c r="D125" i="7"/>
  <c r="D130" i="7" s="1"/>
  <c r="F130" i="7" s="1"/>
  <c r="E130" i="7" s="1"/>
  <c r="F125" i="7"/>
  <c r="E125" i="7" s="1"/>
  <c r="D39" i="7"/>
  <c r="D35" i="7" s="1"/>
  <c r="F39" i="7"/>
  <c r="E39" i="7" s="1"/>
  <c r="H11" i="8"/>
  <c r="H7" i="8"/>
  <c r="D96" i="7"/>
  <c r="D101" i="7" s="1"/>
  <c r="F101" i="7" s="1"/>
  <c r="E101" i="7" s="1"/>
  <c r="F96" i="7"/>
  <c r="E96" i="7" s="1"/>
  <c r="F68" i="7"/>
  <c r="E68" i="7" s="1"/>
  <c r="D68" i="7"/>
  <c r="H20" i="8"/>
  <c r="H16" i="8"/>
  <c r="A3" i="8"/>
  <c r="B3" i="8"/>
  <c r="D8" i="7"/>
  <c r="F8" i="7"/>
  <c r="E8" i="7" s="1"/>
  <c r="E11" i="3" l="1"/>
  <c r="G11" i="3" s="1"/>
  <c r="F10" i="3"/>
  <c r="I3" i="8"/>
  <c r="D36" i="7"/>
  <c r="E35" i="7"/>
  <c r="D64" i="7"/>
  <c r="D72" i="7"/>
  <c r="F72" i="7" s="1"/>
  <c r="E72" i="7" s="1"/>
  <c r="D4" i="7"/>
  <c r="E4" i="7" s="1"/>
  <c r="D122" i="7"/>
  <c r="E122" i="7" s="1"/>
  <c r="D12" i="7"/>
  <c r="F12" i="7" s="1"/>
  <c r="E12" i="7" s="1"/>
  <c r="D5" i="7"/>
  <c r="E5" i="7" s="1"/>
  <c r="D93" i="7"/>
  <c r="E93" i="7" s="1"/>
  <c r="D6" i="7"/>
  <c r="E6" i="7" s="1"/>
  <c r="D92" i="7"/>
  <c r="E92" i="7" s="1"/>
  <c r="D121" i="7"/>
  <c r="E121" i="7" s="1"/>
  <c r="D94" i="7"/>
  <c r="E94" i="7" s="1"/>
  <c r="D123" i="7"/>
  <c r="E123" i="7" s="1"/>
  <c r="F11" i="3"/>
  <c r="E12" i="3"/>
  <c r="G12" i="3" s="1"/>
  <c r="D37" i="7" l="1"/>
  <c r="E36" i="7"/>
  <c r="D65" i="7"/>
  <c r="E64" i="7"/>
  <c r="F121" i="7"/>
  <c r="D20" i="8" s="1"/>
  <c r="F92" i="7"/>
  <c r="D16" i="8" s="1"/>
  <c r="F12" i="3"/>
  <c r="E13" i="3"/>
  <c r="G13" i="3" s="1"/>
  <c r="F4" i="7"/>
  <c r="D3" i="8" s="1"/>
  <c r="J3" i="8" s="1"/>
  <c r="K3" i="8" l="1"/>
  <c r="J20" i="8"/>
  <c r="K20" i="8" s="1"/>
  <c r="L20" i="8" s="1"/>
  <c r="I20" i="8"/>
  <c r="M60" i="1" s="1"/>
  <c r="D66" i="7"/>
  <c r="E66" i="7" s="1"/>
  <c r="E65" i="7"/>
  <c r="J16" i="8"/>
  <c r="K16" i="8" s="1"/>
  <c r="L16" i="8" s="1"/>
  <c r="I16" i="8"/>
  <c r="M46" i="1" s="1"/>
  <c r="D43" i="7"/>
  <c r="F43" i="7" s="1"/>
  <c r="E43" i="7" s="1"/>
  <c r="E37" i="7"/>
  <c r="F13" i="3"/>
  <c r="E14" i="3"/>
  <c r="G14" i="3" s="1"/>
  <c r="M3" i="8" l="1"/>
  <c r="L3" i="8"/>
  <c r="F3" i="5"/>
  <c r="B3" i="5" s="1"/>
  <c r="AN70" i="13"/>
  <c r="F90" i="5"/>
  <c r="F91" i="5" s="1"/>
  <c r="F64" i="7"/>
  <c r="D11" i="8" s="1"/>
  <c r="F35" i="7"/>
  <c r="D7" i="8" s="1"/>
  <c r="M4" i="1"/>
  <c r="G3" i="5"/>
  <c r="F14" i="3"/>
  <c r="E15" i="3"/>
  <c r="G15" i="3" s="1"/>
  <c r="J11" i="8" l="1"/>
  <c r="K11" i="8" s="1"/>
  <c r="L11" i="8" s="1"/>
  <c r="I11" i="8"/>
  <c r="J7" i="8"/>
  <c r="I7" i="8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3" i="5"/>
  <c r="F15" i="3"/>
  <c r="E16" i="3"/>
  <c r="G16" i="3" s="1"/>
  <c r="F32" i="5" l="1"/>
  <c r="F33" i="5" s="1"/>
  <c r="K7" i="8"/>
  <c r="L7" i="8" s="1"/>
  <c r="M18" i="1"/>
  <c r="F61" i="5"/>
  <c r="F62" i="5" s="1"/>
  <c r="M32" i="1"/>
  <c r="E17" i="3"/>
  <c r="G17" i="3" s="1"/>
  <c r="G18" i="3" s="1"/>
  <c r="F16" i="3"/>
  <c r="J6" i="3" l="1"/>
  <c r="I228" i="13" s="1"/>
  <c r="F17" i="3"/>
  <c r="F18" i="3" s="1"/>
  <c r="E18" i="3"/>
  <c r="AL65" i="13" s="1"/>
  <c r="E4" i="5" l="1"/>
  <c r="E121" i="5" s="1"/>
  <c r="F121" i="5" s="1"/>
  <c r="AL68" i="13"/>
  <c r="E5" i="5" l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92" i="5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34" i="5"/>
  <c r="F34" i="5" s="1"/>
  <c r="F4" i="5"/>
  <c r="B4" i="5" s="1"/>
  <c r="E63" i="5"/>
  <c r="F63" i="5" s="1"/>
  <c r="E122" i="5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F92" i="5"/>
  <c r="F5" i="5" l="1"/>
  <c r="F6" i="5" s="1"/>
  <c r="E64" i="5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35" i="5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F122" i="5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93" i="5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64" i="5" l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B5" i="5"/>
  <c r="F35" i="5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7" i="5"/>
  <c r="B6" i="5"/>
  <c r="F8" i="5" l="1"/>
  <c r="B7" i="5"/>
  <c r="F9" i="5" l="1"/>
  <c r="B8" i="5"/>
  <c r="F10" i="5" l="1"/>
  <c r="B9" i="5"/>
  <c r="F11" i="5" l="1"/>
  <c r="B10" i="5"/>
  <c r="F12" i="5" l="1"/>
  <c r="B11" i="5"/>
  <c r="F13" i="5" l="1"/>
  <c r="B12" i="5"/>
  <c r="F14" i="5" l="1"/>
  <c r="B13" i="5"/>
  <c r="F15" i="5" l="1"/>
  <c r="B14" i="5"/>
  <c r="F16" i="5" l="1"/>
  <c r="B15" i="5"/>
  <c r="F17" i="5" l="1"/>
  <c r="B16" i="5"/>
  <c r="F18" i="5" l="1"/>
  <c r="B17" i="5"/>
  <c r="F19" i="5" l="1"/>
  <c r="B18" i="5"/>
  <c r="F20" i="5" l="1"/>
  <c r="B19" i="5"/>
  <c r="F21" i="5" l="1"/>
  <c r="B20" i="5"/>
  <c r="F22" i="5" l="1"/>
  <c r="B21" i="5"/>
  <c r="F23" i="5" l="1"/>
  <c r="B22" i="5"/>
  <c r="F24" i="5" l="1"/>
  <c r="B23" i="5"/>
  <c r="F25" i="5" l="1"/>
  <c r="B24" i="5"/>
  <c r="F26" i="5" l="1"/>
  <c r="B25" i="5"/>
  <c r="F27" i="5" l="1"/>
  <c r="B26" i="5"/>
  <c r="F28" i="5" l="1"/>
  <c r="B28" i="5" s="1"/>
  <c r="B2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<sst xmlns="http://schemas.openxmlformats.org/spreadsheetml/2006/main" count="1764" uniqueCount="547">
  <si>
    <t>DATA</t>
  </si>
  <si>
    <t>KWh/m</t>
  </si>
  <si>
    <t xml:space="preserve">QUANT </t>
  </si>
  <si>
    <t>MONOFÁSICO(KW/H)</t>
  </si>
  <si>
    <t xml:space="preserve">SOMATÓRIA (KWh/m) </t>
  </si>
  <si>
    <t>VALOR DO (KW.H)</t>
  </si>
  <si>
    <t xml:space="preserve">MEDIA(kw/m) </t>
  </si>
  <si>
    <t>ENERGIA DE G/DIA</t>
  </si>
  <si>
    <t>POTENCIAL TOTAL (KWp)</t>
  </si>
  <si>
    <t xml:space="preserve">Total de placas </t>
  </si>
  <si>
    <t xml:space="preserve">INVERSOR </t>
  </si>
  <si>
    <t>VORLOR PRESUMIDO</t>
  </si>
  <si>
    <t xml:space="preserve">VALOR COBRADO </t>
  </si>
  <si>
    <t>INDICE</t>
  </si>
  <si>
    <t>BIFÁSICO(KW/H)</t>
  </si>
  <si>
    <t>VALOR ANUAL (KW.H)</t>
  </si>
  <si>
    <t>Irradiação Dia HSP-SP</t>
  </si>
  <si>
    <t>AREA TOTAL M²</t>
  </si>
  <si>
    <t xml:space="preserve">INVERSOR MIN </t>
  </si>
  <si>
    <t>MEDIA(kw/h)- M.B.T</t>
  </si>
  <si>
    <t>TRIFÁSICA(KW/H)</t>
  </si>
  <si>
    <t>VALOR DA MEDIA (KW.H)</t>
  </si>
  <si>
    <t>RENDIMENTO</t>
  </si>
  <si>
    <t xml:space="preserve">INVERSOR MAX </t>
  </si>
  <si>
    <t>MONOFÁSICO(KW.H)</t>
  </si>
  <si>
    <t xml:space="preserve">SOMATÓRIA (KW/H) </t>
  </si>
  <si>
    <t xml:space="preserve">MEDIA(kw/h) </t>
  </si>
  <si>
    <t>Conta 03</t>
  </si>
  <si>
    <t xml:space="preserve">MEDIA(kw.h) </t>
  </si>
  <si>
    <t>MEDIA(kw.h)- M.B.T</t>
  </si>
  <si>
    <t xml:space="preserve">SOMATORIA DAS CONTAS </t>
  </si>
  <si>
    <t>VALOR DE ISTALAÇAO</t>
  </si>
  <si>
    <t>VALOR DE CABO</t>
  </si>
  <si>
    <t>VALOR DE FERAMENTA</t>
  </si>
  <si>
    <t xml:space="preserve">DESCRITIVO DO EQUIPAMENTO </t>
  </si>
  <si>
    <t>QUANT...</t>
  </si>
  <si>
    <t>POTENCIA POR KW.H</t>
  </si>
  <si>
    <t>HORAS</t>
  </si>
  <si>
    <t xml:space="preserve">DIAS </t>
  </si>
  <si>
    <t>COMSUMO A MÊS (WK.DIA)</t>
  </si>
  <si>
    <t xml:space="preserve">SOMATORIA </t>
  </si>
  <si>
    <t>BOMBA DA AGUA</t>
  </si>
  <si>
    <t xml:space="preserve">MES </t>
  </si>
  <si>
    <t xml:space="preserve">AVOR AO MES SEM AD+ </t>
  </si>
  <si>
    <t>COM AD+</t>
  </si>
  <si>
    <t>MEDIA KW.H</t>
  </si>
  <si>
    <t xml:space="preserve">ANALIZE DE DADOS </t>
  </si>
  <si>
    <t xml:space="preserve">VALOR DE PRODUÇAO POR DIA </t>
  </si>
  <si>
    <t xml:space="preserve">QUANT... DIAS </t>
  </si>
  <si>
    <t>PRODUÇAO A MES</t>
  </si>
  <si>
    <t xml:space="preserve">COMPARATIVO </t>
  </si>
  <si>
    <t xml:space="preserve">PERDAS DE ENERGIA </t>
  </si>
  <si>
    <t>VALOR MIN</t>
  </si>
  <si>
    <t>VALOR MAX</t>
  </si>
  <si>
    <t xml:space="preserve">VALOR ADOTADO </t>
  </si>
  <si>
    <t>VLOR-100%</t>
  </si>
  <si>
    <t>PERDA DE ENERGIA</t>
  </si>
  <si>
    <t xml:space="preserve">PERDAS DE TEMPERATURA </t>
  </si>
  <si>
    <t xml:space="preserve">INCOMPATIBILIDADE ELETRICA </t>
  </si>
  <si>
    <t>ACULO DE SUJEIRA</t>
  </si>
  <si>
    <t>CABEAMENTO CC</t>
  </si>
  <si>
    <t>CABEAMENTO CA</t>
  </si>
  <si>
    <t>INVERSOR</t>
  </si>
  <si>
    <t>calculo de placa-01</t>
  </si>
  <si>
    <t xml:space="preserve">ESTRUTURA PRESUMIDA </t>
  </si>
  <si>
    <t xml:space="preserve">DESCRITIVO </t>
  </si>
  <si>
    <t>ESPECIFICAÇAO DE MODULO</t>
  </si>
  <si>
    <t>QUANT... DE MODULO</t>
  </si>
  <si>
    <t>VALOR TOTAL</t>
  </si>
  <si>
    <t>CONJ PARAFUSO ESTRUTURAL FIBROCIMENTO</t>
  </si>
  <si>
    <t>CONJ TELHA CERÂMICA</t>
  </si>
  <si>
    <t>CJ ESTRUTURA DE SOLO ENERGEASY 20º INCLINAÇÃO</t>
  </si>
  <si>
    <t>PERFIL FV 4,20M</t>
  </si>
  <si>
    <t>GRAMPO INTERMEDIÁRIO 30/35MM</t>
  </si>
  <si>
    <t>GRAMPO TERMINAL 30MM</t>
  </si>
  <si>
    <t>MODULOS(W)</t>
  </si>
  <si>
    <t>PREÇO</t>
  </si>
  <si>
    <t xml:space="preserve">ALTURA(M) </t>
  </si>
  <si>
    <t>FRENTE(M)</t>
  </si>
  <si>
    <t>AREAS M²</t>
  </si>
  <si>
    <t>TOTAL DO VALOR</t>
  </si>
  <si>
    <t>calculo de placa-02</t>
  </si>
  <si>
    <t>calculo de placa-03</t>
  </si>
  <si>
    <t>calculo de placa-04</t>
  </si>
  <si>
    <t xml:space="preserve">calculo de placa-SOMATRIA </t>
  </si>
  <si>
    <t>RETORNO DO INVESTIMENTO (01)</t>
  </si>
  <si>
    <t>STATUS</t>
  </si>
  <si>
    <t>ANO</t>
  </si>
  <si>
    <t>PREÇO TARIFAS (R$/KWH/ANO)**</t>
  </si>
  <si>
    <t>ECONOMIA ACUMULADA (R$)</t>
  </si>
  <si>
    <t>RESULTADO FINACEIRO (R$)</t>
  </si>
  <si>
    <t>CDB 140% CDI (R$)</t>
  </si>
  <si>
    <t>POUPANÇA (R$)</t>
  </si>
  <si>
    <t>INVESTIMENTO</t>
  </si>
  <si>
    <t>LUCRO</t>
  </si>
  <si>
    <t>RETORNO DO INVESTIMENTO (02)</t>
  </si>
  <si>
    <t>RETORNO DO INVESTIMENTO (03)</t>
  </si>
  <si>
    <t>RETORNO DO INVESTIMENTO (04)</t>
  </si>
  <si>
    <t>RETORNO DO INVESTIMENTO (05)</t>
  </si>
  <si>
    <t>NUMERO DE INDEFICAÇAO</t>
  </si>
  <si>
    <t>Numero de serie</t>
  </si>
  <si>
    <t>TARIFAS</t>
  </si>
  <si>
    <t>CONSUMO (kWh)</t>
  </si>
  <si>
    <t>GERAÇÃO (kWh)</t>
  </si>
  <si>
    <t>CREDITO  DO MÊS (kWh)</t>
  </si>
  <si>
    <t>CRETIDO ACUMULADO (kWh)</t>
  </si>
  <si>
    <t>FATURA SEM SISTEMA (R$)</t>
  </si>
  <si>
    <t>FATURA COM SISTEMA (R$)</t>
  </si>
  <si>
    <t>VALOR A SER ECONOMISADO  AO ANO (R$)</t>
  </si>
  <si>
    <t>EM UM ANO</t>
  </si>
  <si>
    <t>Geração de energia</t>
  </si>
  <si>
    <t>CONTROLE DE ESTOQUE DE ALMOXARIFADO-MS</t>
  </si>
  <si>
    <t xml:space="preserve">QUANTIDE DE PLACAS LIGADO O FATOR </t>
  </si>
  <si>
    <t xml:space="preserve">DE 0 A 20 PLACAS </t>
  </si>
  <si>
    <t xml:space="preserve">DE 21 A 30 PLACAS </t>
  </si>
  <si>
    <t xml:space="preserve">DE 31 A 40 PLACAS </t>
  </si>
  <si>
    <t xml:space="preserve">DE 41 A 50 PLACAS </t>
  </si>
  <si>
    <t xml:space="preserve">DE 51 A 60PLACAS </t>
  </si>
  <si>
    <t xml:space="preserve">DE 71 E DEMAIS  </t>
  </si>
  <si>
    <t>Nº</t>
  </si>
  <si>
    <t>Descrição do Produto</t>
  </si>
  <si>
    <t>Entradas Total</t>
  </si>
  <si>
    <t>Saídas Total</t>
  </si>
  <si>
    <t>Saldo Atual</t>
  </si>
  <si>
    <t>Indicador de Estoque</t>
  </si>
  <si>
    <t>%</t>
  </si>
  <si>
    <t>Estoque Ideal</t>
  </si>
  <si>
    <t>Valor Unitário</t>
  </si>
  <si>
    <t>Valor Total</t>
  </si>
  <si>
    <t>Comprado Unitário</t>
  </si>
  <si>
    <t>Entregue Unitário</t>
  </si>
  <si>
    <t>Valor total</t>
  </si>
  <si>
    <t>FATOR</t>
  </si>
  <si>
    <t xml:space="preserve">INDICE DESGASTE </t>
  </si>
  <si>
    <t>01</t>
  </si>
  <si>
    <t>APLICADOR DE SILICONE</t>
  </si>
  <si>
    <t>AMARIO 1</t>
  </si>
  <si>
    <t>02</t>
  </si>
  <si>
    <t>NÍVEL MÃO 50cm</t>
  </si>
  <si>
    <t>03</t>
  </si>
  <si>
    <t>GIZ DE LINHA 30M</t>
  </si>
  <si>
    <t>04</t>
  </si>
  <si>
    <t>TRENA STARRETT 8m</t>
  </si>
  <si>
    <t>05</t>
  </si>
  <si>
    <t>ESTILETE</t>
  </si>
  <si>
    <t>06</t>
  </si>
  <si>
    <t>REFIL DE LAMINAS PARA ESTILETE</t>
  </si>
  <si>
    <t>07</t>
  </si>
  <si>
    <t>ALICATE BICO 6"</t>
  </si>
  <si>
    <t>08</t>
  </si>
  <si>
    <t>ALICATE CORTE 6"</t>
  </si>
  <si>
    <t>09</t>
  </si>
  <si>
    <t>ALICATE DE PVC UNIVERSAL</t>
  </si>
  <si>
    <t>10</t>
  </si>
  <si>
    <t>ALICATE PARA CRIMPAR</t>
  </si>
  <si>
    <t>11</t>
  </si>
  <si>
    <t>CHAVE INGLESA</t>
  </si>
  <si>
    <t>12</t>
  </si>
  <si>
    <t>ESMERILHADEIRA</t>
  </si>
  <si>
    <t>13</t>
  </si>
  <si>
    <t>TESOURA PARA CHAPA</t>
  </si>
  <si>
    <t>14</t>
  </si>
  <si>
    <t>FURADEIRA IMPACTO</t>
  </si>
  <si>
    <t>15</t>
  </si>
  <si>
    <t>MULTÍMETRO</t>
  </si>
  <si>
    <t>16</t>
  </si>
  <si>
    <t>PASSAFIO</t>
  </si>
  <si>
    <t>17</t>
  </si>
  <si>
    <t>Parafusadeira Imp Dewalt</t>
  </si>
  <si>
    <t>18</t>
  </si>
  <si>
    <t>Kit Furadeira Parafusadeira</t>
  </si>
  <si>
    <t>19</t>
  </si>
  <si>
    <t>Martelete perfurador rompedor 830w</t>
  </si>
  <si>
    <t>20</t>
  </si>
  <si>
    <t>JX-1601-2546</t>
  </si>
  <si>
    <t>21</t>
  </si>
  <si>
    <t>Alicate Crimper</t>
  </si>
  <si>
    <t>ARMARIO 2</t>
  </si>
  <si>
    <t>22</t>
  </si>
  <si>
    <t>Vaselina</t>
  </si>
  <si>
    <t>23</t>
  </si>
  <si>
    <t>Brocas</t>
  </si>
  <si>
    <t>24</t>
  </si>
  <si>
    <t>chaves catraca</t>
  </si>
  <si>
    <t>25</t>
  </si>
  <si>
    <t>kit Chave combinada BELZER</t>
  </si>
  <si>
    <t>26</t>
  </si>
  <si>
    <t>Jogo de Chave Allen Angular Longa Abaulada, Corneta 312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</si>
  <si>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</si>
  <si>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</si>
  <si>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</si>
  <si>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</si>
  <si>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</si>
  <si>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</si>
  <si>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</si>
  <si>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</si>
  <si>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</si>
  <si>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</si>
  <si>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</si>
  <si>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</si>
  <si>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</si>
  <si>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</si>
  <si>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</si>
  <si>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</si>
  <si>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</si>
  <si>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</si>
  <si>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</si>
  <si>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</si>
  <si>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</si>
  <si>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ARMARIO 3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</si>
  <si>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</si>
  <si>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</si>
  <si>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</si>
  <si>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</si>
  <si>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</si>
  <si>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</si>
  <si>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</si>
  <si>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</si>
  <si>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</si>
  <si>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</si>
  <si>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</si>
  <si>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</si>
  <si>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</si>
  <si>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</si>
  <si>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</si>
  <si>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</si>
  <si>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</si>
  <si>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</si>
  <si>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</si>
  <si>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</si>
  <si>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</si>
  <si>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</si>
  <si>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</si>
  <si>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</si>
  <si>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</si>
  <si>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</si>
  <si>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</si>
  <si>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</si>
  <si>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</si>
  <si>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</si>
  <si>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</si>
  <si>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</si>
  <si>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</si>
  <si>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</si>
  <si>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r>
      <rPr>
        <b/>
        <sz val="11"/>
        <rFont val="Arial"/>
        <family val="2"/>
      </rPr>
      <t>Agente Promotor:</t>
    </r>
    <r>
      <rPr>
        <sz val="11"/>
        <rFont val="Arial"/>
        <family val="2"/>
      </rPr>
      <t xml:space="preserve">
                       </t>
    </r>
  </si>
  <si>
    <t xml:space="preserve">Contratada:
</t>
  </si>
  <si>
    <r>
      <rPr>
        <b/>
        <sz val="12"/>
        <rFont val="Arial"/>
        <family val="2"/>
      </rPr>
      <t>Início da Obra:</t>
    </r>
    <r>
      <rPr>
        <sz val="9"/>
        <rFont val="Arial"/>
        <family val="2"/>
      </rPr>
      <t xml:space="preserve">
                 </t>
    </r>
    <r>
      <rPr>
        <sz val="11"/>
        <rFont val="Arial"/>
        <family val="2"/>
      </rPr>
      <t>15/05/2018</t>
    </r>
  </si>
  <si>
    <r>
      <rPr>
        <b/>
        <sz val="12"/>
        <color theme="1"/>
        <rFont val="Arial"/>
        <family val="2"/>
      </rPr>
      <t>Término da Obra:</t>
    </r>
    <r>
      <rPr>
        <sz val="9"/>
        <color theme="1"/>
        <rFont val="Arial"/>
        <family val="2"/>
      </rPr>
      <t xml:space="preserve">
                  </t>
    </r>
    <r>
      <rPr>
        <sz val="11"/>
        <color theme="1"/>
        <rFont val="Arial"/>
        <family val="2"/>
      </rPr>
      <t>15/11/2020</t>
    </r>
  </si>
  <si>
    <t>T</t>
  </si>
  <si>
    <t>uidade</t>
  </si>
  <si>
    <t>CHI</t>
  </si>
  <si>
    <r>
      <rPr>
        <b/>
        <sz val="12"/>
        <rFont val="Arial"/>
        <family val="2"/>
      </rPr>
      <t>Localização:</t>
    </r>
    <r>
      <rPr>
        <sz val="9"/>
        <rFont val="Arial"/>
        <family val="2"/>
      </rPr>
      <t xml:space="preserve"> 
</t>
    </r>
  </si>
  <si>
    <t>Objetivo:</t>
  </si>
  <si>
    <t>H</t>
  </si>
  <si>
    <t>M³</t>
  </si>
  <si>
    <t>Data do CTEF:</t>
  </si>
  <si>
    <t>Numero do contrato:</t>
  </si>
  <si>
    <t>M²</t>
  </si>
  <si>
    <t>BDI:</t>
  </si>
  <si>
    <t>Valor do contrato:</t>
  </si>
  <si>
    <t>Periodo de:</t>
  </si>
  <si>
    <t>UN</t>
  </si>
  <si>
    <t>Kg</t>
  </si>
  <si>
    <t>DISCRIMINAÇÃO DOS SERVIÇOS E FORNECIMENTOS DO ORÇAMENTO</t>
  </si>
  <si>
    <t>-</t>
  </si>
  <si>
    <t>ITEM</t>
  </si>
  <si>
    <t xml:space="preserve">ESPECIFICAÇÃO </t>
  </si>
  <si>
    <t>L</t>
  </si>
  <si>
    <t>M</t>
  </si>
  <si>
    <t>I</t>
  </si>
  <si>
    <t>Unid</t>
  </si>
  <si>
    <t>Quant</t>
  </si>
  <si>
    <t>Preço Unitário</t>
  </si>
  <si>
    <t xml:space="preserve">Preço compra </t>
  </si>
  <si>
    <t>Total</t>
  </si>
  <si>
    <t>Total a cobrar</t>
  </si>
  <si>
    <t>iTEM</t>
  </si>
  <si>
    <t xml:space="preserve">Conduíte Reforçado 1 Polegada 50 Metros Preto </t>
  </si>
  <si>
    <t>ELETRODUTO GALVANIZADO LEVE 1" 3M ELECON</t>
  </si>
  <si>
    <t>Conduletes Caixa Multipla X Alumínio 3/4 - Tramontina</t>
  </si>
  <si>
    <t>unidade</t>
  </si>
  <si>
    <t>Tampao P/ Caixa Condulete 3/4``</t>
  </si>
  <si>
    <t>Curva 90 Para Eletroduto Metálico 1"</t>
  </si>
  <si>
    <t>ADAPTADOR DE CONDULETE ALUMINIO 1</t>
  </si>
  <si>
    <t>Quadro de Distribuicao Weg para 6 Disjuntor DIN de Sobrepor</t>
  </si>
  <si>
    <t>Disjuntor Bipolar 40a Curva C - Steck</t>
  </si>
  <si>
    <t>Disjuntor Bipolar 63A Weg Mini DIN MDW C63 5kA Curva C</t>
  </si>
  <si>
    <t>Disjuntor Dr 2p Bipolar Fuga Diferencial Residual</t>
  </si>
  <si>
    <t>Cabo de Energia 750v 6mm Flexicom Antichama com 100 Metros Verde</t>
  </si>
  <si>
    <t>Cabo de Energia 750v 6mm Flexicom Antichama com 100 Metros preto</t>
  </si>
  <si>
    <t>Cabo de Energia 750v 4mm Flexicom Antichama com 100 Metros Verde</t>
  </si>
  <si>
    <t>Cabo de Energia 750v 4mm Flexicom Antichama com 100 Metros preto</t>
  </si>
  <si>
    <t>Haste de aterramento 3/4" X 2,40m Alta Camada - Olivo</t>
  </si>
  <si>
    <t>Rolo para pintura 23cm Conector Metálico C/ Parafuso P/ Haste De Terra 5/8'' Tigre</t>
  </si>
  <si>
    <t>Caixa de Inspeção Para Aterramento PVC Preto TAF</t>
  </si>
  <si>
    <t>Fita Multiuso 10cm x 10m Vedacit</t>
  </si>
  <si>
    <t>Roteador Intelbras RF 301K CKD Wi-Fi 4 - N 300 Mbps</t>
  </si>
  <si>
    <t>cabo de rede blindado</t>
  </si>
  <si>
    <t>Transformador Isolador Trifasico Potencia 25kva Primario 380v Secundario 220v De 12 a 23kw - 2500tts003</t>
  </si>
  <si>
    <t>GASTOS COM INSTALAÇÕES</t>
  </si>
  <si>
    <t xml:space="preserve">INSUMO + COMPOSITO </t>
  </si>
  <si>
    <t xml:space="preserve">NUMERO DE IDENTIFICAÇAO </t>
  </si>
  <si>
    <t xml:space="preserve">VALORES PARA PROJRTO FOTO FOTAICO </t>
  </si>
  <si>
    <t xml:space="preserve">ITEM </t>
  </si>
  <si>
    <t xml:space="preserve">PREÇO UNICO </t>
  </si>
  <si>
    <t xml:space="preserve">QUANT... DE DIAS </t>
  </si>
  <si>
    <t xml:space="preserve"> TOTAL</t>
  </si>
  <si>
    <t xml:space="preserve">DESCRIÇAO DE POTENCIA DO CISTEMA </t>
  </si>
  <si>
    <t xml:space="preserve">PREÇO </t>
  </si>
  <si>
    <t>INDICE(5%)</t>
  </si>
  <si>
    <t xml:space="preserve">VALOR TOTAL </t>
  </si>
  <si>
    <t xml:space="preserve">ALMOÇO </t>
  </si>
  <si>
    <t>1-10 KWP</t>
  </si>
  <si>
    <t>CAFE</t>
  </si>
  <si>
    <t>10,1-15 KWP</t>
  </si>
  <si>
    <t xml:space="preserve">TRANSPORTE </t>
  </si>
  <si>
    <t>15,1-20 KWP</t>
  </si>
  <si>
    <t xml:space="preserve">SALARIO DOS FUNCINARIOS </t>
  </si>
  <si>
    <t xml:space="preserve">PREÇO UNITARIO POR PLACA  </t>
  </si>
  <si>
    <t xml:space="preserve">QUANT... DE PLACA </t>
  </si>
  <si>
    <t xml:space="preserve">VALOR UNITARIO </t>
  </si>
  <si>
    <t>TOTAL</t>
  </si>
  <si>
    <t>20,1- 25 KWP</t>
  </si>
  <si>
    <t xml:space="preserve">EQUIPE DO LUCAS </t>
  </si>
  <si>
    <t>25,1-30 KWP</t>
  </si>
  <si>
    <t xml:space="preserve">DIARIA PREÇO UNITARIO  </t>
  </si>
  <si>
    <t>30,1-40 KWP</t>
  </si>
  <si>
    <t xml:space="preserve">TECNICO </t>
  </si>
  <si>
    <t>40,1-50 KWP</t>
  </si>
  <si>
    <t>AJUDANTE</t>
  </si>
  <si>
    <t>50,1-60 KWP</t>
  </si>
  <si>
    <t xml:space="preserve">ADIMINISTRATIVO </t>
  </si>
  <si>
    <t>60,1-70 KWP</t>
  </si>
  <si>
    <t>DESCRITIVO</t>
  </si>
  <si>
    <t>POTECIA DO SISTEMA  KWP</t>
  </si>
  <si>
    <t>PREÇO UNIT...</t>
  </si>
  <si>
    <t xml:space="preserve">QUANT... </t>
  </si>
  <si>
    <t>70,1-80 KWP</t>
  </si>
  <si>
    <t xml:space="preserve">PROJETISTA </t>
  </si>
  <si>
    <t>80,1-90 KWP</t>
  </si>
  <si>
    <t>90,1-100 KWP</t>
  </si>
  <si>
    <t>100,1-112,5 KWP</t>
  </si>
  <si>
    <t>E.P.I</t>
  </si>
  <si>
    <t>DESCRIVO</t>
  </si>
  <si>
    <t>VALOR UNIT...</t>
  </si>
  <si>
    <t xml:space="preserve">CUSTO TOTAL </t>
  </si>
  <si>
    <t>Capacete 3M com carneira e jugular com suspensão ajuste fácil Branco CA 29638</t>
  </si>
  <si>
    <t>Óculos proteção Imperial com lente incolor policarbonato CA 18903</t>
  </si>
  <si>
    <t>Bota em Couro Nobuck Marluvas 50B26-CB-BP Preta Leve e Confortável Com Bico PVC CA 45611</t>
  </si>
  <si>
    <t>Protetor Solar Profissional FPS 60 1/3 UVA 1 Litro - NUTRIEX-61028</t>
  </si>
  <si>
    <t>Cinto Tipo Paraquedista Athenas AT 7015 ATHOS II + Talabarte em Y Athenas AT YFT ABS – 707 CA 37975</t>
  </si>
  <si>
    <t>Protetor Auricular Grau Farmacêutico 18Db Em Silicone Protect Maximus CA 28534</t>
  </si>
  <si>
    <t>Luva Ansell Powerflex® 80-400 Isolante Baixa Temperatura até -25º Ca 16083</t>
  </si>
  <si>
    <t>Luva Multitato Nylon Preta Poliuretano Flextactil - DA12100PT - DANNY - CA 29014 - Luva Multitato Nylon Preta Poliuretano Tamanho 7/P Flextactil - DA12100PT - CA 29014 - DANNY</t>
  </si>
  <si>
    <t>Óculos proteção Kalipso modelo esportivo lente cinza CA 11268</t>
  </si>
  <si>
    <t>Touca árabe helanca azul - soldador</t>
  </si>
  <si>
    <t>VALORES-1</t>
  </si>
  <si>
    <t>Valor PLACA</t>
  </si>
  <si>
    <t>VALOR DE ESTRUTURA DE MODULO</t>
  </si>
  <si>
    <t>VALOR DO INVERSOR</t>
  </si>
  <si>
    <t>Estrutura + isumos</t>
  </si>
  <si>
    <t>FRETE</t>
  </si>
  <si>
    <t xml:space="preserve">Valor Total dos materias </t>
  </si>
  <si>
    <t>Valor Total sem impostos</t>
  </si>
  <si>
    <t>LUCRO PRESUMIDO</t>
  </si>
  <si>
    <t>VALORES-2</t>
  </si>
  <si>
    <t>VALORES-3</t>
  </si>
  <si>
    <t>VALORES-4</t>
  </si>
  <si>
    <t xml:space="preserve">Valor Total PRESUMIDO </t>
  </si>
  <si>
    <t>VALORES-5</t>
  </si>
  <si>
    <t>INSUMO 02</t>
  </si>
  <si>
    <t>INSUMO 01</t>
  </si>
  <si>
    <t>INSUMO 03</t>
  </si>
  <si>
    <t>INSUMO 04</t>
  </si>
  <si>
    <t>INSUMO 05</t>
  </si>
  <si>
    <t>NUMERO -INDI</t>
  </si>
  <si>
    <t>PORCENTAGEM DO BDI</t>
  </si>
  <si>
    <t>Transformador Isolador Trifasico Potencia 100kva Primario 380v Secundario 220v De 12 a 23kw - 2500tts002</t>
  </si>
  <si>
    <t>INDICE DE PAGAMENTO MINIMO</t>
  </si>
  <si>
    <t>Conector Metálico C/ Parafuso P/ Haste De Terra 5/8'' Tigre</t>
  </si>
  <si>
    <t>Conta 01</t>
  </si>
  <si>
    <t>Conta 02</t>
  </si>
  <si>
    <t>Conta 04</t>
  </si>
  <si>
    <t xml:space="preserve">ANASTACIO </t>
  </si>
  <si>
    <t xml:space="preserve">AQUIDAUNA </t>
  </si>
  <si>
    <t>SÃO PAULO</t>
  </si>
  <si>
    <t xml:space="preserve">MEDIA </t>
  </si>
  <si>
    <t>VAL-IND-MENSAL</t>
  </si>
  <si>
    <t xml:space="preserve">JANDIRA </t>
  </si>
  <si>
    <t xml:space="preserve">BARUERI </t>
  </si>
  <si>
    <t>PONTA PORAN</t>
  </si>
  <si>
    <t xml:space="preserve">BONITO </t>
  </si>
  <si>
    <t>MARACAJU</t>
  </si>
  <si>
    <t>COTIA</t>
  </si>
  <si>
    <t>SUNDATA(22/02/2022)</t>
  </si>
  <si>
    <t xml:space="preserve">ANO </t>
  </si>
  <si>
    <t xml:space="preserve">QUANT... INVERSOR </t>
  </si>
  <si>
    <t>ARCONDICIONADO (9000 BTU)</t>
  </si>
  <si>
    <t>ARCONDICIONADO (12000 BTU)</t>
  </si>
  <si>
    <t>ARCONDICIONADO (36000 BTU)</t>
  </si>
  <si>
    <t>FREZER</t>
  </si>
  <si>
    <t>COMPARATIVO  DO FOR...</t>
  </si>
  <si>
    <t>Ar Condicionado Split 9.000 Btus LG Dual Inverter Voice Frio 220V</t>
  </si>
  <si>
    <t>Ar Condicionado Split Inverter LG Hi Wall DUAL Compact 12000 BTUs Frio S4NQ12JA3A5 220V</t>
  </si>
  <si>
    <t>Ar-Condicionado Split Samsung Digital Inverter Frio 17.000 BTUs - 220V</t>
  </si>
  <si>
    <t>Ar-condicionado Split LG 22.000 BTUs Quente/Frio - Dual Inverter Voice S4-W24KE311</t>
  </si>
  <si>
    <t>OK</t>
  </si>
  <si>
    <t>OFF</t>
  </si>
  <si>
    <t>INST... VALOR</t>
  </si>
  <si>
    <t>Característica</t>
  </si>
  <si>
    <t>Valor</t>
  </si>
  <si>
    <t>Unidades</t>
  </si>
  <si>
    <t>UNIDADE CONSUMIDORA:</t>
  </si>
  <si>
    <t>RESIDENCIAL</t>
  </si>
  <si>
    <t>Consumo Médio Mensal:</t>
  </si>
  <si>
    <t>kWh/Mês</t>
  </si>
  <si>
    <t>Taxa de Disponibilidade (Tarifa Mínima):</t>
  </si>
  <si>
    <t>R$/Mês</t>
  </si>
  <si>
    <t>Custo Médio Mensal de Energia:</t>
  </si>
  <si>
    <t>Consumo Anual Estimado:</t>
  </si>
  <si>
    <t>kWh/Ano</t>
  </si>
  <si>
    <t>LOCALIDADE</t>
  </si>
  <si>
    <t>ESTRUTURA</t>
  </si>
  <si>
    <t>Irradiação Solar Média</t>
  </si>
  <si>
    <t>Potência do Sistema</t>
  </si>
  <si>
    <t>Média de geração</t>
  </si>
  <si>
    <t>Área útil estimada</t>
  </si>
  <si>
    <t>Aquidauana / MS</t>
  </si>
  <si>
    <t>METÁLICA</t>
  </si>
  <si>
    <t>Kwh/m2</t>
  </si>
  <si>
    <t>Kwp</t>
  </si>
  <si>
    <t>Kwh/mês</t>
  </si>
  <si>
    <t>m2</t>
  </si>
  <si>
    <t>CARACTERÍSTICAS DO PROJETO</t>
  </si>
  <si>
    <t>Dimensionamento</t>
  </si>
  <si>
    <t>Módulo Fotovoltaico</t>
  </si>
  <si>
    <t>Inversor</t>
  </si>
  <si>
    <t>Características técnicas:</t>
  </si>
  <si>
    <t>Potência:</t>
  </si>
  <si>
    <t>Garantia (Defeitos de Fábrica):</t>
  </si>
  <si>
    <t>6 anos</t>
  </si>
  <si>
    <t>Garantia (Eficiência):</t>
  </si>
  <si>
    <t>12 anos</t>
  </si>
  <si>
    <t>Modelo:</t>
  </si>
  <si>
    <t>Jinko</t>
  </si>
  <si>
    <t>Sungorw</t>
  </si>
  <si>
    <t>Quantidade:</t>
  </si>
  <si>
    <t>Transformadores:</t>
  </si>
  <si>
    <t>Subestação:</t>
  </si>
  <si>
    <t>Análise Financeira</t>
  </si>
  <si>
    <t>Neste tópico serão descritos os aspectos financeiros estimados do projeto e da instalação, tais como: economia gerada, preços, formas de pagamento e análise de viabilidade financeira</t>
  </si>
  <si>
    <t>Resumo Financeiro</t>
  </si>
  <si>
    <t>Fator</t>
  </si>
  <si>
    <t>Unidade</t>
  </si>
  <si>
    <t>Valor médio mensal de energia</t>
  </si>
  <si>
    <t>Geração média mensal estimada</t>
  </si>
  <si>
    <t>Geração média anual estimada</t>
  </si>
  <si>
    <t>Economia média mensal estimada para o primeiro ano</t>
  </si>
  <si>
    <t>Economia total estimada para o primeiro ano</t>
  </si>
  <si>
    <t>R$/Ano</t>
  </si>
  <si>
    <r>
      <t xml:space="preserve">Investimento Total do Sistema Solar </t>
    </r>
    <r>
      <rPr>
        <b/>
        <sz val="16"/>
        <color rgb="FF000000"/>
        <rFont val="Arial"/>
        <family val="2"/>
      </rPr>
      <t>=</t>
    </r>
  </si>
  <si>
    <t>ECONOMIA MENSAL</t>
  </si>
  <si>
    <t>ECONOMIA ANUAL</t>
  </si>
  <si>
    <t>ESTIMATIVA DE CREDITO MENSAL (kWh)</t>
  </si>
  <si>
    <t>GASTO ESTIMADO (R$)</t>
  </si>
  <si>
    <t>TARIFA MINIMA ESTIMADA (R$)</t>
  </si>
  <si>
    <t xml:space="preserve"> MÊS</t>
  </si>
  <si>
    <t>ARCONDICIONADO (18000 BTU)</t>
  </si>
  <si>
    <t>QUANTIDADE DE MEDIDORES</t>
  </si>
  <si>
    <t xml:space="preserve">M² DE RUA </t>
  </si>
  <si>
    <t xml:space="preserve">OK </t>
  </si>
  <si>
    <t>SUBESTAÇAO ELETRICA</t>
  </si>
  <si>
    <t>Transformador Isolador Trifasico Potencia 35kva Primario 380v Secundario 220v De 12 a 23kw - 2500tts002</t>
  </si>
  <si>
    <t>Transformador Isolador Trifasico Potencia 45kva Primario 380v Secundario 220v De 12 a 23kw - 2500tts001</t>
  </si>
  <si>
    <t>Transformador Isolador Trifasico Potencia 55kva Primario 380v Secundario 220v De 12 a 23kw - 2500tts000</t>
  </si>
  <si>
    <t>Transformador Isolador Trifasico Potencia 75kva Primario 380v Secundario 220v De 12 a 23kw - 2500tts001</t>
  </si>
  <si>
    <t>V.D.S</t>
  </si>
  <si>
    <t>VALOR DO MATERIAL</t>
  </si>
  <si>
    <t>VALOR SEM IMPOSTO</t>
  </si>
  <si>
    <t>QUANT</t>
  </si>
  <si>
    <t>IND</t>
  </si>
  <si>
    <t>COMP</t>
  </si>
  <si>
    <t>ARMADURA DE BITOLA 8</t>
  </si>
  <si>
    <t>ARMADURA DE BITOLA 10</t>
  </si>
  <si>
    <t>COMCRETO(25MPA) PARA ESTACA DE 30CM DE DIAMETRO</t>
  </si>
  <si>
    <t xml:space="preserve">COMCRETO(25MPA) PARA SAPATA DE 50X50X50 </t>
  </si>
  <si>
    <t>PREÇO UNIT</t>
  </si>
  <si>
    <t>PREÇO TOTAL</t>
  </si>
  <si>
    <t>IND.QUNT</t>
  </si>
  <si>
    <t>QUANT DE FURO</t>
  </si>
  <si>
    <t>FUNDAÇAO PARA ESTRUTURA DE COMCRETO</t>
  </si>
  <si>
    <t>IMPOSTOS(7%)</t>
  </si>
  <si>
    <t>TABELAS</t>
  </si>
  <si>
    <t>EQUIPAMENTO AD</t>
  </si>
  <si>
    <t>VALORES</t>
  </si>
  <si>
    <t>PERCAS DOS SISTEMA</t>
  </si>
  <si>
    <t>RETORNO DO INVESTIMENTO</t>
  </si>
  <si>
    <t xml:space="preserve">GERAÇAO DE ENERGIA </t>
  </si>
  <si>
    <t>PLANILHA CENTRAL</t>
  </si>
  <si>
    <t>MAO DE OBRA + EPI</t>
  </si>
  <si>
    <t>DIMENCINAMENTO DE PLACA</t>
  </si>
  <si>
    <t>IMSUMOS+ESTR...</t>
  </si>
  <si>
    <t xml:space="preserve">CONTROLE DE ESTOQUE </t>
  </si>
  <si>
    <t>MENU</t>
  </si>
  <si>
    <t>PROPOSTA</t>
  </si>
  <si>
    <t>Lyseis Engenharia</t>
  </si>
  <si>
    <t>Conheça mais sobre a Lyseis Engenharia</t>
  </si>
  <si>
    <t>A Lyseis Engenharia é uma empresa especializada em construções SUSTENTAVEIS E REFORMAS ELÉTRICAS. Contamos com uma equipe experiente há 5 anos no mercado de energias renováveis e alternativas limpas. A empresa tem o objetivo de oferecer aos nossos clientes a sustentabilidade energética, conforto para toda a família. Através da concepção de um projeto que irá ajudar na redução dos custos energéticos e a própria geração de energia reduzirá os impactos ambientais em relação a produção convencional.</t>
  </si>
  <si>
    <t>O que nos move?</t>
  </si>
  <si>
    <t>Acreditamos em nossa missão e respeitamos os nossos valores.</t>
  </si>
  <si>
    <t>Visão</t>
  </si>
  <si>
    <t>Fornecer energia renovável, limpa e inesgotável com excelência, qualidade, pontualidade e preço justo.</t>
  </si>
  <si>
    <t>Missão</t>
  </si>
  <si>
    <t>Ter compromisso de proporcionar soluções energéticas simples e sustentáveis por meio da prestação de serviços e projetos realizados com qualidade, que superem as expectativas dos clientes, garantindo a economia e autonomia na geração de energia elétrica.</t>
  </si>
  <si>
    <t>Valores</t>
  </si>
  <si>
    <t>-Foco no cliente</t>
  </si>
  <si>
    <t>-Qualidade de vida</t>
  </si>
  <si>
    <t>-Compromisso e responsabilidade</t>
  </si>
  <si>
    <t>-Sustentabilidade ambiental</t>
  </si>
  <si>
    <t>-Competência e inovação</t>
  </si>
  <si>
    <t>-Transparência e ética</t>
  </si>
  <si>
    <t>-Qualidade</t>
  </si>
  <si>
    <t>-Integração</t>
  </si>
  <si>
    <t>COMO FUNCIONA</t>
  </si>
  <si>
    <t>1) O sol é a fonte primária de energia</t>
  </si>
  <si>
    <t>2) A luz do sol incide sobre os painéis fotovoltaicos</t>
  </si>
  <si>
    <t>3) O painel fotovoltaico converte luz em energia elétrica</t>
  </si>
  <si>
    <t>4) A corrente contínua é injetada na entrada do inversor, passando por dispositivos de segurança</t>
  </si>
  <si>
    <t>5) O inversor converte corrente contínua em alternada</t>
  </si>
  <si>
    <t>6) A energia gerada é consumida ou injetada na rede, após passar por dispositivos de segurança. A energia excedente gera créditos de energia que podem ser utilizados em até 60 meses (relógio bidirecional).</t>
  </si>
  <si>
    <t>PASSO A PASSO</t>
  </si>
  <si>
    <t>1) Fazemos o orçamento preliminar de acordo com seus requisitos, considerando a irradiação solar local, o consumo energético dos últimos doze meses e a tarifa da distribuidora</t>
  </si>
  <si>
    <t>2) Fechamos a proposta ideal para você</t>
  </si>
  <si>
    <t>3) Após aprovada a proposta, conduzimos a vistoria técnica da propriedade para coletar os requisitos do sistema.</t>
  </si>
  <si>
    <t>4) Com os requisitos técnicos em mãos, elaboramos o projeto e solicitamos o acesso à rede de energia junto à distribuidora</t>
  </si>
  <si>
    <t>5) Após o projeto ser aprovado pela distribuidora, realizamos a instalação do sistema dentro do prazo de 60 dias mais período de instalação de 12 dias e solicitamos a adequação junto a concessionária, assim realizando o processo de subestação.</t>
  </si>
  <si>
    <t>6) Parabéns! Você está economizando de maneira inteligente e gerando energia limpa. Se no mês o seu balanço for positivo você ganha créditos de energia que podem ser utilizados em até 60 meses</t>
  </si>
  <si>
    <t>Projeto e Instalação</t>
  </si>
  <si>
    <t>Características Locais da Instalação</t>
  </si>
  <si>
    <t>Será realizada a instalação de acordo com todas as normas pré estabelecidas pela distribuidora local de energia, estando contidos neste orçamento todos os materiais necessários para que a instalação seja homologada e aprovada para ligação.</t>
  </si>
  <si>
    <t>Neste tópico serão descritas as principais características do projeto e da instalação: localização, estudo Solari métrico para a região, consumo mensal, estimativa de geração mensal e serviços inclusos</t>
  </si>
  <si>
    <t>Demais Materiais</t>
  </si>
  <si>
    <t>Cabo Solar Preto Unipolar Flexível de 6mm</t>
  </si>
  <si>
    <t>Cabo Solar Vermelho Unipolar Flexível de 6mm</t>
  </si>
  <si>
    <t>Conectores MC4 - 6 mm²</t>
  </si>
  <si>
    <t>Estrutura de Fixação em Alumínio e Aço Inox: Estrutura metálica</t>
  </si>
  <si>
    <t>Seguro contra Riscos Diversos: a incluir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</si>
</sst>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  <numFmt numFmtId="166" formatCode="_-* #,##0.0_-;\-* #,##0.0_-;_-* &quot;-&quot;??_-;_-@_-"/>
    <numFmt numFmtId="167" formatCode="_-* #,##0_-;\-* #,##0_-;_-* &quot;-&quot;??_-;_-@_-"/>
    <numFmt numFmtId="168" formatCode="_-[$R$-416]* #,##0.00_-;\-[$R$-416]* #,##0.00_-;_-[$R$-416]* &quot;-&quot;??_-;_-@_-"/>
    <numFmt numFmtId="169" formatCode="00"/>
    <numFmt numFmtId="170" formatCode="00.00"/>
    <numFmt numFmtId="171" formatCode="_-&quot;R$&quot;\ * #,##0.000_-;\-&quot;R$&quot;\ * #,##0.000_-;_-&quot;R$&quot;\ * &quot;-&quot;??_-;_-@_-"/>
    <numFmt numFmtId="172" formatCode="_-[$R$-416]\ * #,##0.00_-;\-[$R$-416]\ * #,##0.00_-;_-[$R$-416]\ * &quot;-&quot;??_-;_-@_-"/>
    <numFmt numFmtId="173" formatCode="_-[$R$-416]\ * #,##0.000_-;\-[$R$-416]\ * #,##0.000_-;_-[$R$-416]\ * &quot;-&quot;??_-;_-@_-"/>
    <numFmt numFmtId="174" formatCode="_-* #,##0.000_-;\-* #,##0.000_-;_-* &quot;-&quot;??_-;_-@_-"/>
    <numFmt numFmtId="175" formatCode="_-* #,##0.000_-;\-* #,##0.000_-;_-* &quot;-&quot;???_-;_-@_-"/>
    <numFmt numFmtId="176" formatCode="_-&quot;R$&quot;\ * #,##0.0_-;\-&quot;R$&quot;\ * #,##0.0_-;_-&quot;R$&quot;\ * &quot;-&quot;??_-;_-@_-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28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8"/>
      <color theme="1"/>
      <name val="Arial Black"/>
      <family val="2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2"/>
      <color rgb="FFFF0000"/>
      <name val="Calibri"/>
      <family val="2"/>
      <scheme val="minor"/>
    </font>
    <font>
      <b/>
      <sz val="20"/>
      <color rgb="FFFFFFFF"/>
      <name val="Arial"/>
      <family val="2"/>
    </font>
    <font>
      <sz val="10"/>
      <name val="Calibri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FF0000"/>
      <name val="Calibri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FFFFFF"/>
      <name val="Arial"/>
      <family val="2"/>
    </font>
    <font>
      <sz val="9"/>
      <name val="Arial"/>
      <family val="2"/>
    </font>
    <font>
      <sz val="11"/>
      <color rgb="FF404040"/>
      <name val="Calibri"/>
      <family val="2"/>
      <scheme val="minor"/>
    </font>
    <font>
      <sz val="9"/>
      <color rgb="FF404040"/>
      <name val="Arial"/>
      <family val="2"/>
    </font>
    <font>
      <sz val="10"/>
      <color rgb="FF000000"/>
      <name val="Arial"/>
      <family val="2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Roboto"/>
      <family val="2"/>
      <charset val="1"/>
    </font>
    <font>
      <b/>
      <sz val="11"/>
      <color rgb="FF000000"/>
      <name val="Roboto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5"/>
      <color rgb="FF000000"/>
      <name val="Roboto"/>
    </font>
    <font>
      <b/>
      <sz val="11"/>
      <color rgb="FF000000"/>
      <name val="Calibri"/>
      <family val="2"/>
    </font>
    <font>
      <b/>
      <sz val="10"/>
      <name val="Calibri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sz val="10"/>
      <color rgb="FF333333"/>
      <name val="Arial"/>
      <family val="2"/>
    </font>
    <font>
      <u/>
      <sz val="11"/>
      <color theme="10"/>
      <name val="Calibri"/>
      <family val="2"/>
      <scheme val="minor"/>
    </font>
    <font>
      <b/>
      <sz val="10"/>
      <name val="Calibri"/>
      <family val="2"/>
    </font>
    <font>
      <b/>
      <sz val="18"/>
      <name val="Calibri"/>
      <family val="2"/>
      <scheme val="minor"/>
    </font>
    <font>
      <b/>
      <sz val="9.9"/>
      <color rgb="FFCC3300"/>
      <name val="Arial"/>
      <family val="2"/>
    </font>
    <font>
      <b/>
      <sz val="9.9"/>
      <color rgb="FF0033CC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</font>
    <font>
      <b/>
      <sz val="9.9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6"/>
      <color rgb="FF000000"/>
      <name val="Arial"/>
      <family val="2"/>
    </font>
    <font>
      <sz val="14"/>
      <color rgb="FFFFFFFF"/>
      <name val="Arial"/>
      <family val="2"/>
    </font>
    <font>
      <sz val="11"/>
      <color rgb="FF0D0D0D"/>
      <name val="Arial"/>
      <family val="2"/>
    </font>
    <font>
      <b/>
      <sz val="14"/>
      <color rgb="FF000000"/>
      <name val="Arial"/>
      <family val="2"/>
    </font>
    <font>
      <b/>
      <sz val="16"/>
      <color theme="5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6"/>
      <color rgb="FFE18F04"/>
      <name val="Verdana"/>
      <family val="2"/>
    </font>
    <font>
      <sz val="12"/>
      <color theme="1"/>
      <name val="Verdana"/>
      <family val="2"/>
    </font>
    <font>
      <b/>
      <sz val="14"/>
      <color rgb="FFE18F04"/>
      <name val="Verdana"/>
      <family val="2"/>
    </font>
    <font>
      <sz val="20"/>
      <color rgb="FF000000"/>
      <name val="Arial"/>
      <family val="2"/>
    </font>
    <font>
      <sz val="12"/>
      <color theme="0"/>
      <name val="Verdana"/>
      <family val="2"/>
    </font>
    <font>
      <b/>
      <sz val="16"/>
      <color rgb="FFE18F04"/>
      <name val="Arial"/>
      <family val="2"/>
    </font>
  </fonts>
  <fills count="7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006666"/>
        <bgColor rgb="FF006666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CCFFCC"/>
        <bgColor rgb="FFCCFFCC"/>
      </patternFill>
    </fill>
    <fill>
      <patternFill patternType="solid">
        <fgColor rgb="FF8EA9DB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0718E"/>
        <bgColor indexed="64"/>
      </patternFill>
    </fill>
    <fill>
      <patternFill patternType="solid">
        <fgColor rgb="FF7EECFC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DDEBF7"/>
      </patternFill>
    </fill>
    <fill>
      <patternFill patternType="solid">
        <fgColor rgb="FFFFE6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1F1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5DB4FB"/>
        <bgColor indexed="64"/>
      </patternFill>
    </fill>
    <fill>
      <patternFill patternType="solid">
        <fgColor rgb="FFF4FD7D"/>
        <bgColor indexed="64"/>
      </patternFill>
    </fill>
  </fills>
  <borders count="1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rgb="FF000000"/>
      </right>
      <top style="double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96">
    <xf numFmtId="0" fontId="0" fillId="0" borderId="0" xfId="0"/>
    <xf numFmtId="0" fontId="0" fillId="0" borderId="1" xfId="0" applyBorder="1"/>
    <xf numFmtId="0" fontId="0" fillId="8" borderId="1" xfId="0" applyFill="1" applyBorder="1" applyAlignment="1">
      <alignment horizontal="center" vertical="center"/>
    </xf>
    <xf numFmtId="0" fontId="0" fillId="11" borderId="1" xfId="0" applyFill="1" applyBorder="1"/>
    <xf numFmtId="9" fontId="0" fillId="0" borderId="1" xfId="3" applyFont="1" applyBorder="1"/>
    <xf numFmtId="164" fontId="0" fillId="0" borderId="1" xfId="3" applyNumberFormat="1" applyFont="1" applyBorder="1"/>
    <xf numFmtId="10" fontId="0" fillId="0" borderId="1" xfId="3" applyNumberFormat="1" applyFont="1" applyBorder="1"/>
    <xf numFmtId="165" fontId="0" fillId="0" borderId="1" xfId="3" applyNumberFormat="1" applyFont="1" applyBorder="1"/>
    <xf numFmtId="0" fontId="0" fillId="4" borderId="0" xfId="0" applyFill="1"/>
    <xf numFmtId="0" fontId="0" fillId="0" borderId="5" xfId="0" applyBorder="1"/>
    <xf numFmtId="0" fontId="0" fillId="11" borderId="5" xfId="0" applyFill="1" applyBorder="1"/>
    <xf numFmtId="0" fontId="5" fillId="0" borderId="0" xfId="0" applyFont="1" applyAlignment="1">
      <alignment vertical="center" wrapText="1"/>
    </xf>
    <xf numFmtId="17" fontId="5" fillId="14" borderId="13" xfId="0" applyNumberFormat="1" applyFont="1" applyFill="1" applyBorder="1" applyAlignment="1">
      <alignment horizontal="left" vertical="top" wrapText="1"/>
    </xf>
    <xf numFmtId="4" fontId="5" fillId="21" borderId="13" xfId="0" applyNumberFormat="1" applyFont="1" applyFill="1" applyBorder="1" applyAlignment="1">
      <alignment horizontal="center" vertical="center" wrapText="1"/>
    </xf>
    <xf numFmtId="43" fontId="5" fillId="22" borderId="1" xfId="0" applyNumberFormat="1" applyFont="1" applyFill="1" applyBorder="1" applyAlignment="1">
      <alignment horizontal="center" vertical="center"/>
    </xf>
    <xf numFmtId="4" fontId="5" fillId="22" borderId="13" xfId="0" applyNumberFormat="1" applyFont="1" applyFill="1" applyBorder="1" applyAlignment="1">
      <alignment horizontal="center" vertical="center" wrapText="1"/>
    </xf>
    <xf numFmtId="0" fontId="6" fillId="14" borderId="16" xfId="0" applyFont="1" applyFill="1" applyBorder="1" applyAlignment="1">
      <alignment horizontal="center" vertical="center" wrapText="1"/>
    </xf>
    <xf numFmtId="168" fontId="5" fillId="22" borderId="13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2" fontId="11" fillId="23" borderId="15" xfId="0" applyNumberFormat="1" applyFont="1" applyFill="1" applyBorder="1" applyAlignment="1">
      <alignment horizontal="center" vertical="center"/>
    </xf>
    <xf numFmtId="2" fontId="11" fillId="24" borderId="15" xfId="0" applyNumberFormat="1" applyFont="1" applyFill="1" applyBorder="1" applyAlignment="1">
      <alignment horizontal="center" vertical="center"/>
    </xf>
    <xf numFmtId="2" fontId="11" fillId="24" borderId="15" xfId="0" applyNumberFormat="1" applyFont="1" applyFill="1" applyBorder="1"/>
    <xf numFmtId="2" fontId="10" fillId="22" borderId="15" xfId="0" applyNumberFormat="1" applyFont="1" applyFill="1" applyBorder="1" applyAlignment="1">
      <alignment horizontal="center" vertical="center"/>
    </xf>
    <xf numFmtId="2" fontId="11" fillId="25" borderId="15" xfId="0" applyNumberFormat="1" applyFont="1" applyFill="1" applyBorder="1"/>
    <xf numFmtId="1" fontId="11" fillId="24" borderId="15" xfId="0" applyNumberFormat="1" applyFont="1" applyFill="1" applyBorder="1"/>
    <xf numFmtId="0" fontId="12" fillId="2" borderId="15" xfId="0" applyFont="1" applyFill="1" applyBorder="1" applyAlignment="1">
      <alignment horizontal="center" vertical="center"/>
    </xf>
    <xf numFmtId="44" fontId="12" fillId="0" borderId="15" xfId="2" applyFont="1" applyBorder="1" applyAlignment="1">
      <alignment horizontal="center" vertical="center"/>
    </xf>
    <xf numFmtId="0" fontId="12" fillId="26" borderId="15" xfId="0" applyFont="1" applyFill="1" applyBorder="1" applyAlignment="1">
      <alignment horizontal="center" vertical="center"/>
    </xf>
    <xf numFmtId="168" fontId="12" fillId="0" borderId="15" xfId="0" applyNumberFormat="1" applyFont="1" applyBorder="1" applyAlignment="1">
      <alignment horizontal="center" vertical="center"/>
    </xf>
    <xf numFmtId="0" fontId="14" fillId="0" borderId="0" xfId="0" applyFont="1"/>
    <xf numFmtId="49" fontId="21" fillId="0" borderId="25" xfId="0" applyNumberFormat="1" applyFont="1" applyBorder="1" applyAlignment="1">
      <alignment horizontal="center"/>
    </xf>
    <xf numFmtId="0" fontId="22" fillId="0" borderId="1" xfId="0" applyFont="1" applyBorder="1"/>
    <xf numFmtId="169" fontId="23" fillId="0" borderId="21" xfId="0" applyNumberFormat="1" applyFont="1" applyBorder="1" applyAlignment="1">
      <alignment horizontal="center"/>
    </xf>
    <xf numFmtId="169" fontId="23" fillId="0" borderId="21" xfId="0" quotePrefix="1" applyNumberFormat="1" applyFont="1" applyBorder="1" applyAlignment="1">
      <alignment horizontal="center"/>
    </xf>
    <xf numFmtId="169" fontId="15" fillId="31" borderId="20" xfId="0" applyNumberFormat="1" applyFont="1" applyFill="1" applyBorder="1" applyAlignment="1">
      <alignment horizontal="center"/>
    </xf>
    <xf numFmtId="169" fontId="15" fillId="30" borderId="19" xfId="0" applyNumberFormat="1" applyFont="1" applyFill="1" applyBorder="1" applyAlignment="1">
      <alignment horizontal="center"/>
    </xf>
    <xf numFmtId="9" fontId="15" fillId="0" borderId="21" xfId="0" applyNumberFormat="1" applyFont="1" applyBorder="1" applyAlignment="1">
      <alignment horizontal="center"/>
    </xf>
    <xf numFmtId="169" fontId="24" fillId="27" borderId="20" xfId="0" applyNumberFormat="1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170" fontId="15" fillId="0" borderId="21" xfId="0" applyNumberFormat="1" applyFont="1" applyBorder="1" applyAlignment="1">
      <alignment horizontal="center"/>
    </xf>
    <xf numFmtId="2" fontId="23" fillId="0" borderId="20" xfId="0" applyNumberFormat="1" applyFont="1" applyBorder="1" applyAlignment="1">
      <alignment horizontal="center"/>
    </xf>
    <xf numFmtId="2" fontId="23" fillId="0" borderId="21" xfId="0" applyNumberFormat="1" applyFont="1" applyBorder="1" applyAlignment="1">
      <alignment horizontal="center"/>
    </xf>
    <xf numFmtId="0" fontId="14" fillId="0" borderId="15" xfId="0" applyFont="1" applyBorder="1"/>
    <xf numFmtId="169" fontId="24" fillId="32" borderId="0" xfId="0" applyNumberFormat="1" applyFont="1" applyFill="1" applyAlignment="1">
      <alignment horizontal="center"/>
    </xf>
    <xf numFmtId="9" fontId="24" fillId="32" borderId="21" xfId="0" applyNumberFormat="1" applyFont="1" applyFill="1" applyBorder="1" applyAlignment="1">
      <alignment horizontal="center"/>
    </xf>
    <xf numFmtId="169" fontId="15" fillId="33" borderId="0" xfId="0" applyNumberFormat="1" applyFont="1" applyFill="1" applyAlignment="1">
      <alignment horizontal="center"/>
    </xf>
    <xf numFmtId="9" fontId="15" fillId="33" borderId="21" xfId="0" applyNumberFormat="1" applyFont="1" applyFill="1" applyBorder="1" applyAlignment="1">
      <alignment horizontal="center"/>
    </xf>
    <xf numFmtId="9" fontId="15" fillId="33" borderId="19" xfId="0" applyNumberFormat="1" applyFont="1" applyFill="1" applyBorder="1" applyAlignment="1">
      <alignment horizontal="center"/>
    </xf>
    <xf numFmtId="9" fontId="24" fillId="32" borderId="19" xfId="0" applyNumberFormat="1" applyFont="1" applyFill="1" applyBorder="1" applyAlignment="1">
      <alignment horizontal="center"/>
    </xf>
    <xf numFmtId="4" fontId="25" fillId="0" borderId="1" xfId="0" applyNumberFormat="1" applyFont="1" applyBorder="1" applyAlignment="1">
      <alignment horizontal="center"/>
    </xf>
    <xf numFmtId="0" fontId="26" fillId="0" borderId="1" xfId="0" applyFont="1" applyBorder="1"/>
    <xf numFmtId="4" fontId="27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 vertical="center" wrapText="1"/>
    </xf>
    <xf numFmtId="2" fontId="23" fillId="0" borderId="1" xfId="0" applyNumberFormat="1" applyFont="1" applyBorder="1" applyAlignment="1">
      <alignment horizontal="center"/>
    </xf>
    <xf numFmtId="0" fontId="28" fillId="0" borderId="1" xfId="0" applyFont="1" applyBorder="1"/>
    <xf numFmtId="2" fontId="25" fillId="0" borderId="1" xfId="0" applyNumberFormat="1" applyFont="1" applyBorder="1" applyAlignment="1">
      <alignment horizontal="center"/>
    </xf>
    <xf numFmtId="49" fontId="21" fillId="0" borderId="18" xfId="0" applyNumberFormat="1" applyFont="1" applyBorder="1" applyAlignment="1">
      <alignment horizontal="center"/>
    </xf>
    <xf numFmtId="0" fontId="14" fillId="0" borderId="21" xfId="0" applyFont="1" applyBorder="1"/>
    <xf numFmtId="169" fontId="24" fillId="27" borderId="21" xfId="0" applyNumberFormat="1" applyFont="1" applyFill="1" applyBorder="1" applyAlignment="1">
      <alignment horizontal="center"/>
    </xf>
    <xf numFmtId="0" fontId="29" fillId="26" borderId="15" xfId="0" applyFont="1" applyFill="1" applyBorder="1" applyAlignment="1">
      <alignment horizontal="center" vertical="center"/>
    </xf>
    <xf numFmtId="0" fontId="12" fillId="26" borderId="17" xfId="0" applyFont="1" applyFill="1" applyBorder="1" applyAlignment="1">
      <alignment horizontal="center" vertical="center"/>
    </xf>
    <xf numFmtId="0" fontId="0" fillId="0" borderId="15" xfId="0" applyBorder="1"/>
    <xf numFmtId="0" fontId="0" fillId="0" borderId="26" xfId="0" applyBorder="1"/>
    <xf numFmtId="0" fontId="31" fillId="22" borderId="18" xfId="0" applyFont="1" applyFill="1" applyBorder="1"/>
    <xf numFmtId="0" fontId="31" fillId="22" borderId="15" xfId="0" applyFont="1" applyFill="1" applyBorder="1"/>
    <xf numFmtId="168" fontId="12" fillId="21" borderId="15" xfId="0" applyNumberFormat="1" applyFont="1" applyFill="1" applyBorder="1" applyAlignment="1">
      <alignment horizontal="center" vertical="center"/>
    </xf>
    <xf numFmtId="0" fontId="0" fillId="36" borderId="0" xfId="0" applyFill="1"/>
    <xf numFmtId="0" fontId="12" fillId="36" borderId="15" xfId="0" applyFont="1" applyFill="1" applyBorder="1" applyAlignment="1">
      <alignment horizontal="center" vertical="center"/>
    </xf>
    <xf numFmtId="168" fontId="12" fillId="36" borderId="15" xfId="0" applyNumberFormat="1" applyFont="1" applyFill="1" applyBorder="1" applyAlignment="1">
      <alignment horizontal="center" vertical="center"/>
    </xf>
    <xf numFmtId="0" fontId="12" fillId="13" borderId="15" xfId="0" applyFont="1" applyFill="1" applyBorder="1" applyAlignment="1">
      <alignment horizontal="center" vertical="center"/>
    </xf>
    <xf numFmtId="0" fontId="12" fillId="13" borderId="17" xfId="0" applyFont="1" applyFill="1" applyBorder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168" fontId="34" fillId="4" borderId="0" xfId="0" applyNumberFormat="1" applyFont="1" applyFill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29" fillId="26" borderId="1" xfId="0" applyFont="1" applyFill="1" applyBorder="1" applyAlignment="1">
      <alignment horizontal="center" vertical="center"/>
    </xf>
    <xf numFmtId="44" fontId="12" fillId="0" borderId="1" xfId="2" applyFont="1" applyBorder="1" applyAlignment="1">
      <alignment horizontal="center" vertical="center"/>
    </xf>
    <xf numFmtId="43" fontId="2" fillId="18" borderId="4" xfId="1" applyFont="1" applyFill="1" applyBorder="1" applyAlignment="1">
      <alignment vertical="center"/>
    </xf>
    <xf numFmtId="168" fontId="34" fillId="4" borderId="0" xfId="0" applyNumberFormat="1" applyFont="1" applyFill="1" applyAlignment="1">
      <alignment vertical="center"/>
    </xf>
    <xf numFmtId="43" fontId="2" fillId="3" borderId="15" xfId="0" applyNumberFormat="1" applyFont="1" applyFill="1" applyBorder="1" applyAlignment="1">
      <alignment horizontal="center" vertical="center"/>
    </xf>
    <xf numFmtId="44" fontId="2" fillId="3" borderId="3" xfId="2" applyFont="1" applyFill="1" applyBorder="1" applyAlignment="1">
      <alignment horizontal="center" vertical="center"/>
    </xf>
    <xf numFmtId="43" fontId="0" fillId="0" borderId="15" xfId="1" applyFont="1" applyBorder="1"/>
    <xf numFmtId="172" fontId="12" fillId="0" borderId="15" xfId="2" applyNumberFormat="1" applyFont="1" applyBorder="1" applyAlignment="1">
      <alignment horizontal="center" vertical="center"/>
    </xf>
    <xf numFmtId="0" fontId="32" fillId="38" borderId="17" xfId="0" applyFont="1" applyFill="1" applyBorder="1" applyAlignment="1">
      <alignment horizontal="center" vertical="center"/>
    </xf>
    <xf numFmtId="0" fontId="2" fillId="40" borderId="30" xfId="0" applyFont="1" applyFill="1" applyBorder="1" applyAlignment="1">
      <alignment horizontal="center" vertical="center"/>
    </xf>
    <xf numFmtId="14" fontId="2" fillId="40" borderId="31" xfId="2" applyNumberFormat="1" applyFont="1" applyFill="1" applyBorder="1" applyAlignment="1">
      <alignment horizontal="center" vertical="center"/>
    </xf>
    <xf numFmtId="43" fontId="12" fillId="0" borderId="14" xfId="0" applyNumberFormat="1" applyFon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2" fillId="40" borderId="15" xfId="0" applyFon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43" fontId="2" fillId="18" borderId="15" xfId="1" applyFont="1" applyFill="1" applyBorder="1" applyAlignment="1">
      <alignment vertical="center"/>
    </xf>
    <xf numFmtId="14" fontId="2" fillId="40" borderId="15" xfId="2" applyNumberFormat="1" applyFont="1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44" fontId="2" fillId="3" borderId="15" xfId="2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44" fontId="12" fillId="0" borderId="7" xfId="2" applyFont="1" applyBorder="1" applyAlignment="1">
      <alignment horizontal="center" vertical="center"/>
    </xf>
    <xf numFmtId="43" fontId="12" fillId="0" borderId="34" xfId="0" applyNumberFormat="1" applyFont="1" applyBorder="1" applyAlignment="1">
      <alignment horizontal="center" vertical="center"/>
    </xf>
    <xf numFmtId="14" fontId="2" fillId="40" borderId="35" xfId="0" applyNumberFormat="1" applyFont="1" applyFill="1" applyBorder="1" applyAlignment="1">
      <alignment horizontal="center" vertical="center"/>
    </xf>
    <xf numFmtId="173" fontId="2" fillId="0" borderId="31" xfId="0" applyNumberFormat="1" applyFont="1" applyBorder="1"/>
    <xf numFmtId="43" fontId="5" fillId="40" borderId="1" xfId="0" applyNumberFormat="1" applyFont="1" applyFill="1" applyBorder="1" applyAlignment="1">
      <alignment horizontal="center" vertical="center"/>
    </xf>
    <xf numFmtId="4" fontId="5" fillId="40" borderId="13" xfId="0" applyNumberFormat="1" applyFont="1" applyFill="1" applyBorder="1" applyAlignment="1">
      <alignment horizontal="center" vertical="center" wrapText="1"/>
    </xf>
    <xf numFmtId="168" fontId="5" fillId="40" borderId="13" xfId="0" applyNumberFormat="1" applyFont="1" applyFill="1" applyBorder="1" applyAlignment="1">
      <alignment horizontal="center" vertical="center" wrapText="1"/>
    </xf>
    <xf numFmtId="43" fontId="5" fillId="21" borderId="1" xfId="0" applyNumberFormat="1" applyFont="1" applyFill="1" applyBorder="1" applyAlignment="1">
      <alignment horizontal="center" vertical="center"/>
    </xf>
    <xf numFmtId="168" fontId="5" fillId="21" borderId="13" xfId="0" applyNumberFormat="1" applyFont="1" applyFill="1" applyBorder="1" applyAlignment="1">
      <alignment horizontal="center" vertical="center" wrapText="1"/>
    </xf>
    <xf numFmtId="0" fontId="6" fillId="14" borderId="36" xfId="0" applyFont="1" applyFill="1" applyBorder="1" applyAlignment="1">
      <alignment horizontal="center" vertical="center" wrapText="1"/>
    </xf>
    <xf numFmtId="168" fontId="5" fillId="43" borderId="37" xfId="0" applyNumberFormat="1" applyFont="1" applyFill="1" applyBorder="1" applyAlignment="1">
      <alignment horizontal="center" vertical="center" wrapText="1"/>
    </xf>
    <xf numFmtId="0" fontId="32" fillId="40" borderId="44" xfId="0" applyFont="1" applyFill="1" applyBorder="1" applyAlignment="1">
      <alignment horizontal="center" vertical="center"/>
    </xf>
    <xf numFmtId="0" fontId="31" fillId="41" borderId="30" xfId="0" applyFont="1" applyFill="1" applyBorder="1"/>
    <xf numFmtId="0" fontId="31" fillId="41" borderId="31" xfId="0" applyFont="1" applyFill="1" applyBorder="1" applyAlignment="1">
      <alignment horizontal="center" vertical="center"/>
    </xf>
    <xf numFmtId="0" fontId="0" fillId="37" borderId="0" xfId="0" applyFill="1"/>
    <xf numFmtId="168" fontId="5" fillId="44" borderId="13" xfId="0" applyNumberFormat="1" applyFont="1" applyFill="1" applyBorder="1" applyAlignment="1">
      <alignment horizontal="center" vertical="center" wrapText="1"/>
    </xf>
    <xf numFmtId="168" fontId="5" fillId="44" borderId="37" xfId="0" applyNumberFormat="1" applyFont="1" applyFill="1" applyBorder="1" applyAlignment="1">
      <alignment horizontal="center" vertical="center" wrapText="1"/>
    </xf>
    <xf numFmtId="0" fontId="0" fillId="43" borderId="15" xfId="0" applyFill="1" applyBorder="1" applyAlignment="1">
      <alignment horizontal="center" vertical="center"/>
    </xf>
    <xf numFmtId="8" fontId="18" fillId="0" borderId="0" xfId="0" applyNumberFormat="1" applyFont="1" applyAlignment="1">
      <alignment horizontal="center" vertical="center"/>
    </xf>
    <xf numFmtId="0" fontId="0" fillId="43" borderId="17" xfId="0" applyFill="1" applyBorder="1" applyAlignment="1">
      <alignment horizontal="center" vertical="center"/>
    </xf>
    <xf numFmtId="172" fontId="18" fillId="0" borderId="0" xfId="0" applyNumberFormat="1" applyFont="1" applyAlignment="1">
      <alignment horizontal="center" vertical="center"/>
    </xf>
    <xf numFmtId="0" fontId="38" fillId="0" borderId="15" xfId="0" applyFont="1" applyBorder="1" applyAlignment="1">
      <alignment horizontal="left" vertical="center" wrapText="1"/>
    </xf>
    <xf numFmtId="0" fontId="38" fillId="0" borderId="15" xfId="0" applyFont="1" applyBorder="1" applyAlignment="1">
      <alignment horizontal="left" wrapText="1"/>
    </xf>
    <xf numFmtId="0" fontId="39" fillId="21" borderId="15" xfId="0" applyFont="1" applyFill="1" applyBorder="1" applyAlignment="1">
      <alignment horizontal="left" wrapText="1"/>
    </xf>
    <xf numFmtId="0" fontId="40" fillId="21" borderId="15" xfId="0" applyFont="1" applyFill="1" applyBorder="1" applyAlignment="1">
      <alignment horizontal="left" vertical="center" wrapText="1"/>
    </xf>
    <xf numFmtId="0" fontId="40" fillId="21" borderId="15" xfId="0" applyFont="1" applyFill="1" applyBorder="1" applyAlignment="1">
      <alignment horizontal="left" wrapText="1"/>
    </xf>
    <xf numFmtId="172" fontId="18" fillId="0" borderId="27" xfId="0" applyNumberFormat="1" applyFont="1" applyBorder="1" applyAlignment="1">
      <alignment horizontal="center" vertical="center"/>
    </xf>
    <xf numFmtId="172" fontId="0" fillId="0" borderId="27" xfId="0" applyNumberFormat="1" applyBorder="1"/>
    <xf numFmtId="172" fontId="0" fillId="0" borderId="28" xfId="0" applyNumberFormat="1" applyBorder="1"/>
    <xf numFmtId="0" fontId="22" fillId="0" borderId="1" xfId="0" applyFont="1" applyBorder="1" applyAlignment="1">
      <alignment horizontal="left" wrapText="1"/>
    </xf>
    <xf numFmtId="49" fontId="21" fillId="0" borderId="18" xfId="0" applyNumberFormat="1" applyFont="1" applyBorder="1" applyAlignment="1">
      <alignment horizontal="center" vertical="center"/>
    </xf>
    <xf numFmtId="0" fontId="30" fillId="22" borderId="23" xfId="0" applyFont="1" applyFill="1" applyBorder="1"/>
    <xf numFmtId="44" fontId="2" fillId="3" borderId="26" xfId="2" applyFont="1" applyFill="1" applyBorder="1" applyAlignment="1">
      <alignment horizontal="center" vertical="center"/>
    </xf>
    <xf numFmtId="0" fontId="2" fillId="40" borderId="44" xfId="0" applyFont="1" applyFill="1" applyBorder="1" applyAlignment="1">
      <alignment horizontal="center" vertical="center"/>
    </xf>
    <xf numFmtId="0" fontId="32" fillId="22" borderId="17" xfId="0" applyFont="1" applyFill="1" applyBorder="1"/>
    <xf numFmtId="172" fontId="0" fillId="0" borderId="0" xfId="0" applyNumberFormat="1"/>
    <xf numFmtId="172" fontId="0" fillId="0" borderId="15" xfId="0" applyNumberFormat="1" applyBorder="1"/>
    <xf numFmtId="0" fontId="38" fillId="0" borderId="17" xfId="0" applyFont="1" applyBorder="1" applyAlignment="1">
      <alignment horizontal="left" vertical="center" wrapText="1"/>
    </xf>
    <xf numFmtId="0" fontId="0" fillId="0" borderId="17" xfId="0" applyBorder="1" applyAlignment="1">
      <alignment horizontal="center" vertical="center"/>
    </xf>
    <xf numFmtId="172" fontId="0" fillId="0" borderId="50" xfId="0" applyNumberFormat="1" applyBorder="1"/>
    <xf numFmtId="0" fontId="38" fillId="0" borderId="18" xfId="0" applyFont="1" applyBorder="1" applyAlignment="1">
      <alignment horizontal="left" wrapText="1"/>
    </xf>
    <xf numFmtId="172" fontId="18" fillId="0" borderId="20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72" fontId="0" fillId="0" borderId="21" xfId="0" applyNumberFormat="1" applyBorder="1"/>
    <xf numFmtId="0" fontId="18" fillId="21" borderId="15" xfId="0" applyFont="1" applyFill="1" applyBorder="1" applyAlignment="1">
      <alignment wrapText="1"/>
    </xf>
    <xf numFmtId="8" fontId="18" fillId="0" borderId="28" xfId="0" applyNumberFormat="1" applyFont="1" applyBorder="1" applyAlignment="1">
      <alignment horizontal="center" vertical="center"/>
    </xf>
    <xf numFmtId="0" fontId="2" fillId="0" borderId="15" xfId="0" applyFont="1" applyBorder="1"/>
    <xf numFmtId="0" fontId="12" fillId="50" borderId="15" xfId="0" applyFont="1" applyFill="1" applyBorder="1" applyAlignment="1">
      <alignment horizontal="center" vertical="center"/>
    </xf>
    <xf numFmtId="0" fontId="45" fillId="51" borderId="15" xfId="0" applyFont="1" applyFill="1" applyBorder="1" applyAlignment="1"/>
    <xf numFmtId="0" fontId="31" fillId="0" borderId="15" xfId="0" applyFont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17" fontId="2" fillId="43" borderId="15" xfId="0" applyNumberFormat="1" applyFont="1" applyFill="1" applyBorder="1"/>
    <xf numFmtId="0" fontId="32" fillId="0" borderId="15" xfId="0" applyFont="1" applyBorder="1" applyAlignment="1">
      <alignment horizontal="center" vertical="center"/>
    </xf>
    <xf numFmtId="0" fontId="32" fillId="8" borderId="26" xfId="0" applyFont="1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2" fillId="39" borderId="15" xfId="0" applyFont="1" applyFill="1" applyBorder="1"/>
    <xf numFmtId="0" fontId="2" fillId="39" borderId="15" xfId="0" applyFont="1" applyFill="1" applyBorder="1" applyAlignment="1">
      <alignment horizontal="center" vertical="center"/>
    </xf>
    <xf numFmtId="17" fontId="31" fillId="21" borderId="15" xfId="0" applyNumberFormat="1" applyFont="1" applyFill="1" applyBorder="1" applyAlignment="1">
      <alignment horizontal="left" vertical="center"/>
    </xf>
    <xf numFmtId="0" fontId="2" fillId="35" borderId="15" xfId="0" applyFont="1" applyFill="1" applyBorder="1" applyAlignment="1">
      <alignment horizontal="center" vertical="center"/>
    </xf>
    <xf numFmtId="0" fontId="2" fillId="39" borderId="26" xfId="0" applyFont="1" applyFill="1" applyBorder="1" applyAlignment="1">
      <alignment horizontal="center" vertical="center"/>
    </xf>
    <xf numFmtId="17" fontId="31" fillId="21" borderId="28" xfId="0" applyNumberFormat="1" applyFont="1" applyFill="1" applyBorder="1" applyAlignment="1">
      <alignment horizontal="left" vertical="center"/>
    </xf>
    <xf numFmtId="0" fontId="2" fillId="35" borderId="17" xfId="0" applyFont="1" applyFill="1" applyBorder="1" applyAlignment="1">
      <alignment horizontal="center" vertical="center"/>
    </xf>
    <xf numFmtId="0" fontId="31" fillId="54" borderId="26" xfId="0" applyFont="1" applyFill="1" applyBorder="1" applyAlignment="1">
      <alignment horizontal="center" vertical="center"/>
    </xf>
    <xf numFmtId="0" fontId="2" fillId="21" borderId="26" xfId="0" applyFont="1" applyFill="1" applyBorder="1"/>
    <xf numFmtId="0" fontId="2" fillId="0" borderId="17" xfId="0" applyFont="1" applyBorder="1" applyAlignment="1">
      <alignment horizontal="center" vertical="center"/>
    </xf>
    <xf numFmtId="0" fontId="32" fillId="53" borderId="15" xfId="0" applyFont="1" applyFill="1" applyBorder="1" applyAlignment="1">
      <alignment horizontal="center" vertical="center"/>
    </xf>
    <xf numFmtId="0" fontId="46" fillId="0" borderId="15" xfId="0" applyFont="1" applyBorder="1" applyAlignment="1">
      <alignment horizontal="center" vertical="center"/>
    </xf>
    <xf numFmtId="0" fontId="46" fillId="0" borderId="17" xfId="0" applyFont="1" applyBorder="1" applyAlignment="1">
      <alignment horizontal="center" vertical="center"/>
    </xf>
    <xf numFmtId="0" fontId="19" fillId="22" borderId="20" xfId="0" applyFont="1" applyFill="1" applyBorder="1" applyAlignment="1">
      <alignment horizontal="center" vertical="center"/>
    </xf>
    <xf numFmtId="168" fontId="20" fillId="0" borderId="20" xfId="0" applyNumberFormat="1" applyFont="1" applyBorder="1" applyAlignment="1">
      <alignment horizontal="center" vertical="center"/>
    </xf>
    <xf numFmtId="0" fontId="46" fillId="56" borderId="15" xfId="0" applyFont="1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2" fontId="52" fillId="0" borderId="0" xfId="0" applyNumberFormat="1" applyFont="1" applyAlignment="1" applyProtection="1">
      <alignment vertical="center" wrapText="1"/>
      <protection hidden="1"/>
    </xf>
    <xf numFmtId="2" fontId="52" fillId="0" borderId="9" xfId="0" applyNumberFormat="1" applyFont="1" applyBorder="1" applyAlignment="1" applyProtection="1">
      <alignment vertical="center" wrapText="1"/>
      <protection hidden="1"/>
    </xf>
    <xf numFmtId="0" fontId="47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8" fillId="0" borderId="4" xfId="0" applyFont="1" applyBorder="1" applyAlignment="1">
      <alignment horizontal="center" vertical="center"/>
    </xf>
    <xf numFmtId="0" fontId="47" fillId="57" borderId="1" xfId="0" applyFont="1" applyFill="1" applyBorder="1" applyAlignment="1">
      <alignment horizontal="center" vertical="center"/>
    </xf>
    <xf numFmtId="0" fontId="31" fillId="57" borderId="1" xfId="0" applyFont="1" applyFill="1" applyBorder="1" applyAlignment="1">
      <alignment horizontal="center" vertical="center"/>
    </xf>
    <xf numFmtId="2" fontId="53" fillId="57" borderId="1" xfId="0" applyNumberFormat="1" applyFont="1" applyFill="1" applyBorder="1" applyAlignment="1" applyProtection="1">
      <alignment horizontal="center" vertical="center" wrapText="1"/>
      <protection hidden="1"/>
    </xf>
    <xf numFmtId="44" fontId="2" fillId="5" borderId="1" xfId="2" applyFont="1" applyFill="1" applyBorder="1" applyAlignment="1">
      <alignment vertical="center"/>
    </xf>
    <xf numFmtId="43" fontId="47" fillId="5" borderId="7" xfId="1" applyFont="1" applyFill="1" applyBorder="1" applyAlignment="1">
      <alignment horizontal="center" vertical="center"/>
    </xf>
    <xf numFmtId="44" fontId="47" fillId="41" borderId="4" xfId="2" applyFont="1" applyFill="1" applyBorder="1" applyAlignment="1">
      <alignment horizontal="center" vertical="center"/>
    </xf>
    <xf numFmtId="44" fontId="47" fillId="41" borderId="1" xfId="2" applyFont="1" applyFill="1" applyBorder="1" applyAlignment="1">
      <alignment horizontal="center" vertical="center"/>
    </xf>
    <xf numFmtId="44" fontId="31" fillId="62" borderId="1" xfId="0" applyNumberFormat="1" applyFont="1" applyFill="1" applyBorder="1" applyAlignment="1">
      <alignment horizontal="center" vertical="center"/>
    </xf>
    <xf numFmtId="43" fontId="12" fillId="0" borderId="15" xfId="0" applyNumberFormat="1" applyFont="1" applyBorder="1" applyAlignment="1">
      <alignment horizontal="center" vertical="center"/>
    </xf>
    <xf numFmtId="172" fontId="0" fillId="0" borderId="1" xfId="0" applyNumberFormat="1" applyBorder="1"/>
    <xf numFmtId="44" fontId="2" fillId="63" borderId="1" xfId="2" applyFont="1" applyFill="1" applyBorder="1" applyAlignment="1">
      <alignment vertical="center"/>
    </xf>
    <xf numFmtId="0" fontId="2" fillId="63" borderId="1" xfId="0" applyFont="1" applyFill="1" applyBorder="1" applyAlignment="1">
      <alignment horizontal="center" vertical="center"/>
    </xf>
    <xf numFmtId="44" fontId="29" fillId="58" borderId="56" xfId="2" applyFont="1" applyFill="1" applyBorder="1" applyAlignment="1"/>
    <xf numFmtId="0" fontId="2" fillId="63" borderId="56" xfId="0" applyFont="1" applyFill="1" applyBorder="1" applyAlignment="1">
      <alignment horizontal="center" vertical="center"/>
    </xf>
    <xf numFmtId="167" fontId="2" fillId="58" borderId="63" xfId="1" applyNumberFormat="1" applyFont="1" applyFill="1" applyBorder="1" applyAlignment="1">
      <alignment vertical="center"/>
    </xf>
    <xf numFmtId="166" fontId="2" fillId="59" borderId="4" xfId="1" applyNumberFormat="1" applyFont="1" applyFill="1" applyBorder="1" applyAlignment="1">
      <alignment horizontal="center" vertical="center"/>
    </xf>
    <xf numFmtId="44" fontId="29" fillId="58" borderId="62" xfId="2" applyFont="1" applyFill="1" applyBorder="1" applyAlignment="1"/>
    <xf numFmtId="43" fontId="2" fillId="18" borderId="65" xfId="1" applyFont="1" applyFill="1" applyBorder="1" applyAlignment="1">
      <alignment horizontal="center" vertical="center"/>
    </xf>
    <xf numFmtId="44" fontId="2" fillId="13" borderId="66" xfId="2" applyFont="1" applyFill="1" applyBorder="1" applyAlignment="1">
      <alignment horizontal="center" vertical="center"/>
    </xf>
    <xf numFmtId="0" fontId="2" fillId="18" borderId="64" xfId="0" applyFont="1" applyFill="1" applyBorder="1" applyAlignment="1">
      <alignment horizontal="center"/>
    </xf>
    <xf numFmtId="0" fontId="2" fillId="0" borderId="1" xfId="4" applyFont="1" applyBorder="1"/>
    <xf numFmtId="0" fontId="2" fillId="0" borderId="4" xfId="4" applyFont="1" applyBorder="1"/>
    <xf numFmtId="0" fontId="2" fillId="16" borderId="1" xfId="0" applyFont="1" applyFill="1" applyBorder="1" applyAlignment="1">
      <alignment horizontal="center" vertical="center"/>
    </xf>
    <xf numFmtId="0" fontId="2" fillId="16" borderId="1" xfId="0" applyFont="1" applyFill="1" applyBorder="1"/>
    <xf numFmtId="172" fontId="0" fillId="0" borderId="2" xfId="0" applyNumberFormat="1" applyBorder="1" applyAlignment="1">
      <alignment vertical="center"/>
    </xf>
    <xf numFmtId="172" fontId="2" fillId="0" borderId="1" xfId="0" applyNumberFormat="1" applyFont="1" applyBorder="1"/>
    <xf numFmtId="0" fontId="2" fillId="16" borderId="4" xfId="0" applyFont="1" applyFill="1" applyBorder="1" applyAlignment="1">
      <alignment horizontal="center" vertical="center"/>
    </xf>
    <xf numFmtId="43" fontId="2" fillId="65" borderId="26" xfId="0" applyNumberFormat="1" applyFont="1" applyFill="1" applyBorder="1"/>
    <xf numFmtId="0" fontId="12" fillId="36" borderId="0" xfId="0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center" vertical="center"/>
    </xf>
    <xf numFmtId="0" fontId="12" fillId="50" borderId="17" xfId="0" applyFont="1" applyFill="1" applyBorder="1" applyAlignment="1">
      <alignment horizontal="center" vertical="center" wrapText="1"/>
    </xf>
    <xf numFmtId="1" fontId="0" fillId="0" borderId="15" xfId="0" applyNumberFormat="1" applyBorder="1"/>
    <xf numFmtId="0" fontId="32" fillId="22" borderId="17" xfId="0" applyFont="1" applyFill="1" applyBorder="1" applyAlignment="1">
      <alignment horizontal="center" vertical="center"/>
    </xf>
    <xf numFmtId="0" fontId="32" fillId="22" borderId="17" xfId="0" applyFont="1" applyFill="1" applyBorder="1" applyAlignment="1">
      <alignment horizontal="center" vertical="center" wrapText="1"/>
    </xf>
    <xf numFmtId="172" fontId="2" fillId="0" borderId="15" xfId="0" applyNumberFormat="1" applyFont="1" applyBorder="1"/>
    <xf numFmtId="1" fontId="2" fillId="0" borderId="15" xfId="0" applyNumberFormat="1" applyFont="1" applyBorder="1"/>
    <xf numFmtId="0" fontId="32" fillId="0" borderId="1" xfId="0" applyFont="1" applyBorder="1" applyAlignment="1">
      <alignment wrapText="1"/>
    </xf>
    <xf numFmtId="0" fontId="2" fillId="0" borderId="1" xfId="0" applyFont="1" applyBorder="1"/>
    <xf numFmtId="44" fontId="2" fillId="0" borderId="1" xfId="2" applyFont="1" applyBorder="1"/>
    <xf numFmtId="172" fontId="0" fillId="0" borderId="26" xfId="0" applyNumberFormat="1" applyBorder="1"/>
    <xf numFmtId="44" fontId="0" fillId="0" borderId="15" xfId="2" applyFont="1" applyBorder="1"/>
    <xf numFmtId="0" fontId="32" fillId="22" borderId="22" xfId="0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/>
    </xf>
    <xf numFmtId="0" fontId="0" fillId="36" borderId="1" xfId="0" applyFill="1" applyBorder="1"/>
    <xf numFmtId="0" fontId="30" fillId="0" borderId="0" xfId="0" applyFont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0" xfId="0" applyFont="1"/>
    <xf numFmtId="0" fontId="0" fillId="26" borderId="20" xfId="0" applyFill="1" applyBorder="1" applyAlignment="1">
      <alignment horizontal="center" vertical="center"/>
    </xf>
    <xf numFmtId="168" fontId="0" fillId="0" borderId="27" xfId="0" applyNumberFormat="1" applyBorder="1" applyAlignment="1">
      <alignment horizontal="center" vertical="center"/>
    </xf>
    <xf numFmtId="0" fontId="22" fillId="0" borderId="0" xfId="0" applyFont="1"/>
    <xf numFmtId="0" fontId="56" fillId="56" borderId="15" xfId="0" applyFont="1" applyFill="1" applyBorder="1" applyAlignment="1">
      <alignment horizontal="center" vertical="center"/>
    </xf>
    <xf numFmtId="0" fontId="56" fillId="0" borderId="17" xfId="0" applyFont="1" applyBorder="1" applyAlignment="1">
      <alignment horizontal="center" vertical="center"/>
    </xf>
    <xf numFmtId="0" fontId="22" fillId="46" borderId="1" xfId="0" applyFont="1" applyFill="1" applyBorder="1"/>
    <xf numFmtId="0" fontId="57" fillId="66" borderId="1" xfId="0" applyFont="1" applyFill="1" applyBorder="1" applyAlignment="1">
      <alignment horizontal="center" vertical="center"/>
    </xf>
    <xf numFmtId="0" fontId="12" fillId="46" borderId="15" xfId="0" applyFont="1" applyFill="1" applyBorder="1" applyAlignment="1">
      <alignment horizontal="center" vertical="center"/>
    </xf>
    <xf numFmtId="0" fontId="29" fillId="46" borderId="26" xfId="0" applyFont="1" applyFill="1" applyBorder="1" applyAlignment="1">
      <alignment horizontal="center" vertical="center"/>
    </xf>
    <xf numFmtId="0" fontId="29" fillId="46" borderId="1" xfId="0" applyFont="1" applyFill="1" applyBorder="1" applyAlignment="1">
      <alignment horizontal="center" vertical="center"/>
    </xf>
    <xf numFmtId="0" fontId="61" fillId="0" borderId="0" xfId="0" applyFont="1"/>
    <xf numFmtId="0" fontId="62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0" fillId="43" borderId="23" xfId="0" applyFill="1" applyBorder="1" applyAlignment="1">
      <alignment horizontal="center" vertical="center"/>
    </xf>
    <xf numFmtId="0" fontId="0" fillId="0" borderId="13" xfId="0" applyBorder="1"/>
    <xf numFmtId="0" fontId="60" fillId="0" borderId="0" xfId="0" applyFont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58" fillId="67" borderId="1" xfId="0" applyFont="1" applyFill="1" applyBorder="1" applyAlignment="1">
      <alignment horizontal="center" vertical="center" wrapText="1"/>
    </xf>
    <xf numFmtId="0" fontId="59" fillId="67" borderId="1" xfId="0" applyFont="1" applyFill="1" applyBorder="1" applyAlignment="1">
      <alignment horizontal="center" vertical="center" wrapText="1"/>
    </xf>
    <xf numFmtId="0" fontId="63" fillId="67" borderId="1" xfId="0" applyFont="1" applyFill="1" applyBorder="1" applyAlignment="1">
      <alignment horizontal="center" vertical="center" wrapText="1"/>
    </xf>
    <xf numFmtId="0" fontId="58" fillId="69" borderId="15" xfId="0" applyFont="1" applyFill="1" applyBorder="1" applyAlignment="1">
      <alignment horizontal="center" vertical="center" wrapText="1"/>
    </xf>
    <xf numFmtId="0" fontId="59" fillId="69" borderId="15" xfId="0" applyFont="1" applyFill="1" applyBorder="1" applyAlignment="1">
      <alignment horizontal="center" vertical="center" wrapText="1"/>
    </xf>
    <xf numFmtId="0" fontId="63" fillId="69" borderId="15" xfId="0" applyFont="1" applyFill="1" applyBorder="1" applyAlignment="1">
      <alignment horizontal="center" vertical="center" wrapText="1"/>
    </xf>
    <xf numFmtId="0" fontId="58" fillId="67" borderId="15" xfId="0" applyFont="1" applyFill="1" applyBorder="1" applyAlignment="1">
      <alignment horizontal="center" vertical="center" wrapText="1"/>
    </xf>
    <xf numFmtId="0" fontId="59" fillId="67" borderId="15" xfId="0" applyFont="1" applyFill="1" applyBorder="1" applyAlignment="1">
      <alignment horizontal="center" vertical="center" wrapText="1"/>
    </xf>
    <xf numFmtId="0" fontId="63" fillId="67" borderId="15" xfId="0" applyFont="1" applyFill="1" applyBorder="1" applyAlignment="1">
      <alignment horizontal="center" vertical="center" wrapText="1"/>
    </xf>
    <xf numFmtId="0" fontId="2" fillId="3" borderId="75" xfId="0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1" fontId="63" fillId="67" borderId="57" xfId="0" applyNumberFormat="1" applyFont="1" applyFill="1" applyBorder="1" applyAlignment="1">
      <alignment horizontal="center" vertical="center" wrapText="1"/>
    </xf>
    <xf numFmtId="2" fontId="63" fillId="67" borderId="59" xfId="0" applyNumberFormat="1" applyFont="1" applyFill="1" applyBorder="1" applyAlignment="1">
      <alignment horizontal="center" vertical="center" wrapText="1"/>
    </xf>
    <xf numFmtId="0" fontId="2" fillId="70" borderId="0" xfId="0" applyFont="1" applyFill="1" applyAlignment="1">
      <alignment horizontal="center" vertical="center"/>
    </xf>
    <xf numFmtId="0" fontId="32" fillId="50" borderId="60" xfId="0" applyFont="1" applyFill="1" applyBorder="1" applyAlignment="1">
      <alignment vertical="center" wrapText="1"/>
    </xf>
    <xf numFmtId="17" fontId="32" fillId="52" borderId="77" xfId="0" applyNumberFormat="1" applyFont="1" applyFill="1" applyBorder="1"/>
    <xf numFmtId="0" fontId="32" fillId="50" borderId="78" xfId="0" applyFont="1" applyFill="1" applyBorder="1" applyAlignment="1">
      <alignment vertical="center" wrapText="1"/>
    </xf>
    <xf numFmtId="17" fontId="32" fillId="52" borderId="80" xfId="0" applyNumberFormat="1" applyFont="1" applyFill="1" applyBorder="1"/>
    <xf numFmtId="0" fontId="2" fillId="50" borderId="70" xfId="0" applyFont="1" applyFill="1" applyBorder="1" applyAlignment="1">
      <alignment horizontal="center" vertical="center"/>
    </xf>
    <xf numFmtId="0" fontId="2" fillId="70" borderId="6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1" fillId="23" borderId="28" xfId="0" applyFont="1" applyFill="1" applyBorder="1" applyAlignment="1">
      <alignment horizontal="center" vertical="center"/>
    </xf>
    <xf numFmtId="43" fontId="0" fillId="21" borderId="82" xfId="0" applyNumberFormat="1" applyFill="1" applyBorder="1"/>
    <xf numFmtId="43" fontId="0" fillId="0" borderId="56" xfId="0" applyNumberFormat="1" applyBorder="1"/>
    <xf numFmtId="43" fontId="0" fillId="21" borderId="83" xfId="0" applyNumberFormat="1" applyFill="1" applyBorder="1"/>
    <xf numFmtId="0" fontId="2" fillId="0" borderId="84" xfId="0" applyFont="1" applyBorder="1" applyAlignment="1">
      <alignment horizontal="center" vertical="center"/>
    </xf>
    <xf numFmtId="43" fontId="2" fillId="65" borderId="85" xfId="0" applyNumberFormat="1" applyFont="1" applyFill="1" applyBorder="1"/>
    <xf numFmtId="43" fontId="0" fillId="0" borderId="59" xfId="0" applyNumberFormat="1" applyBorder="1"/>
    <xf numFmtId="43" fontId="2" fillId="0" borderId="0" xfId="1" applyFont="1" applyBorder="1" applyAlignment="1">
      <alignment vertical="center"/>
    </xf>
    <xf numFmtId="0" fontId="0" fillId="0" borderId="0" xfId="0" applyBorder="1"/>
    <xf numFmtId="0" fontId="31" fillId="41" borderId="87" xfId="0" applyFont="1" applyFill="1" applyBorder="1"/>
    <xf numFmtId="0" fontId="31" fillId="41" borderId="88" xfId="0" applyFont="1" applyFill="1" applyBorder="1" applyAlignment="1">
      <alignment horizontal="center" vertical="center"/>
    </xf>
    <xf numFmtId="0" fontId="32" fillId="40" borderId="89" xfId="0" applyFont="1" applyFill="1" applyBorder="1" applyAlignment="1">
      <alignment horizontal="center" vertical="center"/>
    </xf>
    <xf numFmtId="14" fontId="2" fillId="40" borderId="90" xfId="0" applyNumberFormat="1" applyFont="1" applyFill="1" applyBorder="1" applyAlignment="1">
      <alignment horizontal="center" vertical="center"/>
    </xf>
    <xf numFmtId="173" fontId="2" fillId="0" borderId="88" xfId="0" applyNumberFormat="1" applyFont="1" applyBorder="1"/>
    <xf numFmtId="43" fontId="2" fillId="0" borderId="90" xfId="1" applyFont="1" applyBorder="1" applyAlignment="1">
      <alignment vertical="center"/>
    </xf>
    <xf numFmtId="0" fontId="12" fillId="46" borderId="15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61" fillId="0" borderId="0" xfId="0" applyFont="1" applyAlignment="1">
      <alignment horizontal="center" vertical="center"/>
    </xf>
    <xf numFmtId="44" fontId="29" fillId="0" borderId="0" xfId="0" applyNumberFormat="1" applyFont="1" applyAlignment="1">
      <alignment horizontal="center" vertical="center"/>
    </xf>
    <xf numFmtId="168" fontId="29" fillId="0" borderId="26" xfId="0" applyNumberFormat="1" applyFont="1" applyBorder="1" applyAlignment="1">
      <alignment horizontal="center" vertical="center"/>
    </xf>
    <xf numFmtId="168" fontId="29" fillId="0" borderId="1" xfId="0" applyNumberFormat="1" applyFont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2" fillId="46" borderId="69" xfId="0" applyFont="1" applyFill="1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4" fontId="4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172" fontId="0" fillId="0" borderId="0" xfId="2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172" fontId="61" fillId="0" borderId="0" xfId="2" applyNumberFormat="1" applyFont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46" borderId="0" xfId="0" applyFill="1" applyAlignment="1">
      <alignment horizontal="center" vertical="center"/>
    </xf>
    <xf numFmtId="0" fontId="65" fillId="0" borderId="86" xfId="0" applyFont="1" applyBorder="1" applyAlignment="1">
      <alignment vertical="center"/>
    </xf>
    <xf numFmtId="0" fontId="65" fillId="0" borderId="91" xfId="0" applyFont="1" applyBorder="1" applyAlignment="1">
      <alignment vertical="center"/>
    </xf>
    <xf numFmtId="0" fontId="6" fillId="35" borderId="13" xfId="0" applyFont="1" applyFill="1" applyBorder="1" applyAlignment="1">
      <alignment horizontal="center" vertical="center" wrapText="1"/>
    </xf>
    <xf numFmtId="4" fontId="5" fillId="21" borderId="1" xfId="0" applyNumberFormat="1" applyFont="1" applyFill="1" applyBorder="1" applyAlignment="1">
      <alignment horizontal="center" vertical="center" wrapText="1"/>
    </xf>
    <xf numFmtId="168" fontId="5" fillId="44" borderId="1" xfId="0" applyNumberFormat="1" applyFont="1" applyFill="1" applyBorder="1" applyAlignment="1">
      <alignment horizontal="center" vertical="center" wrapText="1"/>
    </xf>
    <xf numFmtId="168" fontId="5" fillId="44" borderId="5" xfId="0" applyNumberFormat="1" applyFont="1" applyFill="1" applyBorder="1" applyAlignment="1">
      <alignment horizontal="center" vertical="center" wrapText="1"/>
    </xf>
    <xf numFmtId="43" fontId="5" fillId="21" borderId="7" xfId="0" applyNumberFormat="1" applyFont="1" applyFill="1" applyBorder="1" applyAlignment="1">
      <alignment horizontal="center" vertical="center"/>
    </xf>
    <xf numFmtId="17" fontId="5" fillId="14" borderId="16" xfId="0" applyNumberFormat="1" applyFont="1" applyFill="1" applyBorder="1" applyAlignment="1">
      <alignment horizontal="left" vertical="top" wrapText="1"/>
    </xf>
    <xf numFmtId="43" fontId="5" fillId="21" borderId="12" xfId="0" applyNumberFormat="1" applyFont="1" applyFill="1" applyBorder="1" applyAlignment="1">
      <alignment horizontal="center" vertical="center"/>
    </xf>
    <xf numFmtId="4" fontId="5" fillId="21" borderId="4" xfId="0" applyNumberFormat="1" applyFont="1" applyFill="1" applyBorder="1" applyAlignment="1">
      <alignment horizontal="center" vertical="center" wrapText="1"/>
    </xf>
    <xf numFmtId="168" fontId="5" fillId="44" borderId="4" xfId="0" applyNumberFormat="1" applyFont="1" applyFill="1" applyBorder="1" applyAlignment="1">
      <alignment horizontal="center" vertical="center" wrapText="1"/>
    </xf>
    <xf numFmtId="168" fontId="5" fillId="44" borderId="8" xfId="0" applyNumberFormat="1" applyFont="1" applyFill="1" applyBorder="1" applyAlignment="1">
      <alignment horizontal="center" vertical="center" wrapText="1"/>
    </xf>
    <xf numFmtId="0" fontId="6" fillId="35" borderId="93" xfId="0" applyFont="1" applyFill="1" applyBorder="1" applyAlignment="1">
      <alignment horizontal="center" vertical="center" wrapText="1"/>
    </xf>
    <xf numFmtId="43" fontId="64" fillId="0" borderId="86" xfId="0" applyNumberFormat="1" applyFont="1" applyBorder="1" applyAlignment="1">
      <alignment vertical="center"/>
    </xf>
    <xf numFmtId="2" fontId="64" fillId="0" borderId="91" xfId="0" applyNumberFormat="1" applyFont="1" applyBorder="1" applyAlignment="1">
      <alignment vertical="center"/>
    </xf>
    <xf numFmtId="0" fontId="64" fillId="0" borderId="86" xfId="0" applyFont="1" applyBorder="1" applyAlignment="1">
      <alignment vertical="center"/>
    </xf>
    <xf numFmtId="0" fontId="64" fillId="0" borderId="91" xfId="0" applyFont="1" applyBorder="1" applyAlignment="1">
      <alignment vertical="center"/>
    </xf>
    <xf numFmtId="8" fontId="18" fillId="0" borderId="86" xfId="0" applyNumberFormat="1" applyFont="1" applyBorder="1" applyAlignment="1">
      <alignment vertical="center"/>
    </xf>
    <xf numFmtId="4" fontId="18" fillId="0" borderId="91" xfId="0" applyNumberFormat="1" applyFont="1" applyBorder="1" applyAlignment="1">
      <alignment vertical="center"/>
    </xf>
    <xf numFmtId="0" fontId="2" fillId="0" borderId="16" xfId="0" applyFont="1" applyBorder="1" applyAlignment="1">
      <alignment vertical="center" wrapText="1"/>
    </xf>
    <xf numFmtId="0" fontId="2" fillId="0" borderId="73" xfId="0" applyFont="1" applyBorder="1" applyAlignment="1">
      <alignment horizontal="center" vertical="center" wrapText="1"/>
    </xf>
    <xf numFmtId="0" fontId="2" fillId="0" borderId="73" xfId="0" applyFont="1" applyBorder="1" applyAlignment="1">
      <alignment vertical="center" wrapText="1"/>
    </xf>
    <xf numFmtId="167" fontId="2" fillId="58" borderId="12" xfId="1" applyNumberFormat="1" applyFont="1" applyFill="1" applyBorder="1" applyAlignment="1">
      <alignment vertical="center"/>
    </xf>
    <xf numFmtId="167" fontId="2" fillId="58" borderId="7" xfId="1" applyNumberFormat="1" applyFont="1" applyFill="1" applyBorder="1" applyAlignment="1">
      <alignment vertical="center"/>
    </xf>
    <xf numFmtId="43" fontId="32" fillId="12" borderId="95" xfId="1" applyFont="1" applyFill="1" applyBorder="1" applyAlignment="1">
      <alignment horizontal="center" vertical="center"/>
    </xf>
    <xf numFmtId="43" fontId="32" fillId="12" borderId="6" xfId="1" applyFont="1" applyFill="1" applyBorder="1" applyAlignment="1">
      <alignment horizontal="center" vertical="center"/>
    </xf>
    <xf numFmtId="0" fontId="32" fillId="12" borderId="108" xfId="0" applyFont="1" applyFill="1" applyBorder="1" applyAlignment="1">
      <alignment horizontal="center" vertical="center"/>
    </xf>
    <xf numFmtId="43" fontId="2" fillId="63" borderId="75" xfId="1" applyFont="1" applyFill="1" applyBorder="1" applyAlignment="1">
      <alignment horizontal="center" vertical="center"/>
    </xf>
    <xf numFmtId="44" fontId="2" fillId="63" borderId="109" xfId="2" applyFont="1" applyFill="1" applyBorder="1" applyAlignment="1">
      <alignment vertical="center"/>
    </xf>
    <xf numFmtId="0" fontId="2" fillId="63" borderId="109" xfId="0" applyFont="1" applyFill="1" applyBorder="1" applyAlignment="1">
      <alignment horizontal="center" vertical="center"/>
    </xf>
    <xf numFmtId="0" fontId="2" fillId="63" borderId="76" xfId="0" applyFont="1" applyFill="1" applyBorder="1" applyAlignment="1">
      <alignment horizontal="center" vertical="center"/>
    </xf>
    <xf numFmtId="43" fontId="2" fillId="63" borderId="55" xfId="1" applyFont="1" applyFill="1" applyBorder="1" applyAlignment="1">
      <alignment horizontal="center" vertical="center"/>
    </xf>
    <xf numFmtId="1" fontId="2" fillId="0" borderId="73" xfId="0" applyNumberFormat="1" applyFont="1" applyBorder="1" applyAlignment="1">
      <alignment horizontal="center" vertical="center" wrapText="1"/>
    </xf>
    <xf numFmtId="167" fontId="2" fillId="0" borderId="73" xfId="1" applyNumberFormat="1" applyFont="1" applyBorder="1" applyAlignment="1">
      <alignment horizontal="center" vertical="center" wrapText="1"/>
    </xf>
    <xf numFmtId="0" fontId="6" fillId="74" borderId="13" xfId="0" applyFont="1" applyFill="1" applyBorder="1" applyAlignment="1">
      <alignment horizontal="center" vertical="center" wrapText="1"/>
    </xf>
    <xf numFmtId="1" fontId="48" fillId="25" borderId="15" xfId="0" applyNumberFormat="1" applyFont="1" applyFill="1" applyBorder="1" applyAlignment="1">
      <alignment horizontal="center" vertical="center"/>
    </xf>
    <xf numFmtId="172" fontId="11" fillId="25" borderId="15" xfId="0" applyNumberFormat="1" applyFont="1" applyFill="1" applyBorder="1"/>
    <xf numFmtId="0" fontId="12" fillId="74" borderId="15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0" xfId="0"/>
    <xf numFmtId="174" fontId="2" fillId="0" borderId="110" xfId="1" applyNumberFormat="1" applyFont="1" applyBorder="1" applyAlignment="1">
      <alignment vertical="center"/>
    </xf>
    <xf numFmtId="0" fontId="2" fillId="6" borderId="90" xfId="0" applyFont="1" applyFill="1" applyBorder="1" applyAlignment="1">
      <alignment horizontal="center" vertical="center"/>
    </xf>
    <xf numFmtId="0" fontId="2" fillId="7" borderId="90" xfId="0" applyFont="1" applyFill="1" applyBorder="1" applyAlignment="1">
      <alignment horizontal="center" vertical="center"/>
    </xf>
    <xf numFmtId="0" fontId="2" fillId="8" borderId="90" xfId="0" applyFont="1" applyFill="1" applyBorder="1" applyAlignment="1">
      <alignment horizontal="center" vertical="center"/>
    </xf>
    <xf numFmtId="0" fontId="2" fillId="8" borderId="89" xfId="0" applyFont="1" applyFill="1" applyBorder="1" applyAlignment="1">
      <alignment horizontal="center" vertical="center"/>
    </xf>
    <xf numFmtId="0" fontId="2" fillId="50" borderId="1" xfId="0" applyFont="1" applyFill="1" applyBorder="1" applyAlignment="1">
      <alignment horizontal="center" vertical="center"/>
    </xf>
    <xf numFmtId="175" fontId="2" fillId="0" borderId="1" xfId="0" applyNumberFormat="1" applyFont="1" applyBorder="1" applyAlignment="1">
      <alignment horizontal="center" vertical="center"/>
    </xf>
    <xf numFmtId="0" fontId="2" fillId="16" borderId="7" xfId="0" applyFont="1" applyFill="1" applyBorder="1" applyAlignment="1">
      <alignment horizontal="center" vertical="center"/>
    </xf>
    <xf numFmtId="0" fontId="2" fillId="50" borderId="67" xfId="0" applyFont="1" applyFill="1" applyBorder="1" applyAlignment="1">
      <alignment horizontal="center" vertical="center"/>
    </xf>
    <xf numFmtId="0" fontId="2" fillId="0" borderId="74" xfId="0" applyFont="1" applyBorder="1" applyAlignment="1">
      <alignment horizontal="center" vertical="center"/>
    </xf>
    <xf numFmtId="1" fontId="2" fillId="0" borderId="111" xfId="0" applyNumberFormat="1" applyFont="1" applyBorder="1" applyAlignment="1">
      <alignment horizontal="center" vertical="center"/>
    </xf>
    <xf numFmtId="0" fontId="2" fillId="62" borderId="1" xfId="0" applyFont="1" applyFill="1" applyBorder="1" applyAlignment="1">
      <alignment horizontal="center" vertical="center"/>
    </xf>
    <xf numFmtId="0" fontId="2" fillId="62" borderId="26" xfId="0" applyFont="1" applyFill="1" applyBorder="1" applyAlignment="1">
      <alignment horizontal="center" vertical="center"/>
    </xf>
    <xf numFmtId="0" fontId="32" fillId="62" borderId="15" xfId="0" applyFont="1" applyFill="1" applyBorder="1" applyAlignment="1">
      <alignment horizontal="center" vertical="center"/>
    </xf>
    <xf numFmtId="0" fontId="71" fillId="36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43" fontId="2" fillId="8" borderId="3" xfId="0" applyNumberFormat="1" applyFont="1" applyFill="1" applyBorder="1" applyAlignment="1">
      <alignment vertical="center"/>
    </xf>
    <xf numFmtId="44" fontId="2" fillId="13" borderId="16" xfId="2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44" fontId="2" fillId="13" borderId="2" xfId="2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44" fontId="2" fillId="13" borderId="1" xfId="2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9" borderId="15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10" borderId="26" xfId="0" applyFont="1" applyFill="1" applyBorder="1" applyAlignment="1">
      <alignment horizontal="center" vertical="center"/>
    </xf>
    <xf numFmtId="44" fontId="2" fillId="13" borderId="28" xfId="2" applyFont="1" applyFill="1" applyBorder="1" applyAlignment="1">
      <alignment horizontal="center" vertical="center"/>
    </xf>
    <xf numFmtId="43" fontId="2" fillId="8" borderId="17" xfId="0" applyNumberFormat="1" applyFont="1" applyFill="1" applyBorder="1" applyAlignment="1">
      <alignment vertical="center"/>
    </xf>
    <xf numFmtId="0" fontId="2" fillId="8" borderId="15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 vertical="center"/>
    </xf>
    <xf numFmtId="44" fontId="2" fillId="13" borderId="15" xfId="2" applyFont="1" applyFill="1" applyBorder="1" applyAlignment="1">
      <alignment horizontal="center" vertical="center"/>
    </xf>
    <xf numFmtId="43" fontId="2" fillId="8" borderId="15" xfId="0" applyNumberFormat="1" applyFont="1" applyFill="1" applyBorder="1" applyAlignment="1">
      <alignment vertical="center"/>
    </xf>
    <xf numFmtId="0" fontId="2" fillId="11" borderId="15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71" fillId="36" borderId="0" xfId="0" applyFont="1" applyFill="1" applyAlignment="1">
      <alignment vertical="center"/>
    </xf>
    <xf numFmtId="0" fontId="2" fillId="36" borderId="0" xfId="0" applyFont="1" applyFill="1" applyAlignment="1">
      <alignment vertical="center"/>
    </xf>
    <xf numFmtId="17" fontId="2" fillId="0" borderId="5" xfId="0" applyNumberFormat="1" applyFont="1" applyBorder="1" applyAlignment="1">
      <alignment vertical="center"/>
    </xf>
    <xf numFmtId="0" fontId="45" fillId="49" borderId="15" xfId="0" applyFont="1" applyFill="1" applyBorder="1" applyAlignment="1">
      <alignment vertical="center"/>
    </xf>
    <xf numFmtId="43" fontId="2" fillId="0" borderId="28" xfId="1" applyFont="1" applyBorder="1" applyAlignment="1">
      <alignment vertical="center"/>
    </xf>
    <xf numFmtId="168" fontId="29" fillId="0" borderId="1" xfId="0" applyNumberFormat="1" applyFont="1" applyBorder="1" applyAlignment="1">
      <alignment vertical="center"/>
    </xf>
    <xf numFmtId="0" fontId="36" fillId="2" borderId="14" xfId="0" applyFont="1" applyFill="1" applyBorder="1" applyAlignment="1">
      <alignment horizontal="center" vertical="center"/>
    </xf>
    <xf numFmtId="43" fontId="2" fillId="0" borderId="50" xfId="1" applyFont="1" applyBorder="1" applyAlignment="1">
      <alignment vertical="center"/>
    </xf>
    <xf numFmtId="43" fontId="2" fillId="0" borderId="15" xfId="1" applyFont="1" applyBorder="1" applyAlignment="1">
      <alignment vertical="center"/>
    </xf>
    <xf numFmtId="0" fontId="2" fillId="0" borderId="6" xfId="0" applyFont="1" applyBorder="1" applyAlignment="1">
      <alignment vertical="center"/>
    </xf>
    <xf numFmtId="17" fontId="2" fillId="0" borderId="15" xfId="0" applyNumberFormat="1" applyFont="1" applyBorder="1" applyAlignment="1">
      <alignment vertical="center"/>
    </xf>
    <xf numFmtId="0" fontId="36" fillId="2" borderId="34" xfId="0" applyFont="1" applyFill="1" applyBorder="1" applyAlignment="1">
      <alignment horizontal="center" vertical="center"/>
    </xf>
    <xf numFmtId="0" fontId="2" fillId="0" borderId="26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2" fillId="0" borderId="2" xfId="0" applyFont="1" applyBorder="1" applyAlignment="1">
      <alignment horizontal="center" vertical="center"/>
    </xf>
    <xf numFmtId="44" fontId="47" fillId="41" borderId="2" xfId="2" applyFont="1" applyFill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44" fontId="47" fillId="41" borderId="58" xfId="2" applyFont="1" applyFill="1" applyBorder="1" applyAlignment="1">
      <alignment horizontal="center" vertical="center"/>
    </xf>
    <xf numFmtId="44" fontId="2" fillId="62" borderId="59" xfId="0" applyNumberFormat="1" applyFont="1" applyFill="1" applyBorder="1" applyAlignment="1">
      <alignment horizontal="center" vertical="center"/>
    </xf>
    <xf numFmtId="0" fontId="33" fillId="0" borderId="58" xfId="0" applyFont="1" applyBorder="1" applyAlignment="1">
      <alignment horizontal="center" vertical="center"/>
    </xf>
    <xf numFmtId="0" fontId="32" fillId="70" borderId="112" xfId="0" applyFont="1" applyFill="1" applyBorder="1" applyAlignment="1">
      <alignment horizontal="center" vertical="center"/>
    </xf>
    <xf numFmtId="0" fontId="32" fillId="70" borderId="109" xfId="0" applyFont="1" applyFill="1" applyBorder="1" applyAlignment="1">
      <alignment horizontal="center" vertical="center"/>
    </xf>
    <xf numFmtId="0" fontId="32" fillId="70" borderId="76" xfId="0" applyFont="1" applyFill="1" applyBorder="1" applyAlignment="1">
      <alignment horizontal="center" vertical="center"/>
    </xf>
    <xf numFmtId="44" fontId="2" fillId="62" borderId="115" xfId="0" applyNumberFormat="1" applyFont="1" applyFill="1" applyBorder="1" applyAlignment="1">
      <alignment horizontal="center" vertical="center"/>
    </xf>
    <xf numFmtId="0" fontId="32" fillId="13" borderId="112" xfId="0" applyFont="1" applyFill="1" applyBorder="1" applyAlignment="1">
      <alignment horizontal="center" vertical="center"/>
    </xf>
    <xf numFmtId="0" fontId="32" fillId="13" borderId="109" xfId="0" applyFont="1" applyFill="1" applyBorder="1" applyAlignment="1">
      <alignment horizontal="center" vertical="center"/>
    </xf>
    <xf numFmtId="0" fontId="32" fillId="13" borderId="76" xfId="0" applyFont="1" applyFill="1" applyBorder="1" applyAlignment="1">
      <alignment horizontal="center" vertical="center"/>
    </xf>
    <xf numFmtId="0" fontId="32" fillId="13" borderId="75" xfId="0" applyFont="1" applyFill="1" applyBorder="1" applyAlignment="1">
      <alignment horizontal="center" vertical="center"/>
    </xf>
    <xf numFmtId="44" fontId="31" fillId="50" borderId="64" xfId="0" applyNumberFormat="1" applyFont="1" applyFill="1" applyBorder="1" applyAlignment="1">
      <alignment horizontal="center" vertical="center"/>
    </xf>
    <xf numFmtId="0" fontId="53" fillId="50" borderId="65" xfId="0" applyFont="1" applyFill="1" applyBorder="1" applyAlignment="1">
      <alignment horizontal="center" vertical="center"/>
    </xf>
    <xf numFmtId="0" fontId="10" fillId="50" borderId="66" xfId="0" applyFont="1" applyFill="1" applyBorder="1" applyAlignment="1">
      <alignment horizontal="center" vertical="center"/>
    </xf>
    <xf numFmtId="44" fontId="53" fillId="50" borderId="66" xfId="2" applyFont="1" applyFill="1" applyBorder="1" applyAlignment="1">
      <alignment horizontal="center" vertical="center"/>
    </xf>
    <xf numFmtId="0" fontId="32" fillId="70" borderId="4" xfId="0" applyFont="1" applyFill="1" applyBorder="1" applyAlignment="1">
      <alignment horizontal="center" vertical="center"/>
    </xf>
    <xf numFmtId="0" fontId="31" fillId="50" borderId="66" xfId="0" applyFont="1" applyFill="1" applyBorder="1" applyAlignment="1">
      <alignment horizontal="center" vertical="center"/>
    </xf>
    <xf numFmtId="0" fontId="32" fillId="70" borderId="63" xfId="0" applyFont="1" applyFill="1" applyBorder="1" applyAlignment="1">
      <alignment horizontal="center" vertical="center"/>
    </xf>
    <xf numFmtId="0" fontId="32" fillId="70" borderId="62" xfId="0" applyFont="1" applyFill="1" applyBorder="1" applyAlignment="1">
      <alignment horizontal="center" vertical="center"/>
    </xf>
    <xf numFmtId="0" fontId="33" fillId="0" borderId="107" xfId="0" applyFont="1" applyBorder="1" applyAlignment="1">
      <alignment horizontal="center" vertical="center"/>
    </xf>
    <xf numFmtId="0" fontId="32" fillId="75" borderId="15" xfId="0" applyFont="1" applyFill="1" applyBorder="1" applyAlignment="1">
      <alignment horizontal="center" vertical="center" wrapText="1"/>
    </xf>
    <xf numFmtId="0" fontId="45" fillId="49" borderId="15" xfId="0" applyFont="1" applyFill="1" applyBorder="1" applyAlignment="1"/>
    <xf numFmtId="43" fontId="12" fillId="0" borderId="15" xfId="2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/>
    <xf numFmtId="0" fontId="64" fillId="71" borderId="91" xfId="0" applyFont="1" applyFill="1" applyBorder="1" applyAlignment="1">
      <alignment horizontal="center" vertical="center"/>
    </xf>
    <xf numFmtId="0" fontId="67" fillId="72" borderId="0" xfId="0" applyFont="1" applyFill="1" applyAlignment="1">
      <alignment vertical="center"/>
    </xf>
    <xf numFmtId="0" fontId="66" fillId="71" borderId="0" xfId="0" applyFont="1" applyFill="1" applyAlignment="1">
      <alignment vertical="center"/>
    </xf>
    <xf numFmtId="0" fontId="71" fillId="4" borderId="0" xfId="0" applyFont="1" applyFill="1" applyAlignment="1">
      <alignment horizontal="center" vertical="center"/>
    </xf>
    <xf numFmtId="0" fontId="38" fillId="36" borderId="0" xfId="0" applyFont="1" applyFill="1" applyAlignment="1">
      <alignment vertical="center"/>
    </xf>
    <xf numFmtId="1" fontId="48" fillId="5" borderId="15" xfId="0" applyNumberFormat="1" applyFont="1" applyFill="1" applyBorder="1" applyAlignment="1">
      <alignment horizontal="center" vertical="center"/>
    </xf>
    <xf numFmtId="1" fontId="11" fillId="5" borderId="15" xfId="0" applyNumberFormat="1" applyFont="1" applyFill="1" applyBorder="1"/>
    <xf numFmtId="172" fontId="11" fillId="5" borderId="15" xfId="0" applyNumberFormat="1" applyFont="1" applyFill="1" applyBorder="1"/>
    <xf numFmtId="2" fontId="11" fillId="5" borderId="15" xfId="0" applyNumberFormat="1" applyFont="1" applyFill="1" applyBorder="1"/>
    <xf numFmtId="2" fontId="48" fillId="18" borderId="15" xfId="0" applyNumberFormat="1" applyFont="1" applyFill="1" applyBorder="1" applyAlignment="1">
      <alignment horizontal="center" vertical="center"/>
    </xf>
    <xf numFmtId="0" fontId="61" fillId="4" borderId="0" xfId="0" applyFont="1" applyFill="1"/>
    <xf numFmtId="0" fontId="47" fillId="76" borderId="1" xfId="0" applyFont="1" applyFill="1" applyBorder="1" applyAlignment="1">
      <alignment horizontal="center" vertical="center"/>
    </xf>
    <xf numFmtId="0" fontId="2" fillId="76" borderId="4" xfId="0" applyFont="1" applyFill="1" applyBorder="1" applyAlignment="1">
      <alignment horizontal="center" vertical="center"/>
    </xf>
    <xf numFmtId="0" fontId="48" fillId="76" borderId="1" xfId="0" applyFont="1" applyFill="1" applyBorder="1" applyAlignment="1">
      <alignment horizontal="center" vertical="center"/>
    </xf>
    <xf numFmtId="44" fontId="47" fillId="76" borderId="1" xfId="2" applyFont="1" applyFill="1" applyBorder="1" applyAlignment="1">
      <alignment horizontal="center" vertical="center"/>
    </xf>
    <xf numFmtId="44" fontId="31" fillId="76" borderId="1" xfId="0" applyNumberFormat="1" applyFont="1" applyFill="1" applyBorder="1" applyAlignment="1">
      <alignment horizontal="center" vertical="center"/>
    </xf>
    <xf numFmtId="0" fontId="50" fillId="77" borderId="1" xfId="0" applyFont="1" applyFill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vertical="center"/>
    </xf>
    <xf numFmtId="0" fontId="0" fillId="68" borderId="0" xfId="0" applyFill="1"/>
    <xf numFmtId="0" fontId="73" fillId="0" borderId="0" xfId="0" applyFont="1" applyAlignment="1">
      <alignment vertic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justify" vertical="center"/>
    </xf>
    <xf numFmtId="0" fontId="75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71" borderId="0" xfId="0" applyFont="1" applyFill="1" applyAlignment="1">
      <alignment vertical="center"/>
    </xf>
    <xf numFmtId="0" fontId="65" fillId="71" borderId="0" xfId="0" applyFont="1" applyFill="1" applyAlignment="1">
      <alignment vertical="center" wrapText="1"/>
    </xf>
    <xf numFmtId="0" fontId="65" fillId="0" borderId="0" xfId="0" applyFont="1" applyAlignment="1">
      <alignment wrapText="1"/>
    </xf>
    <xf numFmtId="0" fontId="76" fillId="0" borderId="0" xfId="0" applyFont="1" applyAlignment="1">
      <alignment wrapText="1"/>
    </xf>
    <xf numFmtId="0" fontId="64" fillId="71" borderId="9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8" fontId="66" fillId="71" borderId="101" xfId="0" applyNumberFormat="1" applyFont="1" applyFill="1" applyBorder="1" applyAlignment="1">
      <alignment vertical="center"/>
    </xf>
    <xf numFmtId="8" fontId="66" fillId="71" borderId="102" xfId="0" applyNumberFormat="1" applyFont="1" applyFill="1" applyBorder="1" applyAlignment="1">
      <alignment vertical="center"/>
    </xf>
    <xf numFmtId="8" fontId="66" fillId="71" borderId="0" xfId="0" applyNumberFormat="1" applyFont="1" applyFill="1" applyAlignment="1">
      <alignment vertical="center"/>
    </xf>
    <xf numFmtId="8" fontId="66" fillId="71" borderId="99" xfId="0" applyNumberFormat="1" applyFont="1" applyFill="1" applyBorder="1" applyAlignment="1">
      <alignment vertical="center"/>
    </xf>
    <xf numFmtId="8" fontId="66" fillId="71" borderId="97" xfId="0" applyNumberFormat="1" applyFont="1" applyFill="1" applyBorder="1" applyAlignment="1">
      <alignment vertical="center"/>
    </xf>
    <xf numFmtId="8" fontId="66" fillId="71" borderId="98" xfId="0" applyNumberFormat="1" applyFont="1" applyFill="1" applyBorder="1" applyAlignment="1">
      <alignment vertical="center"/>
    </xf>
    <xf numFmtId="0" fontId="0" fillId="0" borderId="0" xfId="0"/>
    <xf numFmtId="0" fontId="11" fillId="0" borderId="81" xfId="0" applyFont="1" applyBorder="1" applyAlignment="1">
      <alignment vertical="center"/>
    </xf>
    <xf numFmtId="0" fontId="11" fillId="0" borderId="91" xfId="0" applyFont="1" applyBorder="1" applyAlignment="1">
      <alignment vertical="center"/>
    </xf>
    <xf numFmtId="0" fontId="11" fillId="0" borderId="94" xfId="0" applyFont="1" applyBorder="1" applyAlignment="1">
      <alignment vertical="center"/>
    </xf>
    <xf numFmtId="0" fontId="11" fillId="0" borderId="81" xfId="0" applyFont="1" applyBorder="1" applyAlignment="1">
      <alignment vertical="center" wrapText="1"/>
    </xf>
    <xf numFmtId="0" fontId="11" fillId="0" borderId="86" xfId="0" applyFont="1" applyBorder="1" applyAlignment="1">
      <alignment vertical="center" wrapText="1"/>
    </xf>
    <xf numFmtId="0" fontId="68" fillId="0" borderId="100" xfId="0" applyFont="1" applyBorder="1" applyAlignment="1">
      <alignment vertical="center"/>
    </xf>
    <xf numFmtId="0" fontId="65" fillId="0" borderId="0" xfId="0" applyFont="1" applyAlignment="1">
      <alignment vertical="center" wrapText="1"/>
    </xf>
    <xf numFmtId="0" fontId="64" fillId="71" borderId="91" xfId="0" applyFont="1" applyFill="1" applyBorder="1" applyAlignment="1">
      <alignment vertical="center"/>
    </xf>
    <xf numFmtId="0" fontId="66" fillId="4" borderId="0" xfId="0" applyFont="1" applyFill="1" applyAlignment="1">
      <alignment vertical="center"/>
    </xf>
    <xf numFmtId="0" fontId="67" fillId="4" borderId="0" xfId="0" applyFont="1" applyFill="1" applyAlignment="1">
      <alignment vertical="center"/>
    </xf>
    <xf numFmtId="43" fontId="0" fillId="21" borderId="117" xfId="0" applyNumberFormat="1" applyFill="1" applyBorder="1"/>
    <xf numFmtId="0" fontId="2" fillId="0" borderId="18" xfId="0" applyFont="1" applyBorder="1" applyAlignment="1">
      <alignment horizontal="center" vertical="center"/>
    </xf>
    <xf numFmtId="43" fontId="2" fillId="65" borderId="25" xfId="0" applyNumberFormat="1" applyFont="1" applyFill="1" applyBorder="1"/>
    <xf numFmtId="43" fontId="0" fillId="0" borderId="62" xfId="0" applyNumberFormat="1" applyBorder="1"/>
    <xf numFmtId="8" fontId="64" fillId="0" borderId="81" xfId="0" applyNumberFormat="1" applyFont="1" applyBorder="1" applyAlignment="1">
      <alignment vertical="center"/>
    </xf>
    <xf numFmtId="8" fontId="64" fillId="0" borderId="91" xfId="0" applyNumberFormat="1" applyFont="1" applyBorder="1" applyAlignment="1">
      <alignment vertical="center"/>
    </xf>
    <xf numFmtId="0" fontId="64" fillId="0" borderId="81" xfId="0" applyFont="1" applyBorder="1" applyAlignment="1">
      <alignment vertical="center"/>
    </xf>
    <xf numFmtId="0" fontId="69" fillId="71" borderId="95" xfId="0" applyFont="1" applyFill="1" applyBorder="1" applyAlignment="1">
      <alignment vertical="center"/>
    </xf>
    <xf numFmtId="0" fontId="69" fillId="71" borderId="0" xfId="0" applyFont="1" applyFill="1" applyBorder="1" applyAlignment="1">
      <alignment vertical="center"/>
    </xf>
    <xf numFmtId="0" fontId="69" fillId="71" borderId="96" xfId="0" applyFont="1" applyFill="1" applyBorder="1" applyAlignment="1">
      <alignment vertical="center"/>
    </xf>
    <xf numFmtId="0" fontId="69" fillId="71" borderId="97" xfId="0" applyFont="1" applyFill="1" applyBorder="1" applyAlignment="1">
      <alignment vertical="center"/>
    </xf>
    <xf numFmtId="4" fontId="64" fillId="0" borderId="94" xfId="0" applyNumberFormat="1" applyFont="1" applyBorder="1" applyAlignment="1">
      <alignment vertical="center"/>
    </xf>
    <xf numFmtId="0" fontId="64" fillId="0" borderId="94" xfId="0" applyFont="1" applyBorder="1" applyAlignment="1">
      <alignment vertical="center"/>
    </xf>
    <xf numFmtId="8" fontId="64" fillId="0" borderId="86" xfId="0" applyNumberFormat="1" applyFont="1" applyBorder="1" applyAlignment="1">
      <alignment vertical="center"/>
    </xf>
    <xf numFmtId="8" fontId="64" fillId="0" borderId="100" xfId="0" applyNumberFormat="1" applyFont="1" applyBorder="1" applyAlignment="1">
      <alignment vertical="center"/>
    </xf>
    <xf numFmtId="0" fontId="64" fillId="0" borderId="100" xfId="0" applyFont="1" applyBorder="1" applyAlignment="1">
      <alignment vertical="center"/>
    </xf>
    <xf numFmtId="4" fontId="64" fillId="0" borderId="81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0" fontId="70" fillId="36" borderId="0" xfId="0" applyFont="1" applyFill="1" applyAlignment="1">
      <alignment horizontal="centerContinuous" vertical="center"/>
    </xf>
    <xf numFmtId="0" fontId="8" fillId="37" borderId="37" xfId="0" applyFont="1" applyFill="1" applyBorder="1" applyAlignment="1">
      <alignment horizontal="centerContinuous" vertical="center"/>
    </xf>
    <xf numFmtId="0" fontId="8" fillId="37" borderId="93" xfId="0" applyFont="1" applyFill="1" applyBorder="1" applyAlignment="1">
      <alignment horizontal="centerContinuous" vertical="center"/>
    </xf>
    <xf numFmtId="0" fontId="35" fillId="71" borderId="37" xfId="0" applyFont="1" applyFill="1" applyBorder="1" applyAlignment="1">
      <alignment horizontal="centerContinuous" vertical="center"/>
    </xf>
    <xf numFmtId="0" fontId="35" fillId="71" borderId="93" xfId="0" applyFont="1" applyFill="1" applyBorder="1" applyAlignment="1">
      <alignment horizontal="centerContinuous" vertical="center"/>
    </xf>
    <xf numFmtId="0" fontId="64" fillId="71" borderId="91" xfId="0" applyFont="1" applyFill="1" applyBorder="1" applyAlignment="1">
      <alignment horizontal="centerContinuous" vertical="center"/>
    </xf>
    <xf numFmtId="0" fontId="70" fillId="73" borderId="0" xfId="0" applyFont="1" applyFill="1" applyAlignment="1">
      <alignment horizontal="centerContinuous"/>
    </xf>
    <xf numFmtId="0" fontId="0" fillId="0" borderId="0" xfId="0" applyAlignment="1">
      <alignment horizontal="centerContinuous" vertical="center"/>
    </xf>
    <xf numFmtId="0" fontId="77" fillId="37" borderId="75" xfId="0" applyFont="1" applyFill="1" applyBorder="1" applyAlignment="1">
      <alignment horizontal="centerContinuous" vertical="center" wrapText="1"/>
    </xf>
    <xf numFmtId="0" fontId="77" fillId="37" borderId="109" xfId="0" applyFont="1" applyFill="1" applyBorder="1" applyAlignment="1">
      <alignment horizontal="centerContinuous" vertical="center" wrapText="1"/>
    </xf>
    <xf numFmtId="0" fontId="77" fillId="37" borderId="76" xfId="0" applyFont="1" applyFill="1" applyBorder="1" applyAlignment="1">
      <alignment horizontal="centerContinuous" vertical="center" wrapText="1"/>
    </xf>
    <xf numFmtId="0" fontId="78" fillId="4" borderId="0" xfId="0" applyFont="1" applyFill="1" applyAlignment="1">
      <alignment horizontal="centerContinuous" vertical="center"/>
    </xf>
    <xf numFmtId="44" fontId="2" fillId="0" borderId="15" xfId="2" applyFont="1" applyBorder="1" applyAlignment="1">
      <alignment horizontal="center" vertical="center"/>
    </xf>
    <xf numFmtId="43" fontId="2" fillId="0" borderId="15" xfId="1" applyFont="1" applyBorder="1" applyAlignment="1">
      <alignment horizontal="center" vertical="center"/>
    </xf>
    <xf numFmtId="43" fontId="2" fillId="0" borderId="2" xfId="1" applyFont="1" applyBorder="1" applyAlignment="1">
      <alignment horizontal="center" vertical="center"/>
    </xf>
    <xf numFmtId="43" fontId="2" fillId="0" borderId="3" xfId="1" applyFont="1" applyBorder="1" applyAlignment="1">
      <alignment horizontal="center" vertical="center"/>
    </xf>
    <xf numFmtId="167" fontId="2" fillId="4" borderId="2" xfId="1" applyNumberFormat="1" applyFont="1" applyFill="1" applyBorder="1" applyAlignment="1">
      <alignment horizontal="center" vertical="center"/>
    </xf>
    <xf numFmtId="167" fontId="2" fillId="4" borderId="3" xfId="1" applyNumberFormat="1" applyFont="1" applyFill="1" applyBorder="1" applyAlignment="1">
      <alignment horizontal="center" vertical="center"/>
    </xf>
    <xf numFmtId="166" fontId="2" fillId="15" borderId="15" xfId="1" applyNumberFormat="1" applyFont="1" applyFill="1" applyBorder="1" applyAlignment="1">
      <alignment horizontal="center" vertical="center"/>
    </xf>
    <xf numFmtId="43" fontId="2" fillId="0" borderId="15" xfId="0" applyNumberFormat="1" applyFont="1" applyBorder="1" applyAlignment="1">
      <alignment horizontal="center" vertical="center"/>
    </xf>
    <xf numFmtId="0" fontId="31" fillId="26" borderId="17" xfId="0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167" fontId="2" fillId="4" borderId="15" xfId="1" applyNumberFormat="1" applyFont="1" applyFill="1" applyBorder="1" applyAlignment="1">
      <alignment horizontal="center" vertical="center"/>
    </xf>
    <xf numFmtId="43" fontId="32" fillId="0" borderId="15" xfId="0" applyNumberFormat="1" applyFont="1" applyBorder="1" applyAlignment="1">
      <alignment horizontal="center" vertical="center"/>
    </xf>
    <xf numFmtId="43" fontId="2" fillId="0" borderId="1" xfId="0" applyNumberFormat="1" applyFont="1" applyBorder="1" applyAlignment="1">
      <alignment horizontal="center" vertical="center"/>
    </xf>
    <xf numFmtId="43" fontId="2" fillId="0" borderId="3" xfId="0" applyNumberFormat="1" applyFont="1" applyBorder="1" applyAlignment="1">
      <alignment horizontal="center" vertical="center"/>
    </xf>
    <xf numFmtId="171" fontId="2" fillId="0" borderId="15" xfId="2" applyNumberFormat="1" applyFont="1" applyBorder="1" applyAlignment="1">
      <alignment horizontal="center" vertical="center"/>
    </xf>
    <xf numFmtId="44" fontId="2" fillId="0" borderId="26" xfId="2" applyFont="1" applyBorder="1" applyAlignment="1">
      <alignment horizontal="center" vertical="center"/>
    </xf>
    <xf numFmtId="43" fontId="2" fillId="0" borderId="26" xfId="1" applyFont="1" applyBorder="1" applyAlignment="1">
      <alignment horizontal="center" vertical="center"/>
    </xf>
    <xf numFmtId="43" fontId="2" fillId="0" borderId="27" xfId="1" applyFont="1" applyBorder="1" applyAlignment="1">
      <alignment horizontal="center" vertical="center"/>
    </xf>
    <xf numFmtId="167" fontId="2" fillId="4" borderId="28" xfId="1" applyNumberFormat="1" applyFont="1" applyFill="1" applyBorder="1" applyAlignment="1">
      <alignment horizontal="center" vertical="center"/>
    </xf>
    <xf numFmtId="17" fontId="33" fillId="17" borderId="22" xfId="0" applyNumberFormat="1" applyFont="1" applyFill="1" applyBorder="1" applyAlignment="1">
      <alignment horizontal="center" vertical="center"/>
    </xf>
    <xf numFmtId="0" fontId="31" fillId="26" borderId="15" xfId="0" applyFont="1" applyFill="1" applyBorder="1" applyAlignment="1">
      <alignment horizontal="center" vertical="center"/>
    </xf>
    <xf numFmtId="0" fontId="31" fillId="26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43" fontId="2" fillId="0" borderId="4" xfId="1" applyFont="1" applyBorder="1" applyAlignment="1">
      <alignment horizontal="center" vertical="center"/>
    </xf>
    <xf numFmtId="43" fontId="2" fillId="0" borderId="2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43" fontId="32" fillId="0" borderId="2" xfId="0" applyNumberFormat="1" applyFont="1" applyBorder="1" applyAlignment="1">
      <alignment horizontal="center" vertical="center"/>
    </xf>
    <xf numFmtId="43" fontId="32" fillId="0" borderId="3" xfId="0" applyNumberFormat="1" applyFont="1" applyBorder="1" applyAlignment="1">
      <alignment horizontal="center" vertical="center"/>
    </xf>
    <xf numFmtId="43" fontId="32" fillId="0" borderId="6" xfId="0" applyNumberFormat="1" applyFont="1" applyBorder="1" applyAlignment="1">
      <alignment horizontal="center" vertical="center"/>
    </xf>
    <xf numFmtId="43" fontId="2" fillId="0" borderId="11" xfId="0" applyNumberFormat="1" applyFont="1" applyBorder="1" applyAlignment="1">
      <alignment horizontal="center" vertical="center"/>
    </xf>
    <xf numFmtId="43" fontId="2" fillId="0" borderId="29" xfId="1" applyFont="1" applyBorder="1" applyAlignment="1">
      <alignment horizontal="center" vertical="center"/>
    </xf>
    <xf numFmtId="43" fontId="2" fillId="0" borderId="11" xfId="1" applyFont="1" applyBorder="1" applyAlignment="1">
      <alignment horizontal="center" vertical="center"/>
    </xf>
    <xf numFmtId="43" fontId="2" fillId="0" borderId="12" xfId="1" applyFont="1" applyBorder="1" applyAlignment="1">
      <alignment horizontal="center" vertical="center"/>
    </xf>
    <xf numFmtId="171" fontId="2" fillId="0" borderId="32" xfId="2" applyNumberFormat="1" applyFont="1" applyBorder="1" applyAlignment="1">
      <alignment horizontal="center" vertical="center"/>
    </xf>
    <xf numFmtId="171" fontId="2" fillId="0" borderId="33" xfId="2" applyNumberFormat="1" applyFont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43" fontId="2" fillId="0" borderId="29" xfId="0" applyNumberFormat="1" applyFont="1" applyBorder="1" applyAlignment="1">
      <alignment horizontal="center" vertical="center"/>
    </xf>
    <xf numFmtId="176" fontId="2" fillId="0" borderId="3" xfId="2" applyNumberFormat="1" applyFont="1" applyBorder="1" applyAlignment="1">
      <alignment horizontal="center" vertical="center"/>
    </xf>
    <xf numFmtId="43" fontId="2" fillId="0" borderId="10" xfId="0" applyNumberFormat="1" applyFont="1" applyBorder="1" applyAlignment="1">
      <alignment horizontal="center" vertical="center"/>
    </xf>
    <xf numFmtId="43" fontId="2" fillId="0" borderId="6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67" fontId="2" fillId="4" borderId="4" xfId="1" applyNumberFormat="1" applyFont="1" applyFill="1" applyBorder="1" applyAlignment="1">
      <alignment horizontal="center" vertical="center"/>
    </xf>
    <xf numFmtId="43" fontId="2" fillId="0" borderId="7" xfId="0" applyNumberFormat="1" applyFont="1" applyBorder="1" applyAlignment="1">
      <alignment horizontal="center" vertical="center"/>
    </xf>
    <xf numFmtId="166" fontId="33" fillId="15" borderId="68" xfId="1" applyNumberFormat="1" applyFont="1" applyFill="1" applyBorder="1" applyAlignment="1">
      <alignment horizontal="center" vertical="center"/>
    </xf>
    <xf numFmtId="166" fontId="33" fillId="15" borderId="16" xfId="1" applyNumberFormat="1" applyFont="1" applyFill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31" fillId="55" borderId="15" xfId="0" applyFont="1" applyFill="1" applyBorder="1" applyAlignment="1">
      <alignment horizontal="center" vertical="center"/>
    </xf>
    <xf numFmtId="43" fontId="0" fillId="25" borderId="28" xfId="0" applyNumberFormat="1" applyFill="1" applyBorder="1" applyAlignment="1">
      <alignment horizontal="center" vertical="center"/>
    </xf>
    <xf numFmtId="0" fontId="0" fillId="25" borderId="28" xfId="0" applyFill="1" applyBorder="1" applyAlignment="1">
      <alignment horizontal="center" vertical="center"/>
    </xf>
    <xf numFmtId="0" fontId="33" fillId="53" borderId="20" xfId="0" applyFont="1" applyFill="1" applyBorder="1" applyAlignment="1">
      <alignment horizontal="center" vertical="center"/>
    </xf>
    <xf numFmtId="0" fontId="33" fillId="53" borderId="0" xfId="0" applyFont="1" applyFill="1" applyBorder="1" applyAlignment="1">
      <alignment horizontal="center" vertical="center"/>
    </xf>
    <xf numFmtId="4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43" fontId="0" fillId="0" borderId="26" xfId="0" applyNumberFormat="1" applyBorder="1" applyAlignment="1">
      <alignment horizontal="center"/>
    </xf>
    <xf numFmtId="0" fontId="0" fillId="0" borderId="26" xfId="0" applyBorder="1" applyAlignment="1">
      <alignment horizontal="center"/>
    </xf>
    <xf numFmtId="0" fontId="32" fillId="23" borderId="1" xfId="0" applyFont="1" applyFill="1" applyBorder="1" applyAlignment="1">
      <alignment horizontal="center" vertical="center"/>
    </xf>
    <xf numFmtId="0" fontId="0" fillId="11" borderId="8" xfId="0" applyFill="1" applyBorder="1" applyAlignment="1">
      <alignment horizontal="center"/>
    </xf>
    <xf numFmtId="0" fontId="0" fillId="11" borderId="79" xfId="0" applyFill="1" applyBorder="1" applyAlignment="1">
      <alignment horizontal="center"/>
    </xf>
    <xf numFmtId="0" fontId="0" fillId="19" borderId="9" xfId="0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0" fillId="19" borderId="0" xfId="0" applyFill="1" applyAlignment="1">
      <alignment horizontal="center"/>
    </xf>
    <xf numFmtId="0" fontId="4" fillId="12" borderId="0" xfId="0" applyFont="1" applyFill="1" applyAlignment="1">
      <alignment horizontal="center" vertical="center"/>
    </xf>
    <xf numFmtId="0" fontId="4" fillId="64" borderId="1" xfId="0" applyFont="1" applyFill="1" applyBorder="1" applyAlignment="1">
      <alignment horizontal="center" vertical="center"/>
    </xf>
    <xf numFmtId="0" fontId="7" fillId="20" borderId="15" xfId="0" applyFont="1" applyFill="1" applyBorder="1" applyAlignment="1">
      <alignment horizontal="center" vertical="center"/>
    </xf>
    <xf numFmtId="0" fontId="6" fillId="42" borderId="38" xfId="0" applyFont="1" applyFill="1" applyBorder="1" applyAlignment="1">
      <alignment horizontal="center" vertical="center" wrapText="1"/>
    </xf>
    <xf numFmtId="0" fontId="6" fillId="42" borderId="39" xfId="0" applyFont="1" applyFill="1" applyBorder="1" applyAlignment="1">
      <alignment horizontal="center" vertical="center" wrapText="1"/>
    </xf>
    <xf numFmtId="172" fontId="37" fillId="25" borderId="40" xfId="0" applyNumberFormat="1" applyFont="1" applyFill="1" applyBorder="1" applyAlignment="1">
      <alignment horizontal="center" vertical="center"/>
    </xf>
    <xf numFmtId="172" fontId="37" fillId="25" borderId="41" xfId="0" applyNumberFormat="1" applyFont="1" applyFill="1" applyBorder="1" applyAlignment="1">
      <alignment horizontal="center" vertical="center"/>
    </xf>
    <xf numFmtId="172" fontId="37" fillId="25" borderId="42" xfId="0" applyNumberFormat="1" applyFont="1" applyFill="1" applyBorder="1" applyAlignment="1">
      <alignment horizontal="center" vertical="center"/>
    </xf>
    <xf numFmtId="172" fontId="37" fillId="25" borderId="43" xfId="0" applyNumberFormat="1" applyFont="1" applyFill="1" applyBorder="1" applyAlignment="1">
      <alignment horizontal="center" vertical="center"/>
    </xf>
    <xf numFmtId="0" fontId="5" fillId="14" borderId="13" xfId="0" applyFont="1" applyFill="1" applyBorder="1" applyAlignment="1">
      <alignment horizontal="center" vertical="center" wrapText="1"/>
    </xf>
    <xf numFmtId="4" fontId="5" fillId="0" borderId="13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4" fontId="5" fillId="0" borderId="13" xfId="0" applyNumberFormat="1" applyFont="1" applyBorder="1" applyAlignment="1">
      <alignment vertical="center" wrapText="1"/>
    </xf>
    <xf numFmtId="0" fontId="5" fillId="0" borderId="13" xfId="0" applyFont="1" applyBorder="1" applyAlignment="1">
      <alignment vertical="center" wrapText="1"/>
    </xf>
    <xf numFmtId="4" fontId="5" fillId="43" borderId="13" xfId="0" applyNumberFormat="1" applyFont="1" applyFill="1" applyBorder="1" applyAlignment="1">
      <alignment horizontal="center" vertical="center" wrapText="1"/>
    </xf>
    <xf numFmtId="0" fontId="32" fillId="46" borderId="38" xfId="0" applyFont="1" applyFill="1" applyBorder="1" applyAlignment="1">
      <alignment horizontal="center" vertical="center"/>
    </xf>
    <xf numFmtId="0" fontId="32" fillId="46" borderId="39" xfId="0" applyFont="1" applyFill="1" applyBorder="1" applyAlignment="1">
      <alignment horizontal="center" vertical="center"/>
    </xf>
    <xf numFmtId="0" fontId="43" fillId="23" borderId="40" xfId="0" applyFont="1" applyFill="1" applyBorder="1" applyAlignment="1">
      <alignment horizontal="center"/>
    </xf>
    <xf numFmtId="0" fontId="43" fillId="23" borderId="41" xfId="0" applyFont="1" applyFill="1" applyBorder="1" applyAlignment="1">
      <alignment horizontal="center"/>
    </xf>
    <xf numFmtId="0" fontId="43" fillId="23" borderId="42" xfId="0" applyFont="1" applyFill="1" applyBorder="1" applyAlignment="1">
      <alignment horizontal="center"/>
    </xf>
    <xf numFmtId="0" fontId="43" fillId="23" borderId="43" xfId="0" applyFont="1" applyFill="1" applyBorder="1" applyAlignment="1">
      <alignment horizontal="center"/>
    </xf>
    <xf numFmtId="172" fontId="5" fillId="44" borderId="13" xfId="0" applyNumberFormat="1" applyFont="1" applyFill="1" applyBorder="1" applyAlignment="1">
      <alignment horizontal="center" vertical="center" wrapText="1"/>
    </xf>
    <xf numFmtId="0" fontId="32" fillId="74" borderId="103" xfId="0" applyFont="1" applyFill="1" applyBorder="1" applyAlignment="1">
      <alignment horizontal="center" vertical="center"/>
    </xf>
    <xf numFmtId="0" fontId="32" fillId="74" borderId="104" xfId="0" applyFont="1" applyFill="1" applyBorder="1" applyAlignment="1">
      <alignment horizontal="center" vertical="center"/>
    </xf>
    <xf numFmtId="0" fontId="6" fillId="74" borderId="105" xfId="0" applyFont="1" applyFill="1" applyBorder="1" applyAlignment="1">
      <alignment horizontal="center" vertical="center" wrapText="1"/>
    </xf>
    <xf numFmtId="0" fontId="6" fillId="74" borderId="106" xfId="0" applyFont="1" applyFill="1" applyBorder="1" applyAlignment="1">
      <alignment horizontal="center" vertical="center" wrapText="1"/>
    </xf>
    <xf numFmtId="4" fontId="5" fillId="0" borderId="1" xfId="0" applyNumberFormat="1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72" fontId="5" fillId="44" borderId="5" xfId="0" applyNumberFormat="1" applyFont="1" applyFill="1" applyBorder="1" applyAlignment="1">
      <alignment horizontal="center" vertical="center" wrapText="1"/>
    </xf>
    <xf numFmtId="0" fontId="43" fillId="63" borderId="70" xfId="0" applyFont="1" applyFill="1" applyBorder="1" applyAlignment="1">
      <alignment horizontal="center"/>
    </xf>
    <xf numFmtId="0" fontId="43" fillId="63" borderId="71" xfId="0" applyFont="1" applyFill="1" applyBorder="1" applyAlignment="1">
      <alignment horizontal="center"/>
    </xf>
    <xf numFmtId="0" fontId="43" fillId="63" borderId="95" xfId="0" applyFont="1" applyFill="1" applyBorder="1" applyAlignment="1">
      <alignment horizontal="center"/>
    </xf>
    <xf numFmtId="0" fontId="43" fillId="63" borderId="72" xfId="0" applyFont="1" applyFill="1" applyBorder="1" applyAlignment="1">
      <alignment horizontal="center"/>
    </xf>
    <xf numFmtId="0" fontId="43" fillId="63" borderId="36" xfId="0" applyFont="1" applyFill="1" applyBorder="1" applyAlignment="1">
      <alignment horizontal="center"/>
    </xf>
    <xf numFmtId="0" fontId="43" fillId="63" borderId="73" xfId="0" applyFont="1" applyFill="1" applyBorder="1" applyAlignment="1">
      <alignment horizontal="center"/>
    </xf>
    <xf numFmtId="172" fontId="37" fillId="25" borderId="70" xfId="0" applyNumberFormat="1" applyFont="1" applyFill="1" applyBorder="1" applyAlignment="1">
      <alignment horizontal="center" vertical="center"/>
    </xf>
    <xf numFmtId="172" fontId="37" fillId="25" borderId="71" xfId="0" applyNumberFormat="1" applyFont="1" applyFill="1" applyBorder="1" applyAlignment="1">
      <alignment horizontal="center" vertical="center"/>
    </xf>
    <xf numFmtId="172" fontId="37" fillId="25" borderId="95" xfId="0" applyNumberFormat="1" applyFont="1" applyFill="1" applyBorder="1" applyAlignment="1">
      <alignment horizontal="center" vertical="center"/>
    </xf>
    <xf numFmtId="172" fontId="37" fillId="25" borderId="72" xfId="0" applyNumberFormat="1" applyFont="1" applyFill="1" applyBorder="1" applyAlignment="1">
      <alignment horizontal="center" vertical="center"/>
    </xf>
    <xf numFmtId="172" fontId="37" fillId="25" borderId="36" xfId="0" applyNumberFormat="1" applyFont="1" applyFill="1" applyBorder="1" applyAlignment="1">
      <alignment horizontal="center" vertical="center"/>
    </xf>
    <xf numFmtId="172" fontId="37" fillId="25" borderId="73" xfId="0" applyNumberFormat="1" applyFont="1" applyFill="1" applyBorder="1" applyAlignment="1">
      <alignment horizontal="center" vertical="center"/>
    </xf>
    <xf numFmtId="4" fontId="7" fillId="45" borderId="70" xfId="0" applyNumberFormat="1" applyFont="1" applyFill="1" applyBorder="1" applyAlignment="1">
      <alignment horizontal="center" vertical="center"/>
    </xf>
    <xf numFmtId="4" fontId="7" fillId="45" borderId="81" xfId="0" applyNumberFormat="1" applyFont="1" applyFill="1" applyBorder="1" applyAlignment="1">
      <alignment horizontal="center" vertical="center"/>
    </xf>
    <xf numFmtId="4" fontId="7" fillId="45" borderId="71" xfId="0" applyNumberFormat="1" applyFont="1" applyFill="1" applyBorder="1" applyAlignment="1">
      <alignment horizontal="center" vertical="center"/>
    </xf>
    <xf numFmtId="4" fontId="7" fillId="45" borderId="95" xfId="0" applyNumberFormat="1" applyFont="1" applyFill="1" applyBorder="1" applyAlignment="1">
      <alignment horizontal="center" vertical="center"/>
    </xf>
    <xf numFmtId="4" fontId="7" fillId="45" borderId="0" xfId="0" applyNumberFormat="1" applyFont="1" applyFill="1" applyBorder="1" applyAlignment="1">
      <alignment horizontal="center" vertical="center"/>
    </xf>
    <xf numFmtId="4" fontId="7" fillId="45" borderId="72" xfId="0" applyNumberFormat="1" applyFont="1" applyFill="1" applyBorder="1" applyAlignment="1">
      <alignment horizontal="center" vertical="center"/>
    </xf>
    <xf numFmtId="4" fontId="7" fillId="45" borderId="36" xfId="0" applyNumberFormat="1" applyFont="1" applyFill="1" applyBorder="1" applyAlignment="1">
      <alignment horizontal="center" vertical="center"/>
    </xf>
    <xf numFmtId="4" fontId="7" fillId="45" borderId="86" xfId="0" applyNumberFormat="1" applyFont="1" applyFill="1" applyBorder="1" applyAlignment="1">
      <alignment horizontal="center" vertical="center"/>
    </xf>
    <xf numFmtId="4" fontId="7" fillId="45" borderId="73" xfId="0" applyNumberFormat="1" applyFont="1" applyFill="1" applyBorder="1" applyAlignment="1">
      <alignment horizontal="center" vertical="center"/>
    </xf>
    <xf numFmtId="172" fontId="5" fillId="46" borderId="5" xfId="0" applyNumberFormat="1" applyFont="1" applyFill="1" applyBorder="1" applyAlignment="1">
      <alignment horizontal="center" vertical="center" wrapText="1"/>
    </xf>
    <xf numFmtId="4" fontId="5" fillId="0" borderId="1" xfId="0" applyNumberFormat="1" applyFont="1" applyBorder="1" applyAlignment="1">
      <alignment horizontal="center" vertical="center" wrapText="1"/>
    </xf>
    <xf numFmtId="4" fontId="5" fillId="0" borderId="7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172" fontId="5" fillId="44" borderId="1" xfId="0" applyNumberFormat="1" applyFont="1" applyFill="1" applyBorder="1" applyAlignment="1">
      <alignment horizontal="center" vertical="center" wrapText="1"/>
    </xf>
    <xf numFmtId="0" fontId="9" fillId="22" borderId="17" xfId="0" applyFont="1" applyFill="1" applyBorder="1" applyAlignment="1">
      <alignment horizontal="center"/>
    </xf>
    <xf numFmtId="0" fontId="17" fillId="29" borderId="22" xfId="0" applyFont="1" applyFill="1" applyBorder="1" applyAlignment="1">
      <alignment horizontal="center" vertical="center" wrapText="1"/>
    </xf>
    <xf numFmtId="0" fontId="17" fillId="29" borderId="18" xfId="0" applyFont="1" applyFill="1" applyBorder="1" applyAlignment="1">
      <alignment horizontal="center" vertical="center" wrapText="1"/>
    </xf>
    <xf numFmtId="0" fontId="16" fillId="30" borderId="51" xfId="0" applyFont="1" applyFill="1" applyBorder="1" applyAlignment="1">
      <alignment horizontal="center" vertical="center" wrapText="1"/>
    </xf>
    <xf numFmtId="0" fontId="16" fillId="30" borderId="25" xfId="0" applyFont="1" applyFill="1" applyBorder="1" applyAlignment="1">
      <alignment horizontal="center" vertical="center" wrapText="1"/>
    </xf>
    <xf numFmtId="0" fontId="16" fillId="30" borderId="15" xfId="0" applyFont="1" applyFill="1" applyBorder="1" applyAlignment="1">
      <alignment horizontal="center" vertical="center" wrapText="1"/>
    </xf>
    <xf numFmtId="0" fontId="13" fillId="27" borderId="0" xfId="0" applyFont="1" applyFill="1" applyAlignment="1">
      <alignment horizontal="center" wrapText="1"/>
    </xf>
    <xf numFmtId="0" fontId="13" fillId="27" borderId="0" xfId="0" applyFont="1" applyFill="1" applyBorder="1" applyAlignment="1">
      <alignment horizontal="center" wrapText="1"/>
    </xf>
    <xf numFmtId="0" fontId="13" fillId="27" borderId="20" xfId="0" applyFont="1" applyFill="1" applyBorder="1" applyAlignment="1">
      <alignment horizontal="center" wrapText="1"/>
    </xf>
    <xf numFmtId="0" fontId="15" fillId="28" borderId="22" xfId="0" applyFont="1" applyFill="1" applyBorder="1" applyAlignment="1">
      <alignment horizontal="center" vertical="center" wrapText="1"/>
    </xf>
    <xf numFmtId="0" fontId="15" fillId="28" borderId="18" xfId="0" applyFont="1" applyFill="1" applyBorder="1" applyAlignment="1">
      <alignment horizontal="center" vertical="center" wrapText="1"/>
    </xf>
    <xf numFmtId="0" fontId="15" fillId="28" borderId="24" xfId="0" applyFont="1" applyFill="1" applyBorder="1" applyAlignment="1">
      <alignment horizontal="center" vertical="center" wrapText="1"/>
    </xf>
    <xf numFmtId="0" fontId="16" fillId="29" borderId="17" xfId="0" applyFont="1" applyFill="1" applyBorder="1" applyAlignment="1">
      <alignment horizontal="center" vertical="center" wrapText="1"/>
    </xf>
    <xf numFmtId="0" fontId="16" fillId="29" borderId="18" xfId="0" applyFont="1" applyFill="1" applyBorder="1" applyAlignment="1">
      <alignment horizontal="center" vertical="center" wrapText="1"/>
    </xf>
    <xf numFmtId="0" fontId="18" fillId="28" borderId="22" xfId="0" applyFont="1" applyFill="1" applyBorder="1" applyAlignment="1">
      <alignment horizontal="center" vertical="center" wrapText="1"/>
    </xf>
    <xf numFmtId="0" fontId="18" fillId="28" borderId="18" xfId="0" applyFont="1" applyFill="1" applyBorder="1" applyAlignment="1">
      <alignment horizontal="center" vertical="center" wrapText="1"/>
    </xf>
    <xf numFmtId="0" fontId="16" fillId="29" borderId="22" xfId="0" applyFont="1" applyFill="1" applyBorder="1" applyAlignment="1">
      <alignment horizontal="center" vertical="center" wrapText="1"/>
    </xf>
    <xf numFmtId="0" fontId="46" fillId="46" borderId="52" xfId="0" applyFont="1" applyFill="1" applyBorder="1" applyAlignment="1">
      <alignment horizontal="center"/>
    </xf>
    <xf numFmtId="0" fontId="46" fillId="46" borderId="53" xfId="0" applyFont="1" applyFill="1" applyBorder="1" applyAlignment="1">
      <alignment horizontal="center"/>
    </xf>
    <xf numFmtId="0" fontId="46" fillId="46" borderId="54" xfId="0" applyFont="1" applyFill="1" applyBorder="1" applyAlignment="1">
      <alignment horizontal="center"/>
    </xf>
    <xf numFmtId="0" fontId="47" fillId="0" borderId="75" xfId="0" applyFont="1" applyBorder="1" applyAlignment="1">
      <alignment horizontal="center" vertical="center"/>
    </xf>
    <xf numFmtId="0" fontId="47" fillId="0" borderId="57" xfId="0" applyFont="1" applyBorder="1" applyAlignment="1">
      <alignment horizontal="center" vertical="center"/>
    </xf>
    <xf numFmtId="0" fontId="47" fillId="4" borderId="109" xfId="0" applyFont="1" applyFill="1" applyBorder="1" applyAlignment="1">
      <alignment horizontal="center" vertical="center" wrapText="1"/>
    </xf>
    <xf numFmtId="0" fontId="47" fillId="4" borderId="58" xfId="0" applyFont="1" applyFill="1" applyBorder="1" applyAlignment="1">
      <alignment horizontal="center" vertical="center" wrapText="1"/>
    </xf>
    <xf numFmtId="0" fontId="47" fillId="0" borderId="63" xfId="0" applyFont="1" applyBorder="1" applyAlignment="1">
      <alignment horizontal="center" vertical="center"/>
    </xf>
    <xf numFmtId="0" fontId="47" fillId="4" borderId="4" xfId="0" applyFont="1" applyFill="1" applyBorder="1" applyAlignment="1">
      <alignment horizontal="center" vertical="center" wrapText="1"/>
    </xf>
    <xf numFmtId="0" fontId="47" fillId="4" borderId="8" xfId="0" applyFont="1" applyFill="1" applyBorder="1" applyAlignment="1">
      <alignment horizontal="center" vertical="center" wrapText="1"/>
    </xf>
    <xf numFmtId="0" fontId="47" fillId="4" borderId="114" xfId="0" applyFont="1" applyFill="1" applyBorder="1" applyAlignment="1">
      <alignment horizontal="center" vertical="center" wrapText="1"/>
    </xf>
    <xf numFmtId="0" fontId="47" fillId="13" borderId="75" xfId="0" applyFont="1" applyFill="1" applyBorder="1" applyAlignment="1">
      <alignment horizontal="center" vertical="center"/>
    </xf>
    <xf numFmtId="0" fontId="47" fillId="13" borderId="57" xfId="0" applyFont="1" applyFill="1" applyBorder="1" applyAlignment="1">
      <alignment horizontal="center" vertical="center"/>
    </xf>
    <xf numFmtId="0" fontId="47" fillId="13" borderId="109" xfId="0" applyFont="1" applyFill="1" applyBorder="1" applyAlignment="1">
      <alignment horizontal="center" vertical="center" wrapText="1"/>
    </xf>
    <xf numFmtId="0" fontId="47" fillId="13" borderId="76" xfId="0" applyFont="1" applyFill="1" applyBorder="1" applyAlignment="1">
      <alignment horizontal="center" vertical="center" wrapText="1"/>
    </xf>
    <xf numFmtId="0" fontId="47" fillId="13" borderId="58" xfId="0" applyFont="1" applyFill="1" applyBorder="1" applyAlignment="1">
      <alignment horizontal="center" vertical="center" wrapText="1"/>
    </xf>
    <xf numFmtId="0" fontId="47" fillId="13" borderId="59" xfId="0" applyFont="1" applyFill="1" applyBorder="1" applyAlignment="1">
      <alignment horizontal="center" vertical="center" wrapText="1"/>
    </xf>
    <xf numFmtId="0" fontId="47" fillId="13" borderId="113" xfId="0" applyFont="1" applyFill="1" applyBorder="1" applyAlignment="1">
      <alignment horizontal="center" vertical="center" wrapText="1"/>
    </xf>
    <xf numFmtId="0" fontId="47" fillId="13" borderId="114" xfId="0" applyFont="1" applyFill="1" applyBorder="1" applyAlignment="1">
      <alignment horizontal="center" vertical="center" wrapText="1"/>
    </xf>
    <xf numFmtId="0" fontId="47" fillId="4" borderId="76" xfId="0" applyFont="1" applyFill="1" applyBorder="1" applyAlignment="1">
      <alignment horizontal="center" vertical="center" wrapText="1"/>
    </xf>
    <xf numFmtId="0" fontId="47" fillId="4" borderId="59" xfId="0" applyFont="1" applyFill="1" applyBorder="1" applyAlignment="1">
      <alignment horizontal="center" vertical="center" wrapText="1"/>
    </xf>
    <xf numFmtId="0" fontId="50" fillId="77" borderId="1" xfId="0" applyFont="1" applyFill="1" applyBorder="1" applyAlignment="1">
      <alignment horizontal="center" vertical="center" wrapText="1"/>
    </xf>
    <xf numFmtId="0" fontId="47" fillId="4" borderId="1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7" fillId="0" borderId="4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48" fillId="57" borderId="1" xfId="0" applyFont="1" applyFill="1" applyBorder="1" applyAlignment="1">
      <alignment horizontal="center" vertical="center" wrapText="1"/>
    </xf>
    <xf numFmtId="0" fontId="52" fillId="0" borderId="1" xfId="0" applyFont="1" applyBorder="1" applyAlignment="1" applyProtection="1">
      <alignment horizontal="center" vertical="center"/>
      <protection hidden="1"/>
    </xf>
    <xf numFmtId="0" fontId="52" fillId="0" borderId="2" xfId="0" applyFont="1" applyBorder="1" applyAlignment="1" applyProtection="1">
      <alignment horizontal="center" vertical="center"/>
      <protection hidden="1"/>
    </xf>
    <xf numFmtId="0" fontId="51" fillId="58" borderId="1" xfId="0" applyFont="1" applyFill="1" applyBorder="1" applyAlignment="1">
      <alignment horizontal="center" vertical="center" wrapText="1"/>
    </xf>
    <xf numFmtId="0" fontId="25" fillId="59" borderId="1" xfId="0" applyFont="1" applyFill="1" applyBorder="1" applyAlignment="1">
      <alignment horizontal="center" vertical="center"/>
    </xf>
    <xf numFmtId="0" fontId="51" fillId="59" borderId="1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left" vertical="top" wrapText="1"/>
    </xf>
    <xf numFmtId="0" fontId="50" fillId="0" borderId="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25" fillId="0" borderId="1" xfId="0" applyFont="1" applyBorder="1" applyAlignment="1">
      <alignment horizontal="left" vertical="top"/>
    </xf>
    <xf numFmtId="0" fontId="50" fillId="60" borderId="1" xfId="0" applyFont="1" applyFill="1" applyBorder="1" applyAlignment="1">
      <alignment horizontal="center" vertical="center"/>
    </xf>
    <xf numFmtId="0" fontId="50" fillId="17" borderId="1" xfId="0" applyFont="1" applyFill="1" applyBorder="1" applyAlignment="1">
      <alignment horizontal="center" vertical="center"/>
    </xf>
    <xf numFmtId="0" fontId="25" fillId="61" borderId="1" xfId="0" applyFont="1" applyFill="1" applyBorder="1" applyAlignment="1">
      <alignment horizontal="center" vertical="center"/>
    </xf>
    <xf numFmtId="0" fontId="25" fillId="16" borderId="1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/>
    </xf>
    <xf numFmtId="0" fontId="25" fillId="58" borderId="1" xfId="0" applyFont="1" applyFill="1" applyBorder="1" applyAlignment="1">
      <alignment horizontal="center" vertical="center" wrapText="1"/>
    </xf>
    <xf numFmtId="0" fontId="47" fillId="4" borderId="5" xfId="0" applyFont="1" applyFill="1" applyBorder="1" applyAlignment="1">
      <alignment horizontal="center" vertical="center" wrapText="1"/>
    </xf>
    <xf numFmtId="0" fontId="47" fillId="4" borderId="116" xfId="0" applyFont="1" applyFill="1" applyBorder="1" applyAlignment="1">
      <alignment horizontal="center" vertical="center" wrapText="1"/>
    </xf>
    <xf numFmtId="0" fontId="47" fillId="4" borderId="7" xfId="0" applyFont="1" applyFill="1" applyBorder="1" applyAlignment="1">
      <alignment horizontal="center" vertical="center" wrapText="1"/>
    </xf>
    <xf numFmtId="0" fontId="53" fillId="50" borderId="66" xfId="0" applyFont="1" applyFill="1" applyBorder="1" applyAlignment="1">
      <alignment horizontal="center" vertical="center" wrapText="1"/>
    </xf>
    <xf numFmtId="0" fontId="47" fillId="76" borderId="1" xfId="0" applyFont="1" applyFill="1" applyBorder="1" applyAlignment="1">
      <alignment horizontal="center" vertical="center" wrapText="1"/>
    </xf>
    <xf numFmtId="172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31" fillId="35" borderId="17" xfId="0" applyFont="1" applyFill="1" applyBorder="1" applyAlignment="1">
      <alignment horizontal="center"/>
    </xf>
    <xf numFmtId="0" fontId="31" fillId="35" borderId="15" xfId="0" applyFont="1" applyFill="1" applyBorder="1" applyAlignment="1">
      <alignment horizontal="center"/>
    </xf>
    <xf numFmtId="0" fontId="30" fillId="34" borderId="26" xfId="0" applyFont="1" applyFill="1" applyBorder="1" applyAlignment="1">
      <alignment horizontal="center"/>
    </xf>
    <xf numFmtId="0" fontId="30" fillId="34" borderId="27" xfId="0" applyFont="1" applyFill="1" applyBorder="1" applyAlignment="1">
      <alignment horizontal="center"/>
    </xf>
    <xf numFmtId="0" fontId="31" fillId="45" borderId="15" xfId="0" applyFont="1" applyFill="1" applyBorder="1" applyAlignment="1">
      <alignment horizontal="center"/>
    </xf>
    <xf numFmtId="0" fontId="31" fillId="45" borderId="26" xfId="0" applyFont="1" applyFill="1" applyBorder="1" applyAlignment="1">
      <alignment horizontal="center"/>
    </xf>
    <xf numFmtId="172" fontId="36" fillId="0" borderId="52" xfId="0" applyNumberFormat="1" applyFont="1" applyBorder="1" applyAlignment="1">
      <alignment horizontal="center" vertical="center"/>
    </xf>
    <xf numFmtId="0" fontId="36" fillId="0" borderId="46" xfId="0" applyFont="1" applyBorder="1" applyAlignment="1">
      <alignment horizontal="center" vertical="center"/>
    </xf>
    <xf numFmtId="0" fontId="0" fillId="41" borderId="38" xfId="0" applyFill="1" applyBorder="1" applyAlignment="1">
      <alignment horizontal="center"/>
    </xf>
    <xf numFmtId="0" fontId="0" fillId="41" borderId="47" xfId="0" applyFill="1" applyBorder="1" applyAlignment="1">
      <alignment horizontal="center"/>
    </xf>
    <xf numFmtId="0" fontId="0" fillId="41" borderId="39" xfId="0" applyFill="1" applyBorder="1" applyAlignment="1">
      <alignment horizontal="center"/>
    </xf>
    <xf numFmtId="0" fontId="41" fillId="0" borderId="40" xfId="0" applyFont="1" applyBorder="1" applyAlignment="1">
      <alignment horizontal="center"/>
    </xf>
    <xf numFmtId="0" fontId="41" fillId="0" borderId="15" xfId="0" applyFont="1" applyBorder="1" applyAlignment="1">
      <alignment horizontal="center"/>
    </xf>
    <xf numFmtId="0" fontId="41" fillId="0" borderId="41" xfId="0" applyFont="1" applyBorder="1" applyAlignment="1">
      <alignment horizontal="center"/>
    </xf>
    <xf numFmtId="0" fontId="41" fillId="0" borderId="49" xfId="0" applyFont="1" applyBorder="1" applyAlignment="1">
      <alignment horizontal="center"/>
    </xf>
    <xf numFmtId="0" fontId="41" fillId="0" borderId="48" xfId="0" applyFont="1" applyBorder="1" applyAlignment="1">
      <alignment horizontal="center"/>
    </xf>
    <xf numFmtId="0" fontId="41" fillId="0" borderId="43" xfId="0" applyFont="1" applyBorder="1" applyAlignment="1">
      <alignment horizontal="center"/>
    </xf>
    <xf numFmtId="0" fontId="42" fillId="0" borderId="40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0" fontId="42" fillId="0" borderId="41" xfId="0" applyFont="1" applyBorder="1" applyAlignment="1">
      <alignment horizontal="center"/>
    </xf>
    <xf numFmtId="0" fontId="42" fillId="0" borderId="49" xfId="0" applyFont="1" applyBorder="1" applyAlignment="1">
      <alignment horizontal="center"/>
    </xf>
    <xf numFmtId="0" fontId="42" fillId="0" borderId="48" xfId="0" applyFont="1" applyBorder="1" applyAlignment="1">
      <alignment horizontal="center"/>
    </xf>
    <xf numFmtId="0" fontId="42" fillId="0" borderId="43" xfId="0" applyFont="1" applyBorder="1" applyAlignment="1">
      <alignment horizontal="center"/>
    </xf>
    <xf numFmtId="0" fontId="42" fillId="0" borderId="42" xfId="0" applyFont="1" applyBorder="1" applyAlignment="1">
      <alignment horizontal="center"/>
    </xf>
    <xf numFmtId="168" fontId="36" fillId="0" borderId="67" xfId="0" applyNumberFormat="1" applyFont="1" applyBorder="1" applyAlignment="1">
      <alignment horizontal="center" vertical="center"/>
    </xf>
    <xf numFmtId="168" fontId="36" fillId="0" borderId="68" xfId="0" applyNumberFormat="1" applyFont="1" applyBorder="1" applyAlignment="1">
      <alignment horizontal="center" vertical="center"/>
    </xf>
    <xf numFmtId="168" fontId="36" fillId="0" borderId="16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/>
    </xf>
    <xf numFmtId="0" fontId="2" fillId="68" borderId="67" xfId="0" applyFont="1" applyFill="1" applyBorder="1" applyAlignment="1">
      <alignment horizontal="center" vertical="center"/>
    </xf>
    <xf numFmtId="0" fontId="2" fillId="68" borderId="16" xfId="0" applyFont="1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33" fillId="46" borderId="0" xfId="0" applyFont="1" applyFill="1" applyAlignment="1">
      <alignment horizontal="center" vertical="center"/>
    </xf>
    <xf numFmtId="0" fontId="33" fillId="48" borderId="0" xfId="0" applyFont="1" applyFill="1" applyAlignment="1">
      <alignment horizontal="center" vertical="center"/>
    </xf>
    <xf numFmtId="0" fontId="33" fillId="47" borderId="0" xfId="0" applyFont="1" applyFill="1" applyAlignment="1">
      <alignment horizontal="center" vertical="center"/>
    </xf>
    <xf numFmtId="0" fontId="8" fillId="37" borderId="37" xfId="0" applyFont="1" applyFill="1" applyBorder="1" applyAlignment="1">
      <alignment horizontal="center" vertical="center" wrapText="1"/>
    </xf>
    <xf numFmtId="0" fontId="8" fillId="37" borderId="93" xfId="0" applyFont="1" applyFill="1" applyBorder="1" applyAlignment="1">
      <alignment horizontal="center" vertical="center" wrapText="1"/>
    </xf>
    <xf numFmtId="0" fontId="67" fillId="72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35" fillId="71" borderId="37" xfId="0" applyFont="1" applyFill="1" applyBorder="1" applyAlignment="1">
      <alignment horizontal="center" vertical="center" wrapText="1"/>
    </xf>
    <xf numFmtId="0" fontId="35" fillId="71" borderId="93" xfId="0" applyFont="1" applyFill="1" applyBorder="1" applyAlignment="1">
      <alignment horizontal="center" vertical="center" wrapText="1"/>
    </xf>
    <xf numFmtId="0" fontId="66" fillId="71" borderId="0" xfId="0" applyFont="1" applyFill="1" applyAlignment="1">
      <alignment vertical="center"/>
    </xf>
    <xf numFmtId="0" fontId="65" fillId="0" borderId="0" xfId="0" applyFont="1" applyAlignment="1">
      <alignment vertical="center" wrapText="1"/>
    </xf>
    <xf numFmtId="0" fontId="64" fillId="71" borderId="91" xfId="0" applyFont="1" applyFill="1" applyBorder="1" applyAlignment="1">
      <alignment horizontal="center" vertical="center"/>
    </xf>
    <xf numFmtId="0" fontId="68" fillId="0" borderId="100" xfId="0" applyFont="1" applyBorder="1" applyAlignment="1">
      <alignment vertical="center"/>
    </xf>
    <xf numFmtId="8" fontId="64" fillId="0" borderId="100" xfId="0" applyNumberFormat="1" applyFont="1" applyBorder="1" applyAlignment="1">
      <alignment horizontal="center" vertical="center"/>
    </xf>
    <xf numFmtId="0" fontId="64" fillId="0" borderId="100" xfId="0" applyFont="1" applyBorder="1" applyAlignment="1">
      <alignment horizontal="center" vertical="center"/>
    </xf>
    <xf numFmtId="0" fontId="11" fillId="0" borderId="81" xfId="0" applyFont="1" applyBorder="1" applyAlignment="1">
      <alignment vertical="center" wrapText="1"/>
    </xf>
    <xf numFmtId="0" fontId="11" fillId="0" borderId="86" xfId="0" applyFont="1" applyBorder="1" applyAlignment="1">
      <alignment vertical="center" wrapText="1"/>
    </xf>
    <xf numFmtId="4" fontId="64" fillId="0" borderId="81" xfId="0" applyNumberFormat="1" applyFont="1" applyBorder="1" applyAlignment="1">
      <alignment horizontal="center" vertical="center"/>
    </xf>
    <xf numFmtId="0" fontId="64" fillId="0" borderId="81" xfId="0" applyFont="1" applyBorder="1" applyAlignment="1">
      <alignment horizontal="center" vertical="center"/>
    </xf>
    <xf numFmtId="0" fontId="64" fillId="0" borderId="86" xfId="0" applyFont="1" applyBorder="1" applyAlignment="1">
      <alignment horizontal="center" vertical="center"/>
    </xf>
    <xf numFmtId="8" fontId="64" fillId="0" borderId="81" xfId="0" applyNumberFormat="1" applyFont="1" applyBorder="1" applyAlignment="1">
      <alignment horizontal="center" vertical="center"/>
    </xf>
    <xf numFmtId="8" fontId="64" fillId="0" borderId="86" xfId="0" applyNumberFormat="1" applyFont="1" applyBorder="1" applyAlignment="1">
      <alignment horizontal="center" vertical="center"/>
    </xf>
    <xf numFmtId="0" fontId="65" fillId="71" borderId="0" xfId="0" applyFont="1" applyFill="1" applyAlignment="1">
      <alignment vertical="center" wrapText="1"/>
    </xf>
    <xf numFmtId="0" fontId="69" fillId="71" borderId="95" xfId="0" applyFont="1" applyFill="1" applyBorder="1" applyAlignment="1">
      <alignment horizontal="center" vertical="center"/>
    </xf>
    <xf numFmtId="0" fontId="69" fillId="71" borderId="0" xfId="0" applyFont="1" applyFill="1" applyBorder="1" applyAlignment="1">
      <alignment horizontal="center" vertical="center"/>
    </xf>
    <xf numFmtId="0" fontId="69" fillId="71" borderId="96" xfId="0" applyFont="1" applyFill="1" applyBorder="1" applyAlignment="1">
      <alignment horizontal="center" vertical="center"/>
    </xf>
    <xf numFmtId="0" fontId="69" fillId="71" borderId="97" xfId="0" applyFont="1" applyFill="1" applyBorder="1" applyAlignment="1">
      <alignment horizontal="center" vertical="center"/>
    </xf>
    <xf numFmtId="8" fontId="66" fillId="71" borderId="101" xfId="0" applyNumberFormat="1" applyFont="1" applyFill="1" applyBorder="1" applyAlignment="1">
      <alignment vertical="center"/>
    </xf>
    <xf numFmtId="8" fontId="66" fillId="71" borderId="102" xfId="0" applyNumberFormat="1" applyFont="1" applyFill="1" applyBorder="1" applyAlignment="1">
      <alignment vertical="center"/>
    </xf>
    <xf numFmtId="8" fontId="66" fillId="71" borderId="0" xfId="0" applyNumberFormat="1" applyFont="1" applyFill="1" applyAlignment="1">
      <alignment vertical="center"/>
    </xf>
    <xf numFmtId="8" fontId="66" fillId="71" borderId="99" xfId="0" applyNumberFormat="1" applyFont="1" applyFill="1" applyBorder="1" applyAlignment="1">
      <alignment vertical="center"/>
    </xf>
    <xf numFmtId="8" fontId="66" fillId="71" borderId="97" xfId="0" applyNumberFormat="1" applyFont="1" applyFill="1" applyBorder="1" applyAlignment="1">
      <alignment vertical="center"/>
    </xf>
    <xf numFmtId="8" fontId="66" fillId="71" borderId="98" xfId="0" applyNumberFormat="1" applyFont="1" applyFill="1" applyBorder="1" applyAlignment="1">
      <alignment vertical="center"/>
    </xf>
    <xf numFmtId="0" fontId="0" fillId="0" borderId="80" xfId="0" applyBorder="1" applyAlignment="1">
      <alignment vertical="center" wrapText="1"/>
    </xf>
    <xf numFmtId="0" fontId="0" fillId="0" borderId="80" xfId="0" applyBorder="1"/>
    <xf numFmtId="0" fontId="0" fillId="0" borderId="0" xfId="0"/>
    <xf numFmtId="0" fontId="11" fillId="0" borderId="81" xfId="0" applyFont="1" applyBorder="1" applyAlignment="1">
      <alignment vertical="center"/>
    </xf>
    <xf numFmtId="0" fontId="11" fillId="0" borderId="91" xfId="0" applyFont="1" applyBorder="1" applyAlignment="1">
      <alignment vertical="center"/>
    </xf>
    <xf numFmtId="8" fontId="64" fillId="0" borderId="91" xfId="0" applyNumberFormat="1" applyFont="1" applyBorder="1" applyAlignment="1">
      <alignment horizontal="center" vertical="center"/>
    </xf>
    <xf numFmtId="0" fontId="64" fillId="0" borderId="91" xfId="0" applyFont="1" applyBorder="1" applyAlignment="1">
      <alignment horizontal="center" vertical="center"/>
    </xf>
    <xf numFmtId="0" fontId="11" fillId="0" borderId="94" xfId="0" applyFont="1" applyBorder="1" applyAlignment="1">
      <alignment vertical="center"/>
    </xf>
    <xf numFmtId="4" fontId="64" fillId="0" borderId="94" xfId="0" applyNumberFormat="1" applyFont="1" applyBorder="1" applyAlignment="1">
      <alignment horizontal="center" vertical="center"/>
    </xf>
    <xf numFmtId="0" fontId="64" fillId="0" borderId="94" xfId="0" applyFont="1" applyBorder="1" applyAlignment="1">
      <alignment horizontal="center" vertical="center"/>
    </xf>
    <xf numFmtId="0" fontId="67" fillId="72" borderId="0" xfId="0" applyFont="1" applyFill="1" applyAlignment="1">
      <alignment horizontal="center" vertical="center"/>
    </xf>
    <xf numFmtId="0" fontId="64" fillId="71" borderId="92" xfId="0" applyFont="1" applyFill="1" applyBorder="1" applyAlignment="1">
      <alignment horizontal="center" vertical="center"/>
    </xf>
    <xf numFmtId="0" fontId="65" fillId="71" borderId="0" xfId="0" applyFont="1" applyFill="1" applyAlignment="1">
      <alignment vertical="center"/>
    </xf>
    <xf numFmtId="0" fontId="74" fillId="0" borderId="57" xfId="0" applyFont="1" applyBorder="1" applyAlignment="1">
      <alignment horizontal="center" vertical="center" wrapText="1"/>
    </xf>
    <xf numFmtId="0" fontId="74" fillId="0" borderId="58" xfId="0" applyFont="1" applyBorder="1" applyAlignment="1">
      <alignment horizontal="center" vertical="center" wrapText="1"/>
    </xf>
    <xf numFmtId="0" fontId="74" fillId="0" borderId="59" xfId="0" applyFont="1" applyBorder="1" applyAlignment="1">
      <alignment horizontal="center" vertical="center" wrapText="1"/>
    </xf>
    <xf numFmtId="0" fontId="65" fillId="0" borderId="94" xfId="0" applyFont="1" applyBorder="1" applyAlignment="1">
      <alignment horizontal="left" vertical="center" wrapText="1"/>
    </xf>
    <xf numFmtId="0" fontId="65" fillId="0" borderId="100" xfId="0" applyFont="1" applyBorder="1" applyAlignment="1">
      <alignment horizontal="left" vertical="center"/>
    </xf>
    <xf numFmtId="0" fontId="65" fillId="0" borderId="118" xfId="0" applyFont="1" applyBorder="1" applyAlignment="1">
      <alignment horizontal="left" vertical="center"/>
    </xf>
    <xf numFmtId="0" fontId="74" fillId="71" borderId="55" xfId="0" applyFont="1" applyFill="1" applyBorder="1" applyAlignment="1">
      <alignment horizontal="center" vertical="center" wrapText="1"/>
    </xf>
    <xf numFmtId="0" fontId="74" fillId="71" borderId="1" xfId="0" applyFont="1" applyFill="1" applyBorder="1" applyAlignment="1">
      <alignment horizontal="center" vertical="center" wrapText="1"/>
    </xf>
    <xf numFmtId="0" fontId="74" fillId="71" borderId="56" xfId="0" applyFont="1" applyFill="1" applyBorder="1" applyAlignment="1">
      <alignment horizontal="center" vertical="center" wrapText="1"/>
    </xf>
    <xf numFmtId="0" fontId="74" fillId="0" borderId="55" xfId="0" applyFont="1" applyBorder="1" applyAlignment="1">
      <alignment horizontal="center" vertical="center" wrapText="1"/>
    </xf>
    <xf numFmtId="0" fontId="74" fillId="0" borderId="1" xfId="0" applyFont="1" applyBorder="1" applyAlignment="1">
      <alignment horizontal="center" vertical="center" wrapText="1"/>
    </xf>
    <xf numFmtId="0" fontId="74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left" vertical="center" wrapText="1"/>
    </xf>
    <xf numFmtId="0" fontId="66" fillId="71" borderId="0" xfId="0" applyFont="1" applyFill="1" applyAlignment="1">
      <alignment horizontal="center" vertical="center"/>
    </xf>
  </cellXfs>
  <cellStyles count="7">
    <cellStyle name="Hiperlink" xfId="4" builtinId="8"/>
    <cellStyle name="Moeda" xfId="2" builtinId="4"/>
    <cellStyle name="Moeda 2" xfId="6" xr:uid="{C354E816-8D4F-408E-BD16-6AB2EAAC5DED}"/>
    <cellStyle name="Normal" xfId="0" builtinId="0"/>
    <cellStyle name="Porcentagem" xfId="3" builtinId="5"/>
    <cellStyle name="Vírgula" xfId="1" builtinId="3"/>
    <cellStyle name="Vírgula 2" xfId="5" xr:uid="{F707FFE7-91C4-4B9A-8D7A-82041AD8194D}"/>
  </cellStyles>
  <dxfs count="5">
    <dxf>
      <font>
        <b/>
        <i val="0"/>
        <color theme="1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4FD7D"/>
      <color rgb="FF5DB4FB"/>
      <color rgb="FF33CC33"/>
      <color rgb="FF99FF66"/>
      <color rgb="FF86ABF4"/>
      <color rgb="FF7EECFC"/>
      <color rgb="FF00FF00"/>
      <color rgb="FFF071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6" fmlaLink="'DIMENCINAMENTO DE PLACA'!$F$1" fmlaRange="'DIMENCINAMENTO DE PLACA'!$G$11:$G$16" noThreeD="1" sel="2" val="0"/>
</file>

<file path=xl/ctrlProps/ctrlProp2.xml><?xml version="1.0" encoding="utf-8"?>
<formControlPr xmlns="http://schemas.microsoft.com/office/spreadsheetml/2009/9/main" objectType="Drop" dropStyle="combo" dx="26" fmlaLink="'DIMENCINAMENTO DE PLACA'!$F$18" fmlaRange="'DIMENCINAMENTO DE PLACA'!$G$28:$G$33" noThreeD="1" sel="3" val="0"/>
</file>

<file path=xl/ctrlProps/ctrlProp3.xml><?xml version="1.0" encoding="utf-8"?>
<formControlPr xmlns="http://schemas.microsoft.com/office/spreadsheetml/2009/9/main" objectType="Drop" dropStyle="combo" dx="26" fmlaLink="'DIMENCINAMENTO DE PLACA'!$F$35" fmlaRange="'DIMENCINAMENTO DE PLACA'!$G$45:$G$50" noThreeD="1" sel="1" val="0"/>
</file>

<file path=xl/ctrlProps/ctrlProp4.xml><?xml version="1.0" encoding="utf-8"?>
<formControlPr xmlns="http://schemas.microsoft.com/office/spreadsheetml/2009/9/main" objectType="Drop" dropStyle="combo" dx="26" fmlaLink="'DIMENCINAMENTO DE PLACA'!$F$52" fmlaRange="'DIMENCINAMENTO DE PLACA'!$G$62:$G$67" noThreeD="1" sel="3" val="0"/>
</file>

<file path=xl/ctrlProps/ctrlProp5.xml><?xml version="1.0" encoding="utf-8"?>
<formControlPr xmlns="http://schemas.microsoft.com/office/spreadsheetml/2009/9/main" objectType="Drop" dropStyle="combo" dx="26" fmlaLink="'DIMENCINAMENTO DE PLACA'!$F$69" fmlaRange="'DIMENCINAMENTO DE PLACA'!$G$79:$G$84" noThreeD="1" sel="4" val="0"/>
</file>

<file path=xl/ctrlProps/ctrlProp6.xml><?xml version="1.0" encoding="utf-8"?>
<formControlPr xmlns="http://schemas.microsoft.com/office/spreadsheetml/2009/9/main" objectType="Drop" dropStyle="combo" dx="26" fmlaLink="$S$9" fmlaRange="$R$8:$R$9" noThreeD="1" sel="1" val="0"/>
</file>

<file path=xl/ctrlProps/ctrlProp7.xml><?xml version="1.0" encoding="utf-8"?>
<formControlPr xmlns="http://schemas.microsoft.com/office/spreadsheetml/2009/9/main" objectType="Drop" dropStyle="combo" dx="26" fmlaLink="$L$21" fmlaRange="$L$22:$L$31" noThreeD="1" sel="10" val="2"/>
</file>

<file path=xl/ctrlProps/ctrlProp8.xml><?xml version="1.0" encoding="utf-8"?>
<formControlPr xmlns="http://schemas.microsoft.com/office/spreadsheetml/2009/9/main" objectType="Drop" dropStyle="combo" dx="26" fmlaLink="$P$1" fmlaRange="$R$3:$R$8" noThreeD="1" sel="1" val="0"/>
</file>

<file path=xl/ctrlProps/ctrlProp9.xml><?xml version="1.0" encoding="utf-8"?>
<formControlPr xmlns="http://schemas.microsoft.com/office/spreadsheetml/2009/9/main" objectType="Drop" dropStyle="combo" dx="26" fmlaLink="$Q$1" fmlaRange="$R$3:$R$8" noThreeD="1" sel="1" val="0"/>
</file>

<file path=xl/ctrlProps/ctrlProp10.xml><?xml version="1.0" encoding="utf-8"?>
<formControlPr xmlns="http://schemas.microsoft.com/office/spreadsheetml/2009/9/main" objectType="Drop" dropStyle="combo" dx="26" fmlaLink="$R$1" fmlaRange="$R$3:$R$8" noThreeD="1" sel="1" val="0"/>
</file>

<file path=xl/ctrlProps/ctrlProp11.xml><?xml version="1.0" encoding="utf-8"?>
<formControlPr xmlns="http://schemas.microsoft.com/office/spreadsheetml/2009/9/main" objectType="Drop" dropStyle="combo" dx="26" fmlaLink="$S$1" fmlaRange="$R$3:$R$8" noThreeD="1" sel="1" val="0"/>
</file>

<file path=xl/ctrlProps/ctrlProp12.xml><?xml version="1.0" encoding="utf-8"?>
<formControlPr xmlns="http://schemas.microsoft.com/office/spreadsheetml/2009/9/main" objectType="Drop" dropStyle="combo" dx="26" fmlaLink="$U$1" fmlaRange="$R$3:$R$8" noThreeD="1" sel="1" val="0"/>
</file>

<file path=xl/ctrlProps/ctrlProp13.xml><?xml version="1.0" encoding="utf-8"?>
<formControlPr xmlns="http://schemas.microsoft.com/office/spreadsheetml/2009/9/main" objectType="Drop" dropStyle="combo" dx="26" fmlaLink="$Q$1" fmlaRange="$Q$4:$Q$16" noThreeD="1" sel="1" val="0"/>
</file>

<file path=xl/ctrlProps/ctrlProp14.xml><?xml version="1.0" encoding="utf-8"?>
<formControlPr xmlns="http://schemas.microsoft.com/office/spreadsheetml/2009/9/main" objectType="Drop" dropStyle="combo" dx="26" fmlaLink="$R$1" fmlaRange="$Q$4:$Q$16" noThreeD="1" sel="4" val="0"/>
</file>

<file path=xl/ctrlProps/ctrlProp15.xml><?xml version="1.0" encoding="utf-8"?>
<formControlPr xmlns="http://schemas.microsoft.com/office/spreadsheetml/2009/9/main" objectType="Drop" dropStyle="combo" dx="26" fmlaLink="$Q$1" fmlaRange="$Q$4:$Q$16" noThreeD="1" sel="1" val="0"/>
</file>

<file path=xl/ctrlProps/ctrlProp16.xml><?xml version="1.0" encoding="utf-8"?>
<formControlPr xmlns="http://schemas.microsoft.com/office/spreadsheetml/2009/9/main" objectType="Drop" dropStyle="combo" dx="26" fmlaLink="$Q$1" fmlaRange="$Q$4:$Q$16" noThreeD="1" sel="1" val="0"/>
</file>

<file path=xl/ctrlProps/ctrlProp17.xml><?xml version="1.0" encoding="utf-8"?>
<formControlPr xmlns="http://schemas.microsoft.com/office/spreadsheetml/2009/9/main" objectType="Drop" dropStyle="combo" dx="26" fmlaLink="$U$1" fmlaRange="$Q$4:$Q$16" noThreeD="1" sel="4" val="0"/>
</file>

<file path=xl/ctrlProps/ctrlProp18.xml><?xml version="1.0" encoding="utf-8"?>
<formControlPr xmlns="http://schemas.microsoft.com/office/spreadsheetml/2009/9/main" objectType="Drop" dropStyle="combo" dx="26" fmlaLink="$S$1" fmlaRange="$Q$4:$Q$16" noThreeD="1" sel="1" val="0"/>
</file>

<file path=xl/ctrlProps/ctrlProp19.xml><?xml version="1.0" encoding="utf-8"?>
<formControlPr xmlns="http://schemas.microsoft.com/office/spreadsheetml/2009/9/main" objectType="Drop" dropStyle="combo" dx="26" fmlaLink="$T$1" fmlaRange="$Q$4:$Q$16" noThreeD="1" sel="4" val="3"/>
</file>

<file path=xl/ctrlProps/ctrlProp20.xml><?xml version="1.0" encoding="utf-8"?>
<formControlPr xmlns="http://schemas.microsoft.com/office/spreadsheetml/2009/9/main" objectType="Drop" dropStyle="combo" dx="26" fmlaLink="$K$16" fmlaRange="$L$15:$L$25" noThreeD="1" sel="1" val="0"/>
</file>

<file path=xl/ctrlProps/ctrlProp21.xml><?xml version="1.0" encoding="utf-8"?>
<formControlPr xmlns="http://schemas.microsoft.com/office/spreadsheetml/2009/9/main" objectType="Drop" dropStyle="combo" dx="26" fmlaLink="$S$1" fmlaRange="$W$1:$W$5" noThreeD="1" sel="2" val="0"/>
</file>

<file path=xl/ctrlProps/ctrlProp22.xml><?xml version="1.0" encoding="utf-8"?>
<formControlPr xmlns="http://schemas.microsoft.com/office/spreadsheetml/2009/9/main" objectType="Drop" dropStyle="combo" dx="26" fmlaLink="$T$1" fmlaRange="$W$1:$W$5" noThreeD="1" sel="3" val="0"/>
</file>

<file path=xl/ctrlProps/ctrlProp23.xml><?xml version="1.0" encoding="utf-8"?>
<formControlPr xmlns="http://schemas.microsoft.com/office/spreadsheetml/2009/9/main" objectType="Drop" dropStyle="combo" dx="26" fmlaLink="$U$1" fmlaRange="$W$1:$W$5" noThreeD="1" sel="2" val="0"/>
</file>

<file path=xl/ctrlProps/ctrlProp24.xml><?xml version="1.0" encoding="utf-8"?>
<formControlPr xmlns="http://schemas.microsoft.com/office/spreadsheetml/2009/9/main" objectType="Drop" dropStyle="combo" dx="26" fmlaLink="$V$1" fmlaRange="$W$1:$W$5" noThreeD="1" sel="2" val="0"/>
</file>

<file path=xl/ctrlProps/ctrlProp25.xml><?xml version="1.0" encoding="utf-8"?>
<formControlPr xmlns="http://schemas.microsoft.com/office/spreadsheetml/2009/9/main" objectType="Drop" dropStyle="combo" dx="26" fmlaLink="$T$1" fmlaRange="$W$1:$W$5" noThreeD="1" sel="3" val="0"/>
</file>

<file path=xl/ctrlProps/ctrlProp26.xml><?xml version="1.0" encoding="utf-8"?>
<formControlPr xmlns="http://schemas.microsoft.com/office/spreadsheetml/2009/9/main" objectType="Drop" dropStyle="combo" dx="26" fmlaLink="$T$1" fmlaRange="$W$1:$W$5" noThreeD="1" sel="3" val="0"/>
</file>

<file path=xl/ctrlProps/ctrlProp27.xml><?xml version="1.0" encoding="utf-8"?>
<formControlPr xmlns="http://schemas.microsoft.com/office/spreadsheetml/2009/9/main" objectType="Drop" dropStyle="combo" dx="26" fmlaLink="$R$1" fmlaRange="$W$1:$W$5" noThreeD="1" sel="3" val="0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#PLACA_III"/><Relationship Id="rId18" Type="http://schemas.openxmlformats.org/officeDocument/2006/relationships/hyperlink" Target="#TABELA1"/><Relationship Id="rId26" Type="http://schemas.openxmlformats.org/officeDocument/2006/relationships/image" Target="../media/image7.png"/><Relationship Id="rId39" Type="http://schemas.openxmlformats.org/officeDocument/2006/relationships/image" Target="../media/image16.svg"/><Relationship Id="rId21" Type="http://schemas.openxmlformats.org/officeDocument/2006/relationships/image" Target="../media/image3.png"/><Relationship Id="rId34" Type="http://schemas.openxmlformats.org/officeDocument/2006/relationships/hyperlink" Target="#GAST_I"/><Relationship Id="rId42" Type="http://schemas.openxmlformats.org/officeDocument/2006/relationships/image" Target="../media/image18.svg"/><Relationship Id="rId47" Type="http://schemas.openxmlformats.org/officeDocument/2006/relationships/image" Target="../media/image22.svg"/><Relationship Id="rId50" Type="http://schemas.openxmlformats.org/officeDocument/2006/relationships/image" Target="../media/image24.svg"/><Relationship Id="rId55" Type="http://schemas.openxmlformats.org/officeDocument/2006/relationships/image" Target="../media/image27.png"/><Relationship Id="rId7" Type="http://schemas.openxmlformats.org/officeDocument/2006/relationships/hyperlink" Target="#VALOR_IV"/><Relationship Id="rId2" Type="http://schemas.openxmlformats.org/officeDocument/2006/relationships/hyperlink" Target="#PERDA0005"/><Relationship Id="rId16" Type="http://schemas.openxmlformats.org/officeDocument/2006/relationships/hyperlink" Target="#'ANALIZE DE DADOS '!A1"/><Relationship Id="rId29" Type="http://schemas.openxmlformats.org/officeDocument/2006/relationships/image" Target="../media/image9.png"/><Relationship Id="rId11" Type="http://schemas.openxmlformats.org/officeDocument/2006/relationships/hyperlink" Target="#PLACA_I"/><Relationship Id="rId24" Type="http://schemas.openxmlformats.org/officeDocument/2006/relationships/image" Target="../media/image6.svg"/><Relationship Id="rId32" Type="http://schemas.openxmlformats.org/officeDocument/2006/relationships/image" Target="../media/image11.png"/><Relationship Id="rId37" Type="http://schemas.openxmlformats.org/officeDocument/2006/relationships/hyperlink" Target="#PERDA0001"/><Relationship Id="rId40" Type="http://schemas.openxmlformats.org/officeDocument/2006/relationships/hyperlink" Target="#CENTRO...PLAN...1"/><Relationship Id="rId45" Type="http://schemas.openxmlformats.org/officeDocument/2006/relationships/image" Target="../media/image20.svg"/><Relationship Id="rId53" Type="http://schemas.openxmlformats.org/officeDocument/2006/relationships/image" Target="../media/image26.svg"/><Relationship Id="rId5" Type="http://schemas.openxmlformats.org/officeDocument/2006/relationships/hyperlink" Target="#PERDA0004"/><Relationship Id="rId10" Type="http://schemas.openxmlformats.org/officeDocument/2006/relationships/hyperlink" Target="#VALOR_I"/><Relationship Id="rId19" Type="http://schemas.openxmlformats.org/officeDocument/2006/relationships/image" Target="../media/image1.png"/><Relationship Id="rId31" Type="http://schemas.openxmlformats.org/officeDocument/2006/relationships/hyperlink" Target="#RET.INVEST1"/><Relationship Id="rId44" Type="http://schemas.openxmlformats.org/officeDocument/2006/relationships/image" Target="../media/image19.png"/><Relationship Id="rId52" Type="http://schemas.openxmlformats.org/officeDocument/2006/relationships/image" Target="../media/image25.png"/><Relationship Id="rId4" Type="http://schemas.openxmlformats.org/officeDocument/2006/relationships/hyperlink" Target="#PERDA0003"/><Relationship Id="rId9" Type="http://schemas.openxmlformats.org/officeDocument/2006/relationships/hyperlink" Target="#VALOR_II"/><Relationship Id="rId14" Type="http://schemas.openxmlformats.org/officeDocument/2006/relationships/hyperlink" Target="#PLACA_IIII"/><Relationship Id="rId22" Type="http://schemas.openxmlformats.org/officeDocument/2006/relationships/image" Target="../media/image4.svg"/><Relationship Id="rId27" Type="http://schemas.openxmlformats.org/officeDocument/2006/relationships/image" Target="../media/image8.svg"/><Relationship Id="rId30" Type="http://schemas.openxmlformats.org/officeDocument/2006/relationships/image" Target="../media/image10.svg"/><Relationship Id="rId35" Type="http://schemas.openxmlformats.org/officeDocument/2006/relationships/image" Target="../media/image13.png"/><Relationship Id="rId43" Type="http://schemas.openxmlformats.org/officeDocument/2006/relationships/hyperlink" Target="#GERA&#199;O1"/><Relationship Id="rId48" Type="http://schemas.openxmlformats.org/officeDocument/2006/relationships/hyperlink" Target="#FERR_I"/><Relationship Id="rId56" Type="http://schemas.openxmlformats.org/officeDocument/2006/relationships/image" Target="../media/image28.svg"/><Relationship Id="rId8" Type="http://schemas.openxmlformats.org/officeDocument/2006/relationships/hyperlink" Target="#VALOR_III"/><Relationship Id="rId51" Type="http://schemas.openxmlformats.org/officeDocument/2006/relationships/hyperlink" Target="#MENU"/><Relationship Id="rId3" Type="http://schemas.openxmlformats.org/officeDocument/2006/relationships/hyperlink" Target="#PERDA0002"/><Relationship Id="rId12" Type="http://schemas.openxmlformats.org/officeDocument/2006/relationships/hyperlink" Target="#PLACA_II"/><Relationship Id="rId17" Type="http://schemas.openxmlformats.org/officeDocument/2006/relationships/hyperlink" Target="#'GASTO COM INSTALA&#199;&#213;ES+ EPI'!A1"/><Relationship Id="rId25" Type="http://schemas.openxmlformats.org/officeDocument/2006/relationships/hyperlink" Target="#INSUMO_I"/><Relationship Id="rId33" Type="http://schemas.openxmlformats.org/officeDocument/2006/relationships/image" Target="../media/image12.svg"/><Relationship Id="rId38" Type="http://schemas.openxmlformats.org/officeDocument/2006/relationships/image" Target="../media/image15.png"/><Relationship Id="rId46" Type="http://schemas.openxmlformats.org/officeDocument/2006/relationships/image" Target="../media/image21.png"/><Relationship Id="rId20" Type="http://schemas.openxmlformats.org/officeDocument/2006/relationships/image" Target="../media/image2.svg"/><Relationship Id="rId41" Type="http://schemas.openxmlformats.org/officeDocument/2006/relationships/image" Target="../media/image17.png"/><Relationship Id="rId54" Type="http://schemas.openxmlformats.org/officeDocument/2006/relationships/hyperlink" Target="#PROPOSTA!A1"/><Relationship Id="rId1" Type="http://schemas.openxmlformats.org/officeDocument/2006/relationships/hyperlink" Target="http://www.cresesb.cepel.br/index.php?section=sundata&amp;" TargetMode="External"/><Relationship Id="rId6" Type="http://schemas.openxmlformats.org/officeDocument/2006/relationships/hyperlink" Target="#VALOR_V"/><Relationship Id="rId15" Type="http://schemas.openxmlformats.org/officeDocument/2006/relationships/hyperlink" Target="#PLACA_SOMATORIA"/><Relationship Id="rId23" Type="http://schemas.openxmlformats.org/officeDocument/2006/relationships/image" Target="../media/image5.png"/><Relationship Id="rId28" Type="http://schemas.openxmlformats.org/officeDocument/2006/relationships/hyperlink" Target="#'EQUIPAMENTO AD'!A1"/><Relationship Id="rId36" Type="http://schemas.openxmlformats.org/officeDocument/2006/relationships/image" Target="../media/image14.svg"/><Relationship Id="rId49" Type="http://schemas.openxmlformats.org/officeDocument/2006/relationships/image" Target="../media/image2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MENU"/><Relationship Id="rId3" Type="http://schemas.openxmlformats.org/officeDocument/2006/relationships/image" Target="../media/image31.png"/><Relationship Id="rId7" Type="http://schemas.openxmlformats.org/officeDocument/2006/relationships/image" Target="../media/image18.svg"/><Relationship Id="rId2" Type="http://schemas.openxmlformats.org/officeDocument/2006/relationships/image" Target="../media/image30.jpeg"/><Relationship Id="rId1" Type="http://schemas.openxmlformats.org/officeDocument/2006/relationships/image" Target="../media/image29.png"/><Relationship Id="rId6" Type="http://schemas.openxmlformats.org/officeDocument/2006/relationships/image" Target="../media/image17.png"/><Relationship Id="rId5" Type="http://schemas.openxmlformats.org/officeDocument/2006/relationships/hyperlink" Target="#CENTRO...PLAN...1"/><Relationship Id="rId10" Type="http://schemas.openxmlformats.org/officeDocument/2006/relationships/image" Target="../media/image26.svg"/><Relationship Id="rId4" Type="http://schemas.openxmlformats.org/officeDocument/2006/relationships/image" Target="../media/image32.jpe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6.svg"/><Relationship Id="rId2" Type="http://schemas.openxmlformats.org/officeDocument/2006/relationships/hyperlink" Target="#CENTRO...PLAN...1"/><Relationship Id="rId1" Type="http://schemas.openxmlformats.org/officeDocument/2006/relationships/image" Target="../media/image32.jpeg"/><Relationship Id="rId6" Type="http://schemas.openxmlformats.org/officeDocument/2006/relationships/image" Target="../media/image25.png"/><Relationship Id="rId5" Type="http://schemas.openxmlformats.org/officeDocument/2006/relationships/hyperlink" Target="#MENU"/><Relationship Id="rId4" Type="http://schemas.openxmlformats.org/officeDocument/2006/relationships/image" Target="../media/image18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svg"/><Relationship Id="rId2" Type="http://schemas.openxmlformats.org/officeDocument/2006/relationships/image" Target="../media/image17.png"/><Relationship Id="rId1" Type="http://schemas.openxmlformats.org/officeDocument/2006/relationships/hyperlink" Target="#CENTRO...PLAN...1"/><Relationship Id="rId6" Type="http://schemas.openxmlformats.org/officeDocument/2006/relationships/image" Target="../media/image26.svg"/><Relationship Id="rId5" Type="http://schemas.openxmlformats.org/officeDocument/2006/relationships/image" Target="../media/image25.png"/><Relationship Id="rId4" Type="http://schemas.openxmlformats.org/officeDocument/2006/relationships/hyperlink" Target="#MENU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svg"/><Relationship Id="rId2" Type="http://schemas.openxmlformats.org/officeDocument/2006/relationships/image" Target="../media/image25.png"/><Relationship Id="rId1" Type="http://schemas.openxmlformats.org/officeDocument/2006/relationships/hyperlink" Target="#MENU"/><Relationship Id="rId6" Type="http://schemas.openxmlformats.org/officeDocument/2006/relationships/image" Target="../media/image18.svg"/><Relationship Id="rId5" Type="http://schemas.openxmlformats.org/officeDocument/2006/relationships/image" Target="../media/image17.png"/><Relationship Id="rId4" Type="http://schemas.openxmlformats.org/officeDocument/2006/relationships/hyperlink" Target="#CENTRO...PLAN...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svg"/><Relationship Id="rId3" Type="http://schemas.openxmlformats.org/officeDocument/2006/relationships/hyperlink" Target="#CENTRO...PLAN...1"/><Relationship Id="rId7" Type="http://schemas.openxmlformats.org/officeDocument/2006/relationships/image" Target="../media/image25.png"/><Relationship Id="rId2" Type="http://schemas.openxmlformats.org/officeDocument/2006/relationships/hyperlink" Target="#VALOR_I"/><Relationship Id="rId1" Type="http://schemas.openxmlformats.org/officeDocument/2006/relationships/hyperlink" Target="#'PLANINHA CENTRAL'!A1"/><Relationship Id="rId6" Type="http://schemas.openxmlformats.org/officeDocument/2006/relationships/hyperlink" Target="#MENU"/><Relationship Id="rId5" Type="http://schemas.openxmlformats.org/officeDocument/2006/relationships/image" Target="../media/image18.svg"/><Relationship Id="rId10" Type="http://schemas.openxmlformats.org/officeDocument/2006/relationships/image" Target="../media/image6.svg"/><Relationship Id="rId4" Type="http://schemas.openxmlformats.org/officeDocument/2006/relationships/image" Target="../media/image17.png"/><Relationship Id="rId9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ERA&#199;O1"/><Relationship Id="rId3" Type="http://schemas.openxmlformats.org/officeDocument/2006/relationships/image" Target="../media/image25.png"/><Relationship Id="rId7" Type="http://schemas.openxmlformats.org/officeDocument/2006/relationships/image" Target="../media/image18.svg"/><Relationship Id="rId12" Type="http://schemas.openxmlformats.org/officeDocument/2006/relationships/image" Target="../media/image6.svg"/><Relationship Id="rId2" Type="http://schemas.openxmlformats.org/officeDocument/2006/relationships/hyperlink" Target="#MENU"/><Relationship Id="rId1" Type="http://schemas.openxmlformats.org/officeDocument/2006/relationships/hyperlink" Target="#VALOR_I"/><Relationship Id="rId6" Type="http://schemas.openxmlformats.org/officeDocument/2006/relationships/image" Target="../media/image17.png"/><Relationship Id="rId11" Type="http://schemas.openxmlformats.org/officeDocument/2006/relationships/image" Target="../media/image5.png"/><Relationship Id="rId5" Type="http://schemas.openxmlformats.org/officeDocument/2006/relationships/hyperlink" Target="#CENTRO...PLAN...1"/><Relationship Id="rId10" Type="http://schemas.openxmlformats.org/officeDocument/2006/relationships/image" Target="../media/image20.svg"/><Relationship Id="rId4" Type="http://schemas.openxmlformats.org/officeDocument/2006/relationships/image" Target="../media/image26.svg"/><Relationship Id="rId9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6.svg"/><Relationship Id="rId7" Type="http://schemas.openxmlformats.org/officeDocument/2006/relationships/hyperlink" Target="#VALOR_I"/><Relationship Id="rId2" Type="http://schemas.openxmlformats.org/officeDocument/2006/relationships/image" Target="../media/image25.png"/><Relationship Id="rId1" Type="http://schemas.openxmlformats.org/officeDocument/2006/relationships/hyperlink" Target="#MENU"/><Relationship Id="rId6" Type="http://schemas.openxmlformats.org/officeDocument/2006/relationships/image" Target="../media/image18.svg"/><Relationship Id="rId5" Type="http://schemas.openxmlformats.org/officeDocument/2006/relationships/image" Target="../media/image17.png"/><Relationship Id="rId4" Type="http://schemas.openxmlformats.org/officeDocument/2006/relationships/hyperlink" Target="#CENTRO...PLAN...1"/><Relationship Id="rId9" Type="http://schemas.openxmlformats.org/officeDocument/2006/relationships/image" Target="../media/image6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hyperlink" Target="#VALOR_I"/><Relationship Id="rId3" Type="http://schemas.openxmlformats.org/officeDocument/2006/relationships/hyperlink" Target="#VALOR_IV"/><Relationship Id="rId7" Type="http://schemas.openxmlformats.org/officeDocument/2006/relationships/hyperlink" Target="#MENU"/><Relationship Id="rId12" Type="http://schemas.openxmlformats.org/officeDocument/2006/relationships/image" Target="../media/image18.svg"/><Relationship Id="rId2" Type="http://schemas.openxmlformats.org/officeDocument/2006/relationships/hyperlink" Target="#VALOR_III"/><Relationship Id="rId1" Type="http://schemas.openxmlformats.org/officeDocument/2006/relationships/hyperlink" Target="#VALOR_II"/><Relationship Id="rId6" Type="http://schemas.openxmlformats.org/officeDocument/2006/relationships/hyperlink" Target="#FEC"/><Relationship Id="rId11" Type="http://schemas.openxmlformats.org/officeDocument/2006/relationships/image" Target="../media/image17.png"/><Relationship Id="rId5" Type="http://schemas.openxmlformats.org/officeDocument/2006/relationships/hyperlink" Target="#ARMA&#199;AO"/><Relationship Id="rId15" Type="http://schemas.openxmlformats.org/officeDocument/2006/relationships/image" Target="../media/image6.svg"/><Relationship Id="rId10" Type="http://schemas.openxmlformats.org/officeDocument/2006/relationships/hyperlink" Target="#CENTRO...PLAN...1"/><Relationship Id="rId4" Type="http://schemas.openxmlformats.org/officeDocument/2006/relationships/hyperlink" Target="#VALOR_V"/><Relationship Id="rId9" Type="http://schemas.openxmlformats.org/officeDocument/2006/relationships/image" Target="../media/image26.svg"/><Relationship Id="rId1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svg"/><Relationship Id="rId3" Type="http://schemas.openxmlformats.org/officeDocument/2006/relationships/hyperlink" Target="#CENTRO...PLAN...1"/><Relationship Id="rId7" Type="http://schemas.openxmlformats.org/officeDocument/2006/relationships/image" Target="../media/image25.png"/><Relationship Id="rId2" Type="http://schemas.openxmlformats.org/officeDocument/2006/relationships/hyperlink" Target="#'PLANINHA CENTRAL'!A1"/><Relationship Id="rId1" Type="http://schemas.openxmlformats.org/officeDocument/2006/relationships/hyperlink" Target="#VALOR_I"/><Relationship Id="rId6" Type="http://schemas.openxmlformats.org/officeDocument/2006/relationships/hyperlink" Target="#MENU"/><Relationship Id="rId5" Type="http://schemas.openxmlformats.org/officeDocument/2006/relationships/image" Target="../media/image18.svg"/><Relationship Id="rId10" Type="http://schemas.openxmlformats.org/officeDocument/2006/relationships/image" Target="../media/image6.svg"/><Relationship Id="rId4" Type="http://schemas.openxmlformats.org/officeDocument/2006/relationships/image" Target="../media/image17.png"/><Relationship Id="rId9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GAST_III"/><Relationship Id="rId13" Type="http://schemas.openxmlformats.org/officeDocument/2006/relationships/hyperlink" Target="#INSUMO_III"/><Relationship Id="rId18" Type="http://schemas.openxmlformats.org/officeDocument/2006/relationships/hyperlink" Target="#PLACA_III"/><Relationship Id="rId26" Type="http://schemas.openxmlformats.org/officeDocument/2006/relationships/hyperlink" Target="#ARCD"/><Relationship Id="rId3" Type="http://schemas.openxmlformats.org/officeDocument/2006/relationships/hyperlink" Target="#INVER_III"/><Relationship Id="rId21" Type="http://schemas.openxmlformats.org/officeDocument/2006/relationships/hyperlink" Target="#FERR_I"/><Relationship Id="rId7" Type="http://schemas.openxmlformats.org/officeDocument/2006/relationships/hyperlink" Target="#GAST_II"/><Relationship Id="rId12" Type="http://schemas.openxmlformats.org/officeDocument/2006/relationships/hyperlink" Target="#INSUMO_II"/><Relationship Id="rId17" Type="http://schemas.openxmlformats.org/officeDocument/2006/relationships/hyperlink" Target="#PLACA_II"/><Relationship Id="rId25" Type="http://schemas.openxmlformats.org/officeDocument/2006/relationships/hyperlink" Target="#ARCONDI"/><Relationship Id="rId2" Type="http://schemas.openxmlformats.org/officeDocument/2006/relationships/hyperlink" Target="#INVER_II"/><Relationship Id="rId16" Type="http://schemas.openxmlformats.org/officeDocument/2006/relationships/hyperlink" Target="#PLACA_I"/><Relationship Id="rId20" Type="http://schemas.openxmlformats.org/officeDocument/2006/relationships/hyperlink" Target="#PLACA_SOMATORIA"/><Relationship Id="rId29" Type="http://schemas.openxmlformats.org/officeDocument/2006/relationships/image" Target="../media/image18.svg"/><Relationship Id="rId1" Type="http://schemas.openxmlformats.org/officeDocument/2006/relationships/hyperlink" Target="#INVER_I"/><Relationship Id="rId6" Type="http://schemas.openxmlformats.org/officeDocument/2006/relationships/hyperlink" Target="#GAST_I"/><Relationship Id="rId11" Type="http://schemas.openxmlformats.org/officeDocument/2006/relationships/hyperlink" Target="#INSUMO_I"/><Relationship Id="rId24" Type="http://schemas.openxmlformats.org/officeDocument/2006/relationships/hyperlink" Target="#FERR_V"/><Relationship Id="rId32" Type="http://schemas.openxmlformats.org/officeDocument/2006/relationships/image" Target="../media/image26.svg"/><Relationship Id="rId5" Type="http://schemas.openxmlformats.org/officeDocument/2006/relationships/hyperlink" Target="#INVER_V"/><Relationship Id="rId15" Type="http://schemas.openxmlformats.org/officeDocument/2006/relationships/hyperlink" Target="#INSUMO_V"/><Relationship Id="rId23" Type="http://schemas.openxmlformats.org/officeDocument/2006/relationships/hyperlink" Target="#FERR_IV"/><Relationship Id="rId28" Type="http://schemas.openxmlformats.org/officeDocument/2006/relationships/image" Target="../media/image17.png"/><Relationship Id="rId10" Type="http://schemas.openxmlformats.org/officeDocument/2006/relationships/hyperlink" Target="#GAST_V"/><Relationship Id="rId19" Type="http://schemas.openxmlformats.org/officeDocument/2006/relationships/hyperlink" Target="#PLACA_IIII"/><Relationship Id="rId31" Type="http://schemas.openxmlformats.org/officeDocument/2006/relationships/image" Target="../media/image25.png"/><Relationship Id="rId4" Type="http://schemas.openxmlformats.org/officeDocument/2006/relationships/hyperlink" Target="#INVER_IV"/><Relationship Id="rId9" Type="http://schemas.openxmlformats.org/officeDocument/2006/relationships/hyperlink" Target="#GAST_IV"/><Relationship Id="rId14" Type="http://schemas.openxmlformats.org/officeDocument/2006/relationships/hyperlink" Target="#INSUMO_IV"/><Relationship Id="rId22" Type="http://schemas.openxmlformats.org/officeDocument/2006/relationships/hyperlink" Target="#FERR_II"/><Relationship Id="rId27" Type="http://schemas.openxmlformats.org/officeDocument/2006/relationships/hyperlink" Target="#CENTRO...PLAN...1"/><Relationship Id="rId30" Type="http://schemas.openxmlformats.org/officeDocument/2006/relationships/hyperlink" Target="#MENU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26.sv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25.png"/><Relationship Id="rId16" Type="http://schemas.openxmlformats.org/officeDocument/2006/relationships/image" Target="../media/image45.png"/><Relationship Id="rId1" Type="http://schemas.openxmlformats.org/officeDocument/2006/relationships/hyperlink" Target="#MENU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70484</xdr:colOff>
      <xdr:row>7</xdr:row>
      <xdr:rowOff>76200</xdr:rowOff>
    </xdr:from>
    <xdr:to>
      <xdr:col>7</xdr:col>
      <xdr:colOff>867728</xdr:colOff>
      <xdr:row>8</xdr:row>
      <xdr:rowOff>173354</xdr:rowOff>
    </xdr:to>
    <xdr:sp macro="" textlink="">
      <xdr:nvSpPr>
        <xdr:cNvPr id="2" name="Elips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871459" y="1476375"/>
          <a:ext cx="797244" cy="278129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CRESE</a:t>
          </a:r>
        </a:p>
      </xdr:txBody>
    </xdr:sp>
    <xdr:clientData/>
  </xdr:twoCellAnchor>
  <xdr:twoCellAnchor>
    <xdr:from>
      <xdr:col>7</xdr:col>
      <xdr:colOff>110490</xdr:colOff>
      <xdr:row>12</xdr:row>
      <xdr:rowOff>168116</xdr:rowOff>
    </xdr:from>
    <xdr:to>
      <xdr:col>7</xdr:col>
      <xdr:colOff>713422</xdr:colOff>
      <xdr:row>13</xdr:row>
      <xdr:rowOff>152400</xdr:rowOff>
    </xdr:to>
    <xdr:sp macro="" textlink="">
      <xdr:nvSpPr>
        <xdr:cNvPr id="4" name="Retângulo: Cantos Arredond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  <a:ext uri="{147F2762-F138-4A5C-976F-8EAC2B608ADB}">
              <a16:predDERef xmlns:a16="http://schemas.microsoft.com/office/drawing/2014/main" pred="{F2CFBF42-15AD-4090-BD29-E269F04D1134}"/>
            </a:ext>
          </a:extLst>
        </xdr:cNvPr>
        <xdr:cNvSpPr/>
      </xdr:nvSpPr>
      <xdr:spPr>
        <a:xfrm>
          <a:off x="7730490" y="2482691"/>
          <a:ext cx="602932" cy="174784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P.D.E</a:t>
          </a:r>
        </a:p>
      </xdr:txBody>
    </xdr:sp>
    <xdr:clientData/>
  </xdr:twoCellAnchor>
  <xdr:twoCellAnchor>
    <xdr:from>
      <xdr:col>6</xdr:col>
      <xdr:colOff>1451609</xdr:colOff>
      <xdr:row>21</xdr:row>
      <xdr:rowOff>49530</xdr:rowOff>
    </xdr:from>
    <xdr:to>
      <xdr:col>7</xdr:col>
      <xdr:colOff>778193</xdr:colOff>
      <xdr:row>22</xdr:row>
      <xdr:rowOff>142874</xdr:rowOff>
    </xdr:to>
    <xdr:sp macro="" textlink="">
      <xdr:nvSpPr>
        <xdr:cNvPr id="5" name="Elipse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238047" y="1299686"/>
          <a:ext cx="791052" cy="271938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CRESE</a:t>
          </a:r>
        </a:p>
      </xdr:txBody>
    </xdr:sp>
    <xdr:clientData/>
  </xdr:twoCellAnchor>
  <xdr:twoCellAnchor>
    <xdr:from>
      <xdr:col>7</xdr:col>
      <xdr:colOff>45720</xdr:colOff>
      <xdr:row>26</xdr:row>
      <xdr:rowOff>143351</xdr:rowOff>
    </xdr:from>
    <xdr:to>
      <xdr:col>7</xdr:col>
      <xdr:colOff>646747</xdr:colOff>
      <xdr:row>27</xdr:row>
      <xdr:rowOff>123825</xdr:rowOff>
    </xdr:to>
    <xdr:sp macro="" textlink="">
      <xdr:nvSpPr>
        <xdr:cNvPr id="7" name="Retângulo: Cantos Arredondados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A808E035-64E6-47C2-835A-AC7631141C8E}"/>
            </a:ext>
          </a:extLst>
        </xdr:cNvPr>
        <xdr:cNvSpPr/>
      </xdr:nvSpPr>
      <xdr:spPr>
        <a:xfrm>
          <a:off x="7665720" y="5105876"/>
          <a:ext cx="601027" cy="16144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P.D.E</a:t>
          </a:r>
        </a:p>
      </xdr:txBody>
    </xdr:sp>
    <xdr:clientData/>
  </xdr:twoCellAnchor>
  <xdr:twoCellAnchor>
    <xdr:from>
      <xdr:col>6</xdr:col>
      <xdr:colOff>1451609</xdr:colOff>
      <xdr:row>35</xdr:row>
      <xdr:rowOff>49530</xdr:rowOff>
    </xdr:from>
    <xdr:to>
      <xdr:col>7</xdr:col>
      <xdr:colOff>778193</xdr:colOff>
      <xdr:row>36</xdr:row>
      <xdr:rowOff>142874</xdr:rowOff>
    </xdr:to>
    <xdr:sp macro="" textlink="">
      <xdr:nvSpPr>
        <xdr:cNvPr id="17" name="Elips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7233284" y="4030980"/>
          <a:ext cx="793434" cy="274319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CRESE</a:t>
          </a:r>
        </a:p>
      </xdr:txBody>
    </xdr:sp>
    <xdr:clientData/>
  </xdr:twoCellAnchor>
  <xdr:twoCellAnchor>
    <xdr:from>
      <xdr:col>7</xdr:col>
      <xdr:colOff>99508</xdr:colOff>
      <xdr:row>40</xdr:row>
      <xdr:rowOff>153996</xdr:rowOff>
    </xdr:from>
    <xdr:to>
      <xdr:col>7</xdr:col>
      <xdr:colOff>700535</xdr:colOff>
      <xdr:row>41</xdr:row>
      <xdr:rowOff>134470</xdr:rowOff>
    </xdr:to>
    <xdr:sp macro="" textlink="">
      <xdr:nvSpPr>
        <xdr:cNvPr id="19" name="Retângulo: Cantos Arredondados 1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3000000}"/>
            </a:ext>
            <a:ext uri="{147F2762-F138-4A5C-976F-8EAC2B608ADB}">
              <a16:predDERef xmlns:a16="http://schemas.microsoft.com/office/drawing/2014/main" pred="{67F4BA9E-79CA-4277-9E1F-A60F5BBEAE7A}"/>
            </a:ext>
          </a:extLst>
        </xdr:cNvPr>
        <xdr:cNvSpPr/>
      </xdr:nvSpPr>
      <xdr:spPr>
        <a:xfrm>
          <a:off x="7889837" y="7756067"/>
          <a:ext cx="601027" cy="159768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P.D.E</a:t>
          </a:r>
        </a:p>
      </xdr:txBody>
    </xdr:sp>
    <xdr:clientData/>
  </xdr:twoCellAnchor>
  <xdr:twoCellAnchor>
    <xdr:from>
      <xdr:col>7</xdr:col>
      <xdr:colOff>26220</xdr:colOff>
      <xdr:row>63</xdr:row>
      <xdr:rowOff>92449</xdr:rowOff>
    </xdr:from>
    <xdr:to>
      <xdr:col>7</xdr:col>
      <xdr:colOff>817861</xdr:colOff>
      <xdr:row>64</xdr:row>
      <xdr:rowOff>189603</xdr:rowOff>
    </xdr:to>
    <xdr:sp macro="" textlink="">
      <xdr:nvSpPr>
        <xdr:cNvPr id="16" name="Elips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7816549" y="12221696"/>
          <a:ext cx="791641" cy="294378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CRESE</a:t>
          </a:r>
        </a:p>
      </xdr:txBody>
    </xdr:sp>
    <xdr:clientData/>
  </xdr:twoCellAnchor>
  <xdr:twoCellAnchor>
    <xdr:from>
      <xdr:col>7</xdr:col>
      <xdr:colOff>88638</xdr:colOff>
      <xdr:row>68</xdr:row>
      <xdr:rowOff>195010</xdr:rowOff>
    </xdr:from>
    <xdr:to>
      <xdr:col>7</xdr:col>
      <xdr:colOff>691570</xdr:colOff>
      <xdr:row>69</xdr:row>
      <xdr:rowOff>179294</xdr:rowOff>
    </xdr:to>
    <xdr:sp macro="" textlink="">
      <xdr:nvSpPr>
        <xdr:cNvPr id="21" name="Retângulo: Cantos Arredondados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5000000}"/>
            </a:ext>
            <a:ext uri="{147F2762-F138-4A5C-976F-8EAC2B608ADB}">
              <a16:predDERef xmlns:a16="http://schemas.microsoft.com/office/drawing/2014/main" pred="{DC890E5C-45A5-413F-9CEC-2A222A76772D}"/>
            </a:ext>
          </a:extLst>
        </xdr:cNvPr>
        <xdr:cNvSpPr/>
      </xdr:nvSpPr>
      <xdr:spPr>
        <a:xfrm>
          <a:off x="7878967" y="13337269"/>
          <a:ext cx="602932" cy="181507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P.D.E</a:t>
          </a:r>
        </a:p>
      </xdr:txBody>
    </xdr:sp>
    <xdr:clientData/>
  </xdr:twoCellAnchor>
  <xdr:twoCellAnchor>
    <xdr:from>
      <xdr:col>7</xdr:col>
      <xdr:colOff>53114</xdr:colOff>
      <xdr:row>49</xdr:row>
      <xdr:rowOff>103318</xdr:rowOff>
    </xdr:from>
    <xdr:to>
      <xdr:col>7</xdr:col>
      <xdr:colOff>840945</xdr:colOff>
      <xdr:row>51</xdr:row>
      <xdr:rowOff>17368</xdr:rowOff>
    </xdr:to>
    <xdr:sp macro="" textlink="">
      <xdr:nvSpPr>
        <xdr:cNvPr id="25" name="Elipse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843443" y="9453506"/>
          <a:ext cx="787831" cy="272638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CRESE</a:t>
          </a:r>
        </a:p>
      </xdr:txBody>
    </xdr:sp>
    <xdr:clientData/>
  </xdr:twoCellAnchor>
  <xdr:twoCellAnchor>
    <xdr:from>
      <xdr:col>7</xdr:col>
      <xdr:colOff>72614</xdr:colOff>
      <xdr:row>55</xdr:row>
      <xdr:rowOff>19526</xdr:rowOff>
    </xdr:from>
    <xdr:to>
      <xdr:col>7</xdr:col>
      <xdr:colOff>673641</xdr:colOff>
      <xdr:row>56</xdr:row>
      <xdr:rowOff>0</xdr:rowOff>
    </xdr:to>
    <xdr:sp macro="" textlink="">
      <xdr:nvSpPr>
        <xdr:cNvPr id="27" name="Retângulo: Cantos Arredondados 2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B000000}"/>
            </a:ext>
            <a:ext uri="{147F2762-F138-4A5C-976F-8EAC2B608ADB}">
              <a16:predDERef xmlns:a16="http://schemas.microsoft.com/office/drawing/2014/main" pred="{EAF5CD21-AD1C-46B9-B528-7520782C7FFD}"/>
            </a:ext>
          </a:extLst>
        </xdr:cNvPr>
        <xdr:cNvSpPr/>
      </xdr:nvSpPr>
      <xdr:spPr>
        <a:xfrm>
          <a:off x="7862943" y="10436514"/>
          <a:ext cx="601027" cy="159768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P.D.E</a:t>
          </a:r>
        </a:p>
      </xdr:txBody>
    </xdr:sp>
    <xdr:clientData/>
  </xdr:twoCellAnchor>
  <xdr:twoCellAnchor>
    <xdr:from>
      <xdr:col>12</xdr:col>
      <xdr:colOff>504826</xdr:colOff>
      <xdr:row>60</xdr:row>
      <xdr:rowOff>85724</xdr:rowOff>
    </xdr:from>
    <xdr:to>
      <xdr:col>12</xdr:col>
      <xdr:colOff>1304926</xdr:colOff>
      <xdr:row>61</xdr:row>
      <xdr:rowOff>200024</xdr:rowOff>
    </xdr:to>
    <xdr:sp macro="" textlink="">
      <xdr:nvSpPr>
        <xdr:cNvPr id="9" name="Retângulo: Cantos Arredondado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4868526" y="11934824"/>
          <a:ext cx="800100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12</xdr:col>
      <xdr:colOff>352426</xdr:colOff>
      <xdr:row>46</xdr:row>
      <xdr:rowOff>57149</xdr:rowOff>
    </xdr:from>
    <xdr:to>
      <xdr:col>12</xdr:col>
      <xdr:colOff>1152526</xdr:colOff>
      <xdr:row>48</xdr:row>
      <xdr:rowOff>9524</xdr:rowOff>
    </xdr:to>
    <xdr:sp macro="" textlink="">
      <xdr:nvSpPr>
        <xdr:cNvPr id="29" name="Retângulo: Cantos Arredondados 2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4716126" y="9048749"/>
          <a:ext cx="800100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12</xdr:col>
      <xdr:colOff>419101</xdr:colOff>
      <xdr:row>32</xdr:row>
      <xdr:rowOff>85724</xdr:rowOff>
    </xdr:from>
    <xdr:to>
      <xdr:col>12</xdr:col>
      <xdr:colOff>1219201</xdr:colOff>
      <xdr:row>34</xdr:row>
      <xdr:rowOff>38099</xdr:rowOff>
    </xdr:to>
    <xdr:sp macro="" textlink="">
      <xdr:nvSpPr>
        <xdr:cNvPr id="30" name="Retângulo: Cantos Arredondados 2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4782801" y="6353174"/>
          <a:ext cx="800100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12</xdr:col>
      <xdr:colOff>400051</xdr:colOff>
      <xdr:row>18</xdr:row>
      <xdr:rowOff>95249</xdr:rowOff>
    </xdr:from>
    <xdr:to>
      <xdr:col>12</xdr:col>
      <xdr:colOff>1200151</xdr:colOff>
      <xdr:row>20</xdr:row>
      <xdr:rowOff>47624</xdr:rowOff>
    </xdr:to>
    <xdr:sp macro="" textlink="">
      <xdr:nvSpPr>
        <xdr:cNvPr id="31" name="Retângulo: Cantos Arredondados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14763751" y="3609974"/>
          <a:ext cx="800100" cy="314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12</xdr:col>
      <xdr:colOff>443193</xdr:colOff>
      <xdr:row>4</xdr:row>
      <xdr:rowOff>117100</xdr:rowOff>
    </xdr:from>
    <xdr:to>
      <xdr:col>12</xdr:col>
      <xdr:colOff>1243293</xdr:colOff>
      <xdr:row>6</xdr:row>
      <xdr:rowOff>8403</xdr:rowOff>
    </xdr:to>
    <xdr:sp macro="" textlink="">
      <xdr:nvSpPr>
        <xdr:cNvPr id="32" name="Retângulo: Cantos Arredondados 3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0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5629405" y="753594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9</xdr:col>
      <xdr:colOff>26895</xdr:colOff>
      <xdr:row>4</xdr:row>
      <xdr:rowOff>35859</xdr:rowOff>
    </xdr:from>
    <xdr:to>
      <xdr:col>9</xdr:col>
      <xdr:colOff>233083</xdr:colOff>
      <xdr:row>4</xdr:row>
      <xdr:rowOff>224118</xdr:rowOff>
    </xdr:to>
    <xdr:sp macro="" textlink="">
      <xdr:nvSpPr>
        <xdr:cNvPr id="10" name="Elipse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0811436" y="842683"/>
          <a:ext cx="206188" cy="188259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71717</xdr:colOff>
      <xdr:row>17</xdr:row>
      <xdr:rowOff>161365</xdr:rowOff>
    </xdr:from>
    <xdr:to>
      <xdr:col>9</xdr:col>
      <xdr:colOff>277905</xdr:colOff>
      <xdr:row>18</xdr:row>
      <xdr:rowOff>152401</xdr:rowOff>
    </xdr:to>
    <xdr:sp macro="" textlink="">
      <xdr:nvSpPr>
        <xdr:cNvPr id="33" name="Elipse 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0856258" y="3424518"/>
          <a:ext cx="206188" cy="188259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53788</xdr:colOff>
      <xdr:row>31</xdr:row>
      <xdr:rowOff>161365</xdr:rowOff>
    </xdr:from>
    <xdr:to>
      <xdr:col>9</xdr:col>
      <xdr:colOff>259976</xdr:colOff>
      <xdr:row>32</xdr:row>
      <xdr:rowOff>152401</xdr:rowOff>
    </xdr:to>
    <xdr:sp macro="" textlink="">
      <xdr:nvSpPr>
        <xdr:cNvPr id="34" name="Elipse 3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0838329" y="6078071"/>
          <a:ext cx="206188" cy="188259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44823</xdr:colOff>
      <xdr:row>46</xdr:row>
      <xdr:rowOff>8965</xdr:rowOff>
    </xdr:from>
    <xdr:to>
      <xdr:col>9</xdr:col>
      <xdr:colOff>251011</xdr:colOff>
      <xdr:row>46</xdr:row>
      <xdr:rowOff>197224</xdr:rowOff>
    </xdr:to>
    <xdr:sp macro="" textlink="">
      <xdr:nvSpPr>
        <xdr:cNvPr id="35" name="Elipse 3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0829364" y="8758518"/>
          <a:ext cx="206188" cy="188259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44824</xdr:colOff>
      <xdr:row>59</xdr:row>
      <xdr:rowOff>188259</xdr:rowOff>
    </xdr:from>
    <xdr:to>
      <xdr:col>9</xdr:col>
      <xdr:colOff>251012</xdr:colOff>
      <xdr:row>60</xdr:row>
      <xdr:rowOff>71718</xdr:rowOff>
    </xdr:to>
    <xdr:sp macro="" textlink="">
      <xdr:nvSpPr>
        <xdr:cNvPr id="36" name="Elipse 3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0829365" y="11430000"/>
          <a:ext cx="206188" cy="188259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403860</xdr:colOff>
          <xdr:row>3</xdr:row>
          <xdr:rowOff>30480</xdr:rowOff>
        </xdr:from>
        <xdr:to>
          <xdr:col>9</xdr:col>
          <xdr:colOff>1478280</xdr:colOff>
          <xdr:row>5</xdr:row>
          <xdr:rowOff>121920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304800</xdr:colOff>
          <xdr:row>17</xdr:row>
          <xdr:rowOff>45720</xdr:rowOff>
        </xdr:from>
        <xdr:to>
          <xdr:col>10</xdr:col>
          <xdr:colOff>7620</xdr:colOff>
          <xdr:row>19</xdr:row>
          <xdr:rowOff>106680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320040</xdr:colOff>
          <xdr:row>31</xdr:row>
          <xdr:rowOff>38100</xdr:rowOff>
        </xdr:from>
        <xdr:to>
          <xdr:col>10</xdr:col>
          <xdr:colOff>0</xdr:colOff>
          <xdr:row>33</xdr:row>
          <xdr:rowOff>68580</xdr:rowOff>
        </xdr:to>
        <xdr:sp macro="" textlink="">
          <xdr:nvSpPr>
            <xdr:cNvPr id="1030" name="Drop Dow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304800</xdr:colOff>
          <xdr:row>45</xdr:row>
          <xdr:rowOff>45720</xdr:rowOff>
        </xdr:from>
        <xdr:to>
          <xdr:col>10</xdr:col>
          <xdr:colOff>7620</xdr:colOff>
          <xdr:row>47</xdr:row>
          <xdr:rowOff>121920</xdr:rowOff>
        </xdr:to>
        <xdr:sp macro="" textlink="">
          <xdr:nvSpPr>
            <xdr:cNvPr id="1031" name="Drop Dow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304800</xdr:colOff>
          <xdr:row>59</xdr:row>
          <xdr:rowOff>76200</xdr:rowOff>
        </xdr:from>
        <xdr:to>
          <xdr:col>10</xdr:col>
          <xdr:colOff>7620</xdr:colOff>
          <xdr:row>61</xdr:row>
          <xdr:rowOff>30480</xdr:rowOff>
        </xdr:to>
        <xdr:sp macro="" textlink="">
          <xdr:nvSpPr>
            <xdr:cNvPr id="1032" name="Drop Dow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367554</xdr:colOff>
      <xdr:row>9</xdr:row>
      <xdr:rowOff>116541</xdr:rowOff>
    </xdr:from>
    <xdr:to>
      <xdr:col>7</xdr:col>
      <xdr:colOff>528918</xdr:colOff>
      <xdr:row>10</xdr:row>
      <xdr:rowOff>89647</xdr:rowOff>
    </xdr:to>
    <xdr:sp macro="" textlink="">
      <xdr:nvSpPr>
        <xdr:cNvPr id="3" name="Elipse 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157883" y="1873623"/>
          <a:ext cx="161364" cy="1524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313765</xdr:colOff>
      <xdr:row>23</xdr:row>
      <xdr:rowOff>116541</xdr:rowOff>
    </xdr:from>
    <xdr:to>
      <xdr:col>7</xdr:col>
      <xdr:colOff>475129</xdr:colOff>
      <xdr:row>24</xdr:row>
      <xdr:rowOff>89647</xdr:rowOff>
    </xdr:to>
    <xdr:sp macro="" textlink="">
      <xdr:nvSpPr>
        <xdr:cNvPr id="37" name="Elipse 3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8104094" y="4527176"/>
          <a:ext cx="161364" cy="1524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295835</xdr:colOff>
      <xdr:row>37</xdr:row>
      <xdr:rowOff>89646</xdr:rowOff>
    </xdr:from>
    <xdr:to>
      <xdr:col>7</xdr:col>
      <xdr:colOff>457199</xdr:colOff>
      <xdr:row>38</xdr:row>
      <xdr:rowOff>62752</xdr:rowOff>
    </xdr:to>
    <xdr:sp macro="" textlink="">
      <xdr:nvSpPr>
        <xdr:cNvPr id="38" name="Elipse 3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8086164" y="7162799"/>
          <a:ext cx="161364" cy="1524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331694</xdr:colOff>
      <xdr:row>51</xdr:row>
      <xdr:rowOff>134470</xdr:rowOff>
    </xdr:from>
    <xdr:to>
      <xdr:col>7</xdr:col>
      <xdr:colOff>493058</xdr:colOff>
      <xdr:row>52</xdr:row>
      <xdr:rowOff>107575</xdr:rowOff>
    </xdr:to>
    <xdr:sp macro="" textlink="">
      <xdr:nvSpPr>
        <xdr:cNvPr id="39" name="Elipse 3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8122023" y="9843246"/>
          <a:ext cx="161364" cy="1524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242047</xdr:colOff>
      <xdr:row>65</xdr:row>
      <xdr:rowOff>125506</xdr:rowOff>
    </xdr:from>
    <xdr:to>
      <xdr:col>7</xdr:col>
      <xdr:colOff>403411</xdr:colOff>
      <xdr:row>66</xdr:row>
      <xdr:rowOff>80682</xdr:rowOff>
    </xdr:to>
    <xdr:sp macro="" textlink="">
      <xdr:nvSpPr>
        <xdr:cNvPr id="40" name="Elipse 39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8032376" y="12649200"/>
          <a:ext cx="161364" cy="1524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15240</xdr:colOff>
          <xdr:row>6</xdr:row>
          <xdr:rowOff>182880</xdr:rowOff>
        </xdr:from>
        <xdr:to>
          <xdr:col>9</xdr:col>
          <xdr:colOff>1531620</xdr:colOff>
          <xdr:row>7</xdr:row>
          <xdr:rowOff>152400</xdr:rowOff>
        </xdr:to>
        <xdr:sp macro="" textlink="">
          <xdr:nvSpPr>
            <xdr:cNvPr id="1037" name="Drop Down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179295</xdr:colOff>
      <xdr:row>7</xdr:row>
      <xdr:rowOff>152400</xdr:rowOff>
    </xdr:from>
    <xdr:to>
      <xdr:col>8</xdr:col>
      <xdr:colOff>403412</xdr:colOff>
      <xdr:row>9</xdr:row>
      <xdr:rowOff>0</xdr:rowOff>
    </xdr:to>
    <xdr:sp macro="" textlink="">
      <xdr:nvSpPr>
        <xdr:cNvPr id="6" name="Elipse 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9430871" y="1398494"/>
          <a:ext cx="224117" cy="215153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975584</xdr:colOff>
      <xdr:row>5</xdr:row>
      <xdr:rowOff>156881</xdr:rowOff>
    </xdr:from>
    <xdr:to>
      <xdr:col>19</xdr:col>
      <xdr:colOff>1616447</xdr:colOff>
      <xdr:row>8</xdr:row>
      <xdr:rowOff>53564</xdr:rowOff>
    </xdr:to>
    <xdr:pic>
      <xdr:nvPicPr>
        <xdr:cNvPr id="11" name="TABELAS 2" descr="Gráfico de barra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2128704" y="1238921"/>
          <a:ext cx="640863" cy="460563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1</xdr:row>
      <xdr:rowOff>17928</xdr:rowOff>
    </xdr:from>
    <xdr:to>
      <xdr:col>16</xdr:col>
      <xdr:colOff>1138517</xdr:colOff>
      <xdr:row>3</xdr:row>
      <xdr:rowOff>116539</xdr:rowOff>
    </xdr:to>
    <xdr:pic>
      <xdr:nvPicPr>
        <xdr:cNvPr id="15" name="Gráfico 14" descr="Cabeça com engrenagen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9543059" y="197222"/>
          <a:ext cx="528917" cy="528917"/>
        </a:xfrm>
        <a:prstGeom prst="rect">
          <a:avLst/>
        </a:prstGeom>
      </xdr:spPr>
    </xdr:pic>
    <xdr:clientData/>
  </xdr:twoCellAnchor>
  <xdr:twoCellAnchor editAs="oneCell">
    <xdr:from>
      <xdr:col>15</xdr:col>
      <xdr:colOff>331693</xdr:colOff>
      <xdr:row>5</xdr:row>
      <xdr:rowOff>17929</xdr:rowOff>
    </xdr:from>
    <xdr:to>
      <xdr:col>15</xdr:col>
      <xdr:colOff>941293</xdr:colOff>
      <xdr:row>8</xdr:row>
      <xdr:rowOff>80682</xdr:rowOff>
    </xdr:to>
    <xdr:pic>
      <xdr:nvPicPr>
        <xdr:cNvPr id="20" name="Gráfico 19" descr="Dóla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8512117" y="1075764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349624</xdr:colOff>
      <xdr:row>10</xdr:row>
      <xdr:rowOff>26893</xdr:rowOff>
    </xdr:from>
    <xdr:to>
      <xdr:col>15</xdr:col>
      <xdr:colOff>896471</xdr:colOff>
      <xdr:row>13</xdr:row>
      <xdr:rowOff>26893</xdr:rowOff>
    </xdr:to>
    <xdr:pic>
      <xdr:nvPicPr>
        <xdr:cNvPr id="23" name="Gráfico 22" descr="Ferramenta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18530048" y="2008093"/>
          <a:ext cx="546847" cy="546847"/>
        </a:xfrm>
        <a:prstGeom prst="rect">
          <a:avLst/>
        </a:prstGeom>
      </xdr:spPr>
    </xdr:pic>
    <xdr:clientData/>
  </xdr:twoCellAnchor>
  <xdr:twoCellAnchor editAs="oneCell">
    <xdr:from>
      <xdr:col>19</xdr:col>
      <xdr:colOff>972671</xdr:colOff>
      <xdr:row>1</xdr:row>
      <xdr:rowOff>8962</xdr:rowOff>
    </xdr:from>
    <xdr:to>
      <xdr:col>19</xdr:col>
      <xdr:colOff>1653988</xdr:colOff>
      <xdr:row>4</xdr:row>
      <xdr:rowOff>53785</xdr:rowOff>
    </xdr:to>
    <xdr:pic>
      <xdr:nvPicPr>
        <xdr:cNvPr id="26" name="Gráfico 25" descr="Floco de neve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2125791" y="207082"/>
          <a:ext cx="681317" cy="684903"/>
        </a:xfrm>
        <a:prstGeom prst="rect">
          <a:avLst/>
        </a:prstGeom>
      </xdr:spPr>
    </xdr:pic>
    <xdr:clientData/>
  </xdr:twoCellAnchor>
  <xdr:twoCellAnchor editAs="oneCell">
    <xdr:from>
      <xdr:col>19</xdr:col>
      <xdr:colOff>1528484</xdr:colOff>
      <xdr:row>11</xdr:row>
      <xdr:rowOff>71718</xdr:rowOff>
    </xdr:from>
    <xdr:to>
      <xdr:col>19</xdr:col>
      <xdr:colOff>2138083</xdr:colOff>
      <xdr:row>14</xdr:row>
      <xdr:rowOff>152399</xdr:rowOff>
    </xdr:to>
    <xdr:pic>
      <xdr:nvPicPr>
        <xdr:cNvPr id="41" name="Gráfico 40" descr="Ampliar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22681604" y="2311998"/>
          <a:ext cx="609599" cy="629321"/>
        </a:xfrm>
        <a:prstGeom prst="rect">
          <a:avLst/>
        </a:prstGeom>
      </xdr:spPr>
    </xdr:pic>
    <xdr:clientData/>
  </xdr:twoCellAnchor>
  <xdr:twoCellAnchor editAs="oneCell">
    <xdr:from>
      <xdr:col>16</xdr:col>
      <xdr:colOff>510989</xdr:colOff>
      <xdr:row>4</xdr:row>
      <xdr:rowOff>197224</xdr:rowOff>
    </xdr:from>
    <xdr:to>
      <xdr:col>16</xdr:col>
      <xdr:colOff>1165412</xdr:colOff>
      <xdr:row>8</xdr:row>
      <xdr:rowOff>62753</xdr:rowOff>
    </xdr:to>
    <xdr:pic>
      <xdr:nvPicPr>
        <xdr:cNvPr id="45" name="Gráfico 44" descr="Eletricista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19444448" y="1013012"/>
          <a:ext cx="654423" cy="654423"/>
        </a:xfrm>
        <a:prstGeom prst="rect">
          <a:avLst/>
        </a:prstGeom>
      </xdr:spPr>
    </xdr:pic>
    <xdr:clientData/>
  </xdr:twoCellAnchor>
  <xdr:twoCellAnchor editAs="oneCell">
    <xdr:from>
      <xdr:col>16</xdr:col>
      <xdr:colOff>643059</xdr:colOff>
      <xdr:row>10</xdr:row>
      <xdr:rowOff>53787</xdr:rowOff>
    </xdr:from>
    <xdr:to>
      <xdr:col>16</xdr:col>
      <xdr:colOff>1169576</xdr:colOff>
      <xdr:row>13</xdr:row>
      <xdr:rowOff>33457</xdr:rowOff>
    </xdr:to>
    <xdr:pic>
      <xdr:nvPicPr>
        <xdr:cNvPr id="47" name="Gráfico 46" descr="Ampliar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>
          <a:off x="19576518" y="2034987"/>
          <a:ext cx="526517" cy="526517"/>
        </a:xfrm>
        <a:prstGeom prst="rect">
          <a:avLst/>
        </a:prstGeom>
      </xdr:spPr>
    </xdr:pic>
    <xdr:clientData/>
  </xdr:twoCellAnchor>
  <xdr:twoCellAnchor editAs="oneCell">
    <xdr:from>
      <xdr:col>15</xdr:col>
      <xdr:colOff>284470</xdr:colOff>
      <xdr:row>0</xdr:row>
      <xdr:rowOff>156564</xdr:rowOff>
    </xdr:from>
    <xdr:to>
      <xdr:col>15</xdr:col>
      <xdr:colOff>950258</xdr:colOff>
      <xdr:row>3</xdr:row>
      <xdr:rowOff>203787</xdr:rowOff>
    </xdr:to>
    <xdr:pic>
      <xdr:nvPicPr>
        <xdr:cNvPr id="51" name="Gráfico 50" descr="Janela do navegador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18464894" y="156564"/>
          <a:ext cx="665788" cy="665788"/>
        </a:xfrm>
        <a:prstGeom prst="rect">
          <a:avLst/>
        </a:prstGeom>
      </xdr:spPr>
    </xdr:pic>
    <xdr:clientData/>
  </xdr:twoCellAnchor>
  <xdr:twoCellAnchor editAs="oneCell">
    <xdr:from>
      <xdr:col>19</xdr:col>
      <xdr:colOff>349623</xdr:colOff>
      <xdr:row>11</xdr:row>
      <xdr:rowOff>41237</xdr:rowOff>
    </xdr:from>
    <xdr:to>
      <xdr:col>19</xdr:col>
      <xdr:colOff>932329</xdr:colOff>
      <xdr:row>14</xdr:row>
      <xdr:rowOff>86061</xdr:rowOff>
    </xdr:to>
    <xdr:pic>
      <xdr:nvPicPr>
        <xdr:cNvPr id="53" name="Gráfico 52" descr="Tendência ascendente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"/>
            </a:ext>
          </a:extLst>
        </a:blip>
        <a:stretch>
          <a:fillRect/>
        </a:stretch>
      </xdr:blipFill>
      <xdr:spPr>
        <a:xfrm>
          <a:off x="21502743" y="2281517"/>
          <a:ext cx="582706" cy="593464"/>
        </a:xfrm>
        <a:prstGeom prst="rect">
          <a:avLst/>
        </a:prstGeom>
      </xdr:spPr>
    </xdr:pic>
    <xdr:clientData/>
  </xdr:twoCellAnchor>
  <xdr:twoCellAnchor editAs="oneCell">
    <xdr:from>
      <xdr:col>20</xdr:col>
      <xdr:colOff>1004943</xdr:colOff>
      <xdr:row>1</xdr:row>
      <xdr:rowOff>63649</xdr:rowOff>
    </xdr:from>
    <xdr:to>
      <xdr:col>20</xdr:col>
      <xdr:colOff>1587649</xdr:colOff>
      <xdr:row>4</xdr:row>
      <xdr:rowOff>2689</xdr:rowOff>
    </xdr:to>
    <xdr:pic>
      <xdr:nvPicPr>
        <xdr:cNvPr id="55" name="Gráfico 54" descr="Sol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24047823" y="261769"/>
          <a:ext cx="582706" cy="579120"/>
        </a:xfrm>
        <a:prstGeom prst="rect">
          <a:avLst/>
        </a:prstGeom>
      </xdr:spPr>
    </xdr:pic>
    <xdr:clientData/>
  </xdr:twoCellAnchor>
  <xdr:twoCellAnchor editAs="oneCell">
    <xdr:from>
      <xdr:col>20</xdr:col>
      <xdr:colOff>1036319</xdr:colOff>
      <xdr:row>5</xdr:row>
      <xdr:rowOff>17927</xdr:rowOff>
    </xdr:from>
    <xdr:to>
      <xdr:col>20</xdr:col>
      <xdr:colOff>1726602</xdr:colOff>
      <xdr:row>8</xdr:row>
      <xdr:rowOff>161363</xdr:rowOff>
    </xdr:to>
    <xdr:pic>
      <xdr:nvPicPr>
        <xdr:cNvPr id="57" name="Gráfico 56" descr="Carrinho de compras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24079199" y="1099967"/>
          <a:ext cx="690283" cy="707316"/>
        </a:xfrm>
        <a:prstGeom prst="rect">
          <a:avLst/>
        </a:prstGeom>
      </xdr:spPr>
    </xdr:pic>
    <xdr:clientData/>
  </xdr:twoCellAnchor>
  <xdr:twoCellAnchor editAs="oneCell">
    <xdr:from>
      <xdr:col>21</xdr:col>
      <xdr:colOff>213774</xdr:colOff>
      <xdr:row>0</xdr:row>
      <xdr:rowOff>149641</xdr:rowOff>
    </xdr:from>
    <xdr:to>
      <xdr:col>21</xdr:col>
      <xdr:colOff>1128174</xdr:colOff>
      <xdr:row>5</xdr:row>
      <xdr:rowOff>8964</xdr:rowOff>
    </xdr:to>
    <xdr:pic>
      <xdr:nvPicPr>
        <xdr:cNvPr id="59" name="Gráfico 58" descr="Rede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3"/>
            </a:ext>
          </a:extLst>
        </a:blip>
        <a:stretch>
          <a:fillRect/>
        </a:stretch>
      </xdr:blipFill>
      <xdr:spPr>
        <a:xfrm>
          <a:off x="26625866" y="149641"/>
          <a:ext cx="914400" cy="937846"/>
        </a:xfrm>
        <a:prstGeom prst="rect">
          <a:avLst/>
        </a:prstGeom>
      </xdr:spPr>
    </xdr:pic>
    <xdr:clientData/>
  </xdr:twoCellAnchor>
  <xdr:twoCellAnchor editAs="oneCell">
    <xdr:from>
      <xdr:col>20</xdr:col>
      <xdr:colOff>937846</xdr:colOff>
      <xdr:row>10</xdr:row>
      <xdr:rowOff>46892</xdr:rowOff>
    </xdr:from>
    <xdr:to>
      <xdr:col>20</xdr:col>
      <xdr:colOff>1852246</xdr:colOff>
      <xdr:row>15</xdr:row>
      <xdr:rowOff>23446</xdr:rowOff>
    </xdr:to>
    <xdr:pic>
      <xdr:nvPicPr>
        <xdr:cNvPr id="61" name="Gráfico 60" descr="Contrato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24665354" y="2063261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323850</xdr:colOff>
      <xdr:row>0</xdr:row>
      <xdr:rowOff>0</xdr:rowOff>
    </xdr:from>
    <xdr:to>
      <xdr:col>28</xdr:col>
      <xdr:colOff>213360</xdr:colOff>
      <xdr:row>37</xdr:row>
      <xdr:rowOff>22860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239" t="18076" r="46119" b="15915"/>
        <a:stretch/>
      </xdr:blipFill>
      <xdr:spPr>
        <a:xfrm>
          <a:off x="4591050" y="0"/>
          <a:ext cx="12691110" cy="6718935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</xdr:colOff>
      <xdr:row>38</xdr:row>
      <xdr:rowOff>30480</xdr:rowOff>
    </xdr:from>
    <xdr:to>
      <xdr:col>13</xdr:col>
      <xdr:colOff>517525</xdr:colOff>
      <xdr:row>61</xdr:row>
      <xdr:rowOff>45085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6" t="7513" r="13045" b="2150"/>
        <a:stretch/>
      </xdr:blipFill>
      <xdr:spPr bwMode="auto">
        <a:xfrm>
          <a:off x="6179820" y="6979920"/>
          <a:ext cx="2262505" cy="42208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14</xdr:col>
      <xdr:colOff>129540</xdr:colOff>
      <xdr:row>37</xdr:row>
      <xdr:rowOff>91440</xdr:rowOff>
    </xdr:from>
    <xdr:to>
      <xdr:col>24</xdr:col>
      <xdr:colOff>466090</xdr:colOff>
      <xdr:row>66</xdr:row>
      <xdr:rowOff>13970</xdr:rowOff>
    </xdr:to>
    <xdr:pic>
      <xdr:nvPicPr>
        <xdr:cNvPr id="4" name="Imagem 3" descr="Como Calcular a bitola (&amp;quot;espessura&amp;quot;) do fio!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3940" y="6858000"/>
          <a:ext cx="6432550" cy="5226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333375</xdr:colOff>
      <xdr:row>7</xdr:row>
      <xdr:rowOff>76200</xdr:rowOff>
    </xdr:from>
    <xdr:to>
      <xdr:col>44</xdr:col>
      <xdr:colOff>609599</xdr:colOff>
      <xdr:row>40</xdr:row>
      <xdr:rowOff>109009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15" t="20285" b="23041"/>
        <a:stretch/>
      </xdr:blipFill>
      <xdr:spPr bwMode="auto">
        <a:xfrm>
          <a:off x="18011775" y="1343025"/>
          <a:ext cx="9420224" cy="6004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66675</xdr:rowOff>
    </xdr:from>
    <xdr:to>
      <xdr:col>5</xdr:col>
      <xdr:colOff>323850</xdr:colOff>
      <xdr:row>7</xdr:row>
      <xdr:rowOff>123825</xdr:rowOff>
    </xdr:to>
    <xdr:pic>
      <xdr:nvPicPr>
        <xdr:cNvPr id="8" name="Gráfico 7" descr="Janela do navegado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28850" y="247650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</xdr:row>
      <xdr:rowOff>171450</xdr:rowOff>
    </xdr:from>
    <xdr:to>
      <xdr:col>2</xdr:col>
      <xdr:colOff>400050</xdr:colOff>
      <xdr:row>6</xdr:row>
      <xdr:rowOff>156796</xdr:rowOff>
    </xdr:to>
    <xdr:pic>
      <xdr:nvPicPr>
        <xdr:cNvPr id="9" name="Gráfico 8" descr="Red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04850" y="361950"/>
          <a:ext cx="914400" cy="9378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43391</xdr:rowOff>
    </xdr:from>
    <xdr:to>
      <xdr:col>22</xdr:col>
      <xdr:colOff>593724</xdr:colOff>
      <xdr:row>28</xdr:row>
      <xdr:rowOff>57150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15" t="20285" b="23041"/>
        <a:stretch/>
      </xdr:blipFill>
      <xdr:spPr bwMode="auto">
        <a:xfrm>
          <a:off x="12890500" y="43391"/>
          <a:ext cx="9420224" cy="6004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466725</xdr:colOff>
      <xdr:row>6</xdr:row>
      <xdr:rowOff>157723</xdr:rowOff>
    </xdr:from>
    <xdr:to>
      <xdr:col>6</xdr:col>
      <xdr:colOff>1476375</xdr:colOff>
      <xdr:row>11</xdr:row>
      <xdr:rowOff>33889</xdr:rowOff>
    </xdr:to>
    <xdr:pic>
      <xdr:nvPicPr>
        <xdr:cNvPr id="7" name="Gráfico 6" descr="Janela do navegador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096625" y="1500748"/>
          <a:ext cx="1009650" cy="1019166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2</xdr:row>
      <xdr:rowOff>219075</xdr:rowOff>
    </xdr:from>
    <xdr:to>
      <xdr:col>6</xdr:col>
      <xdr:colOff>1409700</xdr:colOff>
      <xdr:row>6</xdr:row>
      <xdr:rowOff>219075</xdr:rowOff>
    </xdr:to>
    <xdr:pic>
      <xdr:nvPicPr>
        <xdr:cNvPr id="8" name="Gráfico 7" descr="Red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125200" y="647700"/>
          <a:ext cx="914400" cy="91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1752600</xdr:colOff>
          <xdr:row>1</xdr:row>
          <xdr:rowOff>175260</xdr:rowOff>
        </xdr:from>
        <xdr:to>
          <xdr:col>5</xdr:col>
          <xdr:colOff>0</xdr:colOff>
          <xdr:row>2</xdr:row>
          <xdr:rowOff>182880</xdr:rowOff>
        </xdr:to>
        <xdr:sp macro="" textlink="">
          <xdr:nvSpPr>
            <xdr:cNvPr id="17411" name="Drop Down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3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259080</xdr:colOff>
      <xdr:row>8</xdr:row>
      <xdr:rowOff>93345</xdr:rowOff>
    </xdr:from>
    <xdr:to>
      <xdr:col>10</xdr:col>
      <xdr:colOff>924868</xdr:colOff>
      <xdr:row>11</xdr:row>
      <xdr:rowOff>164773</xdr:rowOff>
    </xdr:to>
    <xdr:pic>
      <xdr:nvPicPr>
        <xdr:cNvPr id="8" name="Gráfico 7" descr="Janela do navegado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527280" y="1712595"/>
          <a:ext cx="665788" cy="671503"/>
        </a:xfrm>
        <a:prstGeom prst="rect">
          <a:avLst/>
        </a:prstGeom>
      </xdr:spPr>
    </xdr:pic>
    <xdr:clientData/>
  </xdr:twoCellAnchor>
  <xdr:twoCellAnchor editAs="oneCell">
    <xdr:from>
      <xdr:col>10</xdr:col>
      <xdr:colOff>182880</xdr:colOff>
      <xdr:row>5</xdr:row>
      <xdr:rowOff>13335</xdr:rowOff>
    </xdr:from>
    <xdr:to>
      <xdr:col>10</xdr:col>
      <xdr:colOff>960120</xdr:colOff>
      <xdr:row>8</xdr:row>
      <xdr:rowOff>198120</xdr:rowOff>
    </xdr:to>
    <xdr:pic>
      <xdr:nvPicPr>
        <xdr:cNvPr id="9" name="Gráfico 8" descr="Rede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451080" y="1032510"/>
          <a:ext cx="777240" cy="7848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365760</xdr:colOff>
      <xdr:row>0</xdr:row>
      <xdr:rowOff>0</xdr:rowOff>
    </xdr:from>
    <xdr:to>
      <xdr:col>8</xdr:col>
      <xdr:colOff>556260</xdr:colOff>
      <xdr:row>4</xdr:row>
      <xdr:rowOff>89095</xdr:rowOff>
    </xdr:to>
    <xdr:pic>
      <xdr:nvPicPr>
        <xdr:cNvPr id="8" name="Gráfico 7" descr="Red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077200" y="0"/>
          <a:ext cx="800100" cy="820615"/>
        </a:xfrm>
        <a:prstGeom prst="rect">
          <a:avLst/>
        </a:prstGeom>
      </xdr:spPr>
    </xdr:pic>
    <xdr:clientData/>
  </xdr:twoCellAnchor>
  <xdr:twoCellAnchor editAs="oneCell">
    <xdr:from>
      <xdr:col>7</xdr:col>
      <xdr:colOff>441960</xdr:colOff>
      <xdr:row>4</xdr:row>
      <xdr:rowOff>68580</xdr:rowOff>
    </xdr:from>
    <xdr:to>
      <xdr:col>8</xdr:col>
      <xdr:colOff>498148</xdr:colOff>
      <xdr:row>8</xdr:row>
      <xdr:rowOff>5606</xdr:rowOff>
    </xdr:to>
    <xdr:pic>
      <xdr:nvPicPr>
        <xdr:cNvPr id="13" name="Gráfico 12" descr="Janela do navegador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153400" y="800100"/>
          <a:ext cx="665788" cy="6685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18</xdr:row>
      <xdr:rowOff>66675</xdr:rowOff>
    </xdr:from>
    <xdr:to>
      <xdr:col>6</xdr:col>
      <xdr:colOff>908685</xdr:colOff>
      <xdr:row>20</xdr:row>
      <xdr:rowOff>1905</xdr:rowOff>
    </xdr:to>
    <xdr:sp macro="" textlink="">
      <xdr:nvSpPr>
        <xdr:cNvPr id="3" name="Retângulo: Cantos Arredondado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0517505" y="3648075"/>
          <a:ext cx="784860" cy="392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VOLTAR</a:t>
          </a:r>
        </a:p>
      </xdr:txBody>
    </xdr:sp>
    <xdr:clientData/>
  </xdr:twoCellAnchor>
  <xdr:twoCellAnchor>
    <xdr:from>
      <xdr:col>6</xdr:col>
      <xdr:colOff>127635</xdr:colOff>
      <xdr:row>35</xdr:row>
      <xdr:rowOff>59055</xdr:rowOff>
    </xdr:from>
    <xdr:to>
      <xdr:col>6</xdr:col>
      <xdr:colOff>874395</xdr:colOff>
      <xdr:row>37</xdr:row>
      <xdr:rowOff>81915</xdr:rowOff>
    </xdr:to>
    <xdr:sp macro="" textlink="">
      <xdr:nvSpPr>
        <xdr:cNvPr id="8" name="Retângulo: Cantos Arredondados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8000000}"/>
            </a:ext>
            <a:ext uri="{147F2762-F138-4A5C-976F-8EAC2B608ADB}">
              <a16:predDERef xmlns:a16="http://schemas.microsoft.com/office/drawing/2014/main" pred="{E1D40511-EFDF-4B0F-AB1B-510BC15D2085}"/>
            </a:ext>
          </a:extLst>
        </xdr:cNvPr>
        <xdr:cNvSpPr/>
      </xdr:nvSpPr>
      <xdr:spPr>
        <a:xfrm>
          <a:off x="10521315" y="6871335"/>
          <a:ext cx="746760" cy="3886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VOLTAR</a:t>
          </a:r>
        </a:p>
      </xdr:txBody>
    </xdr:sp>
    <xdr:clientData/>
  </xdr:twoCellAnchor>
  <xdr:twoCellAnchor>
    <xdr:from>
      <xdr:col>6</xdr:col>
      <xdr:colOff>198120</xdr:colOff>
      <xdr:row>52</xdr:row>
      <xdr:rowOff>45720</xdr:rowOff>
    </xdr:from>
    <xdr:to>
      <xdr:col>6</xdr:col>
      <xdr:colOff>876300</xdr:colOff>
      <xdr:row>53</xdr:row>
      <xdr:rowOff>171450</xdr:rowOff>
    </xdr:to>
    <xdr:sp macro="" textlink="">
      <xdr:nvSpPr>
        <xdr:cNvPr id="9" name="Retângulo: Cantos Arredondados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9000000}"/>
            </a:ext>
            <a:ext uri="{147F2762-F138-4A5C-976F-8EAC2B608ADB}">
              <a16:predDERef xmlns:a16="http://schemas.microsoft.com/office/drawing/2014/main" pred="{21A59A55-AAD3-4212-9CFD-968B45DE5344}"/>
            </a:ext>
          </a:extLst>
        </xdr:cNvPr>
        <xdr:cNvSpPr/>
      </xdr:nvSpPr>
      <xdr:spPr>
        <a:xfrm>
          <a:off x="10591800" y="10058400"/>
          <a:ext cx="678180" cy="3924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VOLTAR</a:t>
          </a:r>
        </a:p>
      </xdr:txBody>
    </xdr:sp>
    <xdr:clientData/>
  </xdr:twoCellAnchor>
  <xdr:twoCellAnchor>
    <xdr:from>
      <xdr:col>6</xdr:col>
      <xdr:colOff>72390</xdr:colOff>
      <xdr:row>69</xdr:row>
      <xdr:rowOff>83820</xdr:rowOff>
    </xdr:from>
    <xdr:to>
      <xdr:col>6</xdr:col>
      <xdr:colOff>750570</xdr:colOff>
      <xdr:row>71</xdr:row>
      <xdr:rowOff>24765</xdr:rowOff>
    </xdr:to>
    <xdr:sp macro="" textlink="">
      <xdr:nvSpPr>
        <xdr:cNvPr id="10" name="Retângulo: Cantos Arredondados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A000000}"/>
            </a:ext>
            <a:ext uri="{147F2762-F138-4A5C-976F-8EAC2B608ADB}">
              <a16:predDERef xmlns:a16="http://schemas.microsoft.com/office/drawing/2014/main" pred="{82AE0779-CDD7-4465-BB3A-6BDE1F6CD768}"/>
            </a:ext>
          </a:extLst>
        </xdr:cNvPr>
        <xdr:cNvSpPr/>
      </xdr:nvSpPr>
      <xdr:spPr>
        <a:xfrm>
          <a:off x="10466070" y="13296900"/>
          <a:ext cx="678180" cy="30670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VOLTAR</a:t>
          </a:r>
        </a:p>
      </xdr:txBody>
    </xdr:sp>
    <xdr:clientData/>
  </xdr:twoCellAnchor>
  <xdr:twoCellAnchor>
    <xdr:from>
      <xdr:col>6</xdr:col>
      <xdr:colOff>114300</xdr:colOff>
      <xdr:row>20</xdr:row>
      <xdr:rowOff>129540</xdr:rowOff>
    </xdr:from>
    <xdr:to>
      <xdr:col>6</xdr:col>
      <xdr:colOff>914400</xdr:colOff>
      <xdr:row>22</xdr:row>
      <xdr:rowOff>76424</xdr:rowOff>
    </xdr:to>
    <xdr:sp macro="" textlink="">
      <xdr:nvSpPr>
        <xdr:cNvPr id="11" name="Retângulo: Cantos Arredondados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B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0507980" y="416814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6</xdr:col>
      <xdr:colOff>106680</xdr:colOff>
      <xdr:row>38</xdr:row>
      <xdr:rowOff>15240</xdr:rowOff>
    </xdr:from>
    <xdr:to>
      <xdr:col>6</xdr:col>
      <xdr:colOff>906780</xdr:colOff>
      <xdr:row>39</xdr:row>
      <xdr:rowOff>145004</xdr:rowOff>
    </xdr:to>
    <xdr:sp macro="" textlink="">
      <xdr:nvSpPr>
        <xdr:cNvPr id="13" name="Retângulo: Cantos Arredondados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D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0500360" y="737616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6</xdr:col>
      <xdr:colOff>106680</xdr:colOff>
      <xdr:row>54</xdr:row>
      <xdr:rowOff>91440</xdr:rowOff>
    </xdr:from>
    <xdr:to>
      <xdr:col>6</xdr:col>
      <xdr:colOff>906780</xdr:colOff>
      <xdr:row>56</xdr:row>
      <xdr:rowOff>38324</xdr:rowOff>
    </xdr:to>
    <xdr:sp macro="" textlink="">
      <xdr:nvSpPr>
        <xdr:cNvPr id="14" name="Retângulo: Cantos Arredondados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E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0500360" y="1056132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6</xdr:col>
      <xdr:colOff>38100</xdr:colOff>
      <xdr:row>71</xdr:row>
      <xdr:rowOff>68580</xdr:rowOff>
    </xdr:from>
    <xdr:to>
      <xdr:col>6</xdr:col>
      <xdr:colOff>838200</xdr:colOff>
      <xdr:row>73</xdr:row>
      <xdr:rowOff>15464</xdr:rowOff>
    </xdr:to>
    <xdr:sp macro="" textlink="">
      <xdr:nvSpPr>
        <xdr:cNvPr id="15" name="Retângulo: Cantos Arredondados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F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0431780" y="1364742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 editAs="oneCell">
    <xdr:from>
      <xdr:col>6</xdr:col>
      <xdr:colOff>243840</xdr:colOff>
      <xdr:row>4</xdr:row>
      <xdr:rowOff>76200</xdr:rowOff>
    </xdr:from>
    <xdr:to>
      <xdr:col>6</xdr:col>
      <xdr:colOff>909628</xdr:colOff>
      <xdr:row>8</xdr:row>
      <xdr:rowOff>16743</xdr:rowOff>
    </xdr:to>
    <xdr:pic>
      <xdr:nvPicPr>
        <xdr:cNvPr id="12" name="Gráfico 11" descr="Janela do navegado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637520" y="982980"/>
          <a:ext cx="665788" cy="672063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</xdr:colOff>
      <xdr:row>0</xdr:row>
      <xdr:rowOff>167640</xdr:rowOff>
    </xdr:from>
    <xdr:to>
      <xdr:col>6</xdr:col>
      <xdr:colOff>929640</xdr:colOff>
      <xdr:row>4</xdr:row>
      <xdr:rowOff>53340</xdr:rowOff>
    </xdr:to>
    <xdr:pic>
      <xdr:nvPicPr>
        <xdr:cNvPr id="16" name="Gráfico 15" descr="Red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530840" y="167640"/>
          <a:ext cx="792480" cy="792480"/>
        </a:xfrm>
        <a:prstGeom prst="rect">
          <a:avLst/>
        </a:prstGeom>
      </xdr:spPr>
    </xdr:pic>
    <xdr:clientData/>
  </xdr:twoCellAnchor>
  <xdr:twoCellAnchor editAs="oneCell">
    <xdr:from>
      <xdr:col>6</xdr:col>
      <xdr:colOff>1051560</xdr:colOff>
      <xdr:row>0</xdr:row>
      <xdr:rowOff>251460</xdr:rowOff>
    </xdr:from>
    <xdr:to>
      <xdr:col>7</xdr:col>
      <xdr:colOff>601980</xdr:colOff>
      <xdr:row>3</xdr:row>
      <xdr:rowOff>153021</xdr:rowOff>
    </xdr:to>
    <xdr:pic>
      <xdr:nvPicPr>
        <xdr:cNvPr id="17" name="Gráfico 16" descr="Dólar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445240" y="251460"/>
          <a:ext cx="609600" cy="62546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502920</xdr:colOff>
      <xdr:row>29</xdr:row>
      <xdr:rowOff>213360</xdr:rowOff>
    </xdr:from>
    <xdr:to>
      <xdr:col>12</xdr:col>
      <xdr:colOff>53340</xdr:colOff>
      <xdr:row>30</xdr:row>
      <xdr:rowOff>175484</xdr:rowOff>
    </xdr:to>
    <xdr:sp macro="" textlink="">
      <xdr:nvSpPr>
        <xdr:cNvPr id="3" name="Retângulo: Cantos Arredondado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3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7213580" y="572262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10</xdr:col>
      <xdr:colOff>548640</xdr:colOff>
      <xdr:row>58</xdr:row>
      <xdr:rowOff>38100</xdr:rowOff>
    </xdr:from>
    <xdr:to>
      <xdr:col>12</xdr:col>
      <xdr:colOff>99060</xdr:colOff>
      <xdr:row>59</xdr:row>
      <xdr:rowOff>224</xdr:rowOff>
    </xdr:to>
    <xdr:sp macro="" textlink="">
      <xdr:nvSpPr>
        <xdr:cNvPr id="4" name="Retângulo: Cantos Arredondado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4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7259300" y="1105662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10</xdr:col>
      <xdr:colOff>525780</xdr:colOff>
      <xdr:row>87</xdr:row>
      <xdr:rowOff>152400</xdr:rowOff>
    </xdr:from>
    <xdr:to>
      <xdr:col>12</xdr:col>
      <xdr:colOff>76200</xdr:colOff>
      <xdr:row>88</xdr:row>
      <xdr:rowOff>114524</xdr:rowOff>
    </xdr:to>
    <xdr:sp macro="" textlink="">
      <xdr:nvSpPr>
        <xdr:cNvPr id="5" name="Retângulo: Cantos Arredondados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7236440" y="1668018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10</xdr:col>
      <xdr:colOff>525780</xdr:colOff>
      <xdr:row>116</xdr:row>
      <xdr:rowOff>121920</xdr:rowOff>
    </xdr:from>
    <xdr:to>
      <xdr:col>12</xdr:col>
      <xdr:colOff>76200</xdr:colOff>
      <xdr:row>117</xdr:row>
      <xdr:rowOff>91664</xdr:rowOff>
    </xdr:to>
    <xdr:sp macro="" textlink="">
      <xdr:nvSpPr>
        <xdr:cNvPr id="6" name="Retângulo: Cantos Arredondados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6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17236440" y="22158960"/>
          <a:ext cx="800100" cy="32026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566057</xdr:colOff>
      <xdr:row>0</xdr:row>
      <xdr:rowOff>103832</xdr:rowOff>
    </xdr:from>
    <xdr:to>
      <xdr:col>10</xdr:col>
      <xdr:colOff>10885</xdr:colOff>
      <xdr:row>3</xdr:row>
      <xdr:rowOff>56103</xdr:rowOff>
    </xdr:to>
    <xdr:pic>
      <xdr:nvPicPr>
        <xdr:cNvPr id="7" name="Gráfico 6" descr="Rede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023771" y="103832"/>
          <a:ext cx="685800" cy="703385"/>
        </a:xfrm>
        <a:prstGeom prst="rect">
          <a:avLst/>
        </a:prstGeom>
      </xdr:spPr>
    </xdr:pic>
    <xdr:clientData/>
  </xdr:twoCellAnchor>
  <xdr:twoCellAnchor editAs="oneCell">
    <xdr:from>
      <xdr:col>8</xdr:col>
      <xdr:colOff>587828</xdr:colOff>
      <xdr:row>2</xdr:row>
      <xdr:rowOff>174172</xdr:rowOff>
    </xdr:from>
    <xdr:to>
      <xdr:col>10</xdr:col>
      <xdr:colOff>12644</xdr:colOff>
      <xdr:row>6</xdr:row>
      <xdr:rowOff>102489</xdr:rowOff>
    </xdr:to>
    <xdr:pic>
      <xdr:nvPicPr>
        <xdr:cNvPr id="8" name="Gráfico 7" descr="Janela do navegador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6045542" y="740229"/>
          <a:ext cx="665788" cy="668546"/>
        </a:xfrm>
        <a:prstGeom prst="rect">
          <a:avLst/>
        </a:prstGeom>
      </xdr:spPr>
    </xdr:pic>
    <xdr:clientData/>
  </xdr:twoCellAnchor>
  <xdr:twoCellAnchor editAs="oneCell">
    <xdr:from>
      <xdr:col>9</xdr:col>
      <xdr:colOff>10886</xdr:colOff>
      <xdr:row>6</xdr:row>
      <xdr:rowOff>87085</xdr:rowOff>
    </xdr:from>
    <xdr:to>
      <xdr:col>9</xdr:col>
      <xdr:colOff>593592</xdr:colOff>
      <xdr:row>9</xdr:row>
      <xdr:rowOff>139446</xdr:rowOff>
    </xdr:to>
    <xdr:pic>
      <xdr:nvPicPr>
        <xdr:cNvPr id="9" name="Gráfico 8" descr="Tendência ascendent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6089086" y="1393371"/>
          <a:ext cx="582706" cy="607532"/>
        </a:xfrm>
        <a:prstGeom prst="rect">
          <a:avLst/>
        </a:prstGeom>
      </xdr:spPr>
    </xdr:pic>
    <xdr:clientData/>
  </xdr:twoCellAnchor>
  <xdr:twoCellAnchor editAs="oneCell">
    <xdr:from>
      <xdr:col>9</xdr:col>
      <xdr:colOff>21772</xdr:colOff>
      <xdr:row>10</xdr:row>
      <xdr:rowOff>43543</xdr:rowOff>
    </xdr:from>
    <xdr:to>
      <xdr:col>10</xdr:col>
      <xdr:colOff>10886</xdr:colOff>
      <xdr:row>13</xdr:row>
      <xdr:rowOff>113832</xdr:rowOff>
    </xdr:to>
    <xdr:pic>
      <xdr:nvPicPr>
        <xdr:cNvPr id="10" name="Gráfico 9" descr="Dól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099972" y="2090057"/>
          <a:ext cx="609600" cy="6254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30480</xdr:colOff>
          <xdr:row>4</xdr:row>
          <xdr:rowOff>0</xdr:rowOff>
        </xdr:from>
        <xdr:to>
          <xdr:col>14</xdr:col>
          <xdr:colOff>0</xdr:colOff>
          <xdr:row>4</xdr:row>
          <xdr:rowOff>434340</xdr:rowOff>
        </xdr:to>
        <xdr:sp macro="" textlink="">
          <xdr:nvSpPr>
            <xdr:cNvPr id="13317" name="Drop Dow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8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13</xdr:col>
          <xdr:colOff>1097280</xdr:colOff>
          <xdr:row>6</xdr:row>
          <xdr:rowOff>259080</xdr:rowOff>
        </xdr:to>
        <xdr:sp macro="" textlink="">
          <xdr:nvSpPr>
            <xdr:cNvPr id="13318" name="Drop Down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8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</xdr:colOff>
          <xdr:row>8</xdr:row>
          <xdr:rowOff>22860</xdr:rowOff>
        </xdr:from>
        <xdr:to>
          <xdr:col>13</xdr:col>
          <xdr:colOff>1112520</xdr:colOff>
          <xdr:row>8</xdr:row>
          <xdr:rowOff>281940</xdr:rowOff>
        </xdr:to>
        <xdr:sp macro="" textlink="">
          <xdr:nvSpPr>
            <xdr:cNvPr id="13319" name="Drop Down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8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</xdr:colOff>
          <xdr:row>10</xdr:row>
          <xdr:rowOff>22860</xdr:rowOff>
        </xdr:from>
        <xdr:to>
          <xdr:col>13</xdr:col>
          <xdr:colOff>1112520</xdr:colOff>
          <xdr:row>10</xdr:row>
          <xdr:rowOff>281940</xdr:rowOff>
        </xdr:to>
        <xdr:sp macro="" textlink="">
          <xdr:nvSpPr>
            <xdr:cNvPr id="13320" name="Drop Down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8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</xdr:colOff>
          <xdr:row>12</xdr:row>
          <xdr:rowOff>15240</xdr:rowOff>
        </xdr:from>
        <xdr:to>
          <xdr:col>13</xdr:col>
          <xdr:colOff>1112520</xdr:colOff>
          <xdr:row>12</xdr:row>
          <xdr:rowOff>274320</xdr:rowOff>
        </xdr:to>
        <xdr:sp macro="" textlink="">
          <xdr:nvSpPr>
            <xdr:cNvPr id="13321" name="Drop Down 9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8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16</xdr:col>
      <xdr:colOff>243840</xdr:colOff>
      <xdr:row>0</xdr:row>
      <xdr:rowOff>15240</xdr:rowOff>
    </xdr:from>
    <xdr:to>
      <xdr:col>17</xdr:col>
      <xdr:colOff>548640</xdr:colOff>
      <xdr:row>4</xdr:row>
      <xdr:rowOff>221566</xdr:rowOff>
    </xdr:to>
    <xdr:pic>
      <xdr:nvPicPr>
        <xdr:cNvPr id="12" name="Gráfico 11" descr="Red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09620" y="15240"/>
          <a:ext cx="914400" cy="937846"/>
        </a:xfrm>
        <a:prstGeom prst="rect">
          <a:avLst/>
        </a:prstGeom>
      </xdr:spPr>
    </xdr:pic>
    <xdr:clientData/>
  </xdr:twoCellAnchor>
  <xdr:twoCellAnchor editAs="oneCell">
    <xdr:from>
      <xdr:col>16</xdr:col>
      <xdr:colOff>365760</xdr:colOff>
      <xdr:row>4</xdr:row>
      <xdr:rowOff>220980</xdr:rowOff>
    </xdr:from>
    <xdr:to>
      <xdr:col>17</xdr:col>
      <xdr:colOff>421948</xdr:colOff>
      <xdr:row>6</xdr:row>
      <xdr:rowOff>249446</xdr:rowOff>
    </xdr:to>
    <xdr:pic>
      <xdr:nvPicPr>
        <xdr:cNvPr id="13" name="Gráfico 12" descr="Janela do navegador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131540" y="952500"/>
          <a:ext cx="665788" cy="668546"/>
        </a:xfrm>
        <a:prstGeom prst="rect">
          <a:avLst/>
        </a:prstGeom>
      </xdr:spPr>
    </xdr:pic>
    <xdr:clientData/>
  </xdr:twoCellAnchor>
  <xdr:twoCellAnchor editAs="oneCell">
    <xdr:from>
      <xdr:col>16</xdr:col>
      <xdr:colOff>396240</xdr:colOff>
      <xdr:row>6</xdr:row>
      <xdr:rowOff>289560</xdr:rowOff>
    </xdr:from>
    <xdr:to>
      <xdr:col>17</xdr:col>
      <xdr:colOff>396240</xdr:colOff>
      <xdr:row>9</xdr:row>
      <xdr:rowOff>137781</xdr:rowOff>
    </xdr:to>
    <xdr:pic>
      <xdr:nvPicPr>
        <xdr:cNvPr id="14" name="Gráfico 13" descr="Dólar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162020" y="1661160"/>
          <a:ext cx="609600" cy="62546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365760</xdr:colOff>
      <xdr:row>11</xdr:row>
      <xdr:rowOff>213360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6215360" y="20726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10</xdr:col>
      <xdr:colOff>209550</xdr:colOff>
      <xdr:row>45</xdr:row>
      <xdr:rowOff>142875</xdr:rowOff>
    </xdr:from>
    <xdr:to>
      <xdr:col>10</xdr:col>
      <xdr:colOff>981075</xdr:colOff>
      <xdr:row>46</xdr:row>
      <xdr:rowOff>95250</xdr:rowOff>
    </xdr:to>
    <xdr:sp macro="" textlink="">
      <xdr:nvSpPr>
        <xdr:cNvPr id="4" name="Retângulo: Cantos Arredondado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9639300" y="8115300"/>
          <a:ext cx="77152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</xdr:txBody>
    </xdr:sp>
    <xdr:clientData/>
  </xdr:twoCellAnchor>
  <xdr:twoCellAnchor>
    <xdr:from>
      <xdr:col>10</xdr:col>
      <xdr:colOff>200025</xdr:colOff>
      <xdr:row>67</xdr:row>
      <xdr:rowOff>200025</xdr:rowOff>
    </xdr:from>
    <xdr:to>
      <xdr:col>10</xdr:col>
      <xdr:colOff>971550</xdr:colOff>
      <xdr:row>68</xdr:row>
      <xdr:rowOff>152400</xdr:rowOff>
    </xdr:to>
    <xdr:sp macro="" textlink="">
      <xdr:nvSpPr>
        <xdr:cNvPr id="5" name="Retângulo: Cantos Arredond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629775" y="13411200"/>
          <a:ext cx="77152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</xdr:txBody>
    </xdr:sp>
    <xdr:clientData/>
  </xdr:twoCellAnchor>
  <xdr:twoCellAnchor>
    <xdr:from>
      <xdr:col>10</xdr:col>
      <xdr:colOff>209550</xdr:colOff>
      <xdr:row>89</xdr:row>
      <xdr:rowOff>228600</xdr:rowOff>
    </xdr:from>
    <xdr:to>
      <xdr:col>10</xdr:col>
      <xdr:colOff>981075</xdr:colOff>
      <xdr:row>90</xdr:row>
      <xdr:rowOff>180975</xdr:rowOff>
    </xdr:to>
    <xdr:sp macro="" textlink="">
      <xdr:nvSpPr>
        <xdr:cNvPr id="6" name="Retângulo: Cantos Arredondado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9639300" y="18678525"/>
          <a:ext cx="77152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</xdr:txBody>
    </xdr:sp>
    <xdr:clientData/>
  </xdr:twoCellAnchor>
  <xdr:twoCellAnchor>
    <xdr:from>
      <xdr:col>10</xdr:col>
      <xdr:colOff>171450</xdr:colOff>
      <xdr:row>111</xdr:row>
      <xdr:rowOff>95250</xdr:rowOff>
    </xdr:from>
    <xdr:to>
      <xdr:col>10</xdr:col>
      <xdr:colOff>942975</xdr:colOff>
      <xdr:row>112</xdr:row>
      <xdr:rowOff>47625</xdr:rowOff>
    </xdr:to>
    <xdr:sp macro="" textlink="">
      <xdr:nvSpPr>
        <xdr:cNvPr id="7" name="Retângulo: Cantos Arredondado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10153650" y="24469725"/>
          <a:ext cx="77152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</xdr:txBody>
    </xdr:sp>
    <xdr:clientData/>
  </xdr:twoCellAnchor>
  <xdr:twoCellAnchor>
    <xdr:from>
      <xdr:col>8</xdr:col>
      <xdr:colOff>304800</xdr:colOff>
      <xdr:row>37</xdr:row>
      <xdr:rowOff>165100</xdr:rowOff>
    </xdr:from>
    <xdr:to>
      <xdr:col>8</xdr:col>
      <xdr:colOff>558800</xdr:colOff>
      <xdr:row>37</xdr:row>
      <xdr:rowOff>419100</xdr:rowOff>
    </xdr:to>
    <xdr:sp macro="" textlink="">
      <xdr:nvSpPr>
        <xdr:cNvPr id="8" name="Elipse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8864600" y="13347700"/>
          <a:ext cx="254000" cy="254000"/>
        </a:xfrm>
        <a:prstGeom prst="ellips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37</xdr:col>
      <xdr:colOff>292100</xdr:colOff>
      <xdr:row>52</xdr:row>
      <xdr:rowOff>38100</xdr:rowOff>
    </xdr:from>
    <xdr:to>
      <xdr:col>38</xdr:col>
      <xdr:colOff>596900</xdr:colOff>
      <xdr:row>53</xdr:row>
      <xdr:rowOff>444500</xdr:rowOff>
    </xdr:to>
    <xdr:sp macro="" textlink="">
      <xdr:nvSpPr>
        <xdr:cNvPr id="10" name="Elipse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28867100" y="20840700"/>
          <a:ext cx="914400" cy="914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10</xdr:col>
      <xdr:colOff>177800</xdr:colOff>
      <xdr:row>11</xdr:row>
      <xdr:rowOff>25400</xdr:rowOff>
    </xdr:from>
    <xdr:to>
      <xdr:col>10</xdr:col>
      <xdr:colOff>1092200</xdr:colOff>
      <xdr:row>12</xdr:row>
      <xdr:rowOff>455246</xdr:rowOff>
    </xdr:to>
    <xdr:pic>
      <xdr:nvPicPr>
        <xdr:cNvPr id="13" name="Gráfico 12" descr="Red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1036300" y="2540000"/>
          <a:ext cx="914400" cy="937846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</xdr:row>
      <xdr:rowOff>419100</xdr:rowOff>
    </xdr:from>
    <xdr:to>
      <xdr:col>10</xdr:col>
      <xdr:colOff>970588</xdr:colOff>
      <xdr:row>14</xdr:row>
      <xdr:rowOff>71646</xdr:rowOff>
    </xdr:to>
    <xdr:pic>
      <xdr:nvPicPr>
        <xdr:cNvPr id="14" name="Gráfico 13" descr="Janela do navegador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163300" y="3441700"/>
          <a:ext cx="665788" cy="668546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14</xdr:row>
      <xdr:rowOff>139700</xdr:rowOff>
    </xdr:from>
    <xdr:to>
      <xdr:col>10</xdr:col>
      <xdr:colOff>952500</xdr:colOff>
      <xdr:row>15</xdr:row>
      <xdr:rowOff>257161</xdr:rowOff>
    </xdr:to>
    <xdr:pic>
      <xdr:nvPicPr>
        <xdr:cNvPr id="15" name="Gráfico 14" descr="Dólar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1201400" y="4178300"/>
          <a:ext cx="609600" cy="6254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13</xdr:row>
          <xdr:rowOff>15240</xdr:rowOff>
        </xdr:from>
        <xdr:to>
          <xdr:col>2</xdr:col>
          <xdr:colOff>0</xdr:colOff>
          <xdr:row>14</xdr:row>
          <xdr:rowOff>0</xdr:rowOff>
        </xdr:to>
        <xdr:sp macro="" textlink="">
          <xdr:nvSpPr>
            <xdr:cNvPr id="11265" name="Drop Dow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44</xdr:row>
          <xdr:rowOff>15240</xdr:rowOff>
        </xdr:from>
        <xdr:to>
          <xdr:col>2</xdr:col>
          <xdr:colOff>0</xdr:colOff>
          <xdr:row>45</xdr:row>
          <xdr:rowOff>0</xdr:rowOff>
        </xdr:to>
        <xdr:sp macro="" textlink="">
          <xdr:nvSpPr>
            <xdr:cNvPr id="11268" name="Drop Down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A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73</xdr:row>
          <xdr:rowOff>15240</xdr:rowOff>
        </xdr:from>
        <xdr:to>
          <xdr:col>2</xdr:col>
          <xdr:colOff>0</xdr:colOff>
          <xdr:row>74</xdr:row>
          <xdr:rowOff>0</xdr:rowOff>
        </xdr:to>
        <xdr:sp macro="" textlink="">
          <xdr:nvSpPr>
            <xdr:cNvPr id="11269" name="Drop Down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A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102</xdr:row>
          <xdr:rowOff>15240</xdr:rowOff>
        </xdr:from>
        <xdr:to>
          <xdr:col>2</xdr:col>
          <xdr:colOff>0</xdr:colOff>
          <xdr:row>103</xdr:row>
          <xdr:rowOff>0</xdr:rowOff>
        </xdr:to>
        <xdr:sp macro="" textlink="">
          <xdr:nvSpPr>
            <xdr:cNvPr id="11270" name="Drop Down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A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131</xdr:row>
          <xdr:rowOff>15240</xdr:rowOff>
        </xdr:from>
        <xdr:to>
          <xdr:col>2</xdr:col>
          <xdr:colOff>0</xdr:colOff>
          <xdr:row>132</xdr:row>
          <xdr:rowOff>0</xdr:rowOff>
        </xdr:to>
        <xdr:sp macro="" textlink="">
          <xdr:nvSpPr>
            <xdr:cNvPr id="11271" name="Drop Down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A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73</xdr:row>
          <xdr:rowOff>15240</xdr:rowOff>
        </xdr:from>
        <xdr:to>
          <xdr:col>2</xdr:col>
          <xdr:colOff>0</xdr:colOff>
          <xdr:row>74</xdr:row>
          <xdr:rowOff>0</xdr:rowOff>
        </xdr:to>
        <xdr:sp macro="" textlink="">
          <xdr:nvSpPr>
            <xdr:cNvPr id="11272" name="Drop Down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0A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102</xdr:row>
          <xdr:rowOff>15240</xdr:rowOff>
        </xdr:from>
        <xdr:to>
          <xdr:col>2</xdr:col>
          <xdr:colOff>0</xdr:colOff>
          <xdr:row>103</xdr:row>
          <xdr:rowOff>0</xdr:rowOff>
        </xdr:to>
        <xdr:sp macro="" textlink="">
          <xdr:nvSpPr>
            <xdr:cNvPr id="11273" name="Drop Down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0A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</xdr:colOff>
          <xdr:row>20</xdr:row>
          <xdr:rowOff>15240</xdr:rowOff>
        </xdr:from>
        <xdr:to>
          <xdr:col>6</xdr:col>
          <xdr:colOff>7620</xdr:colOff>
          <xdr:row>20</xdr:row>
          <xdr:rowOff>548640</xdr:rowOff>
        </xdr:to>
        <xdr:sp macro="" textlink="">
          <xdr:nvSpPr>
            <xdr:cNvPr id="11274" name="Drop Down 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0A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533400</xdr:colOff>
      <xdr:row>36</xdr:row>
      <xdr:rowOff>22860</xdr:rowOff>
    </xdr:from>
    <xdr:to>
      <xdr:col>8</xdr:col>
      <xdr:colOff>114300</xdr:colOff>
      <xdr:row>37</xdr:row>
      <xdr:rowOff>145004</xdr:rowOff>
    </xdr:to>
    <xdr:sp macro="" textlink="">
      <xdr:nvSpPr>
        <xdr:cNvPr id="11" name="Retângulo: Cantos Arredondados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B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9784080" y="1242060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6</xdr:col>
      <xdr:colOff>525780</xdr:colOff>
      <xdr:row>64</xdr:row>
      <xdr:rowOff>167640</xdr:rowOff>
    </xdr:from>
    <xdr:to>
      <xdr:col>8</xdr:col>
      <xdr:colOff>106680</xdr:colOff>
      <xdr:row>66</xdr:row>
      <xdr:rowOff>106904</xdr:rowOff>
    </xdr:to>
    <xdr:sp macro="" textlink="">
      <xdr:nvSpPr>
        <xdr:cNvPr id="12" name="Retângulo: Cantos Arredondados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9776460" y="2252472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6</xdr:col>
      <xdr:colOff>525780</xdr:colOff>
      <xdr:row>93</xdr:row>
      <xdr:rowOff>22860</xdr:rowOff>
    </xdr:from>
    <xdr:to>
      <xdr:col>8</xdr:col>
      <xdr:colOff>106680</xdr:colOff>
      <xdr:row>94</xdr:row>
      <xdr:rowOff>145004</xdr:rowOff>
    </xdr:to>
    <xdr:sp macro="" textlink="">
      <xdr:nvSpPr>
        <xdr:cNvPr id="13" name="Retângulo: Cantos Arredondados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D000000}"/>
            </a:ext>
            <a:ext uri="{147F2762-F138-4A5C-976F-8EAC2B608ADB}">
              <a16:predDERef xmlns:a16="http://schemas.microsoft.com/office/drawing/2014/main" pred="{C2A7A19E-FA02-421E-9B62-1B12C9A06FB8}"/>
            </a:ext>
          </a:extLst>
        </xdr:cNvPr>
        <xdr:cNvSpPr/>
      </xdr:nvSpPr>
      <xdr:spPr>
        <a:xfrm>
          <a:off x="9776460" y="32522160"/>
          <a:ext cx="800100" cy="3126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VALORES</a:t>
          </a:r>
        </a:p>
        <a:p>
          <a:pPr algn="l"/>
          <a:endParaRPr lang="pt-BR" sz="1100"/>
        </a:p>
      </xdr:txBody>
    </xdr:sp>
    <xdr:clientData/>
  </xdr:twoCellAnchor>
  <xdr:twoCellAnchor>
    <xdr:from>
      <xdr:col>5</xdr:col>
      <xdr:colOff>83820</xdr:colOff>
      <xdr:row>101</xdr:row>
      <xdr:rowOff>60960</xdr:rowOff>
    </xdr:from>
    <xdr:to>
      <xdr:col>6</xdr:col>
      <xdr:colOff>213360</xdr:colOff>
      <xdr:row>103</xdr:row>
      <xdr:rowOff>129540</xdr:rowOff>
    </xdr:to>
    <xdr:sp macro="" textlink="">
      <xdr:nvSpPr>
        <xdr:cNvPr id="14" name="Retângulo: Cantos Arredondados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7993380" y="34259520"/>
          <a:ext cx="1470660" cy="44958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800"/>
            <a:t>PLANILHA CENTRAL</a:t>
          </a:r>
        </a:p>
      </xdr:txBody>
    </xdr:sp>
    <xdr:clientData/>
  </xdr:twoCellAnchor>
  <xdr:twoCellAnchor>
    <xdr:from>
      <xdr:col>5</xdr:col>
      <xdr:colOff>114300</xdr:colOff>
      <xdr:row>130</xdr:row>
      <xdr:rowOff>99060</xdr:rowOff>
    </xdr:from>
    <xdr:to>
      <xdr:col>5</xdr:col>
      <xdr:colOff>1310640</xdr:colOff>
      <xdr:row>133</xdr:row>
      <xdr:rowOff>30480</xdr:rowOff>
    </xdr:to>
    <xdr:sp macro="" textlink="">
      <xdr:nvSpPr>
        <xdr:cNvPr id="15" name="Retângulo: Cantos Arredondados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8023860" y="44439840"/>
          <a:ext cx="1196340" cy="49530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800"/>
            <a:t>PLANILHA CENTRAL</a:t>
          </a:r>
        </a:p>
      </xdr:txBody>
    </xdr:sp>
    <xdr:clientData/>
  </xdr:twoCellAnchor>
  <xdr:twoCellAnchor>
    <xdr:from>
      <xdr:col>5</xdr:col>
      <xdr:colOff>129540</xdr:colOff>
      <xdr:row>72</xdr:row>
      <xdr:rowOff>91440</xdr:rowOff>
    </xdr:from>
    <xdr:to>
      <xdr:col>5</xdr:col>
      <xdr:colOff>1325880</xdr:colOff>
      <xdr:row>75</xdr:row>
      <xdr:rowOff>22860</xdr:rowOff>
    </xdr:to>
    <xdr:sp macro="" textlink="">
      <xdr:nvSpPr>
        <xdr:cNvPr id="16" name="Retângulo: Cantos Arredondados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8039100" y="24147780"/>
          <a:ext cx="1196340" cy="49530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800"/>
            <a:t>PLANILHA CENTRAL</a:t>
          </a:r>
        </a:p>
      </xdr:txBody>
    </xdr:sp>
    <xdr:clientData/>
  </xdr:twoCellAnchor>
  <xdr:twoCellAnchor>
    <xdr:from>
      <xdr:col>5</xdr:col>
      <xdr:colOff>129540</xdr:colOff>
      <xdr:row>43</xdr:row>
      <xdr:rowOff>76200</xdr:rowOff>
    </xdr:from>
    <xdr:to>
      <xdr:col>5</xdr:col>
      <xdr:colOff>1325880</xdr:colOff>
      <xdr:row>46</xdr:row>
      <xdr:rowOff>7620</xdr:rowOff>
    </xdr:to>
    <xdr:sp macro="" textlink="">
      <xdr:nvSpPr>
        <xdr:cNvPr id="17" name="Retângulo: Cantos Arredondados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8039100" y="13990320"/>
          <a:ext cx="1196340" cy="495300"/>
        </a:xfrm>
        <a:prstGeom prst="round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1800"/>
            <a:t>PLANILHA CENTRAL</a:t>
          </a:r>
        </a:p>
      </xdr:txBody>
    </xdr:sp>
    <xdr:clientData/>
  </xdr:twoCellAnchor>
  <xdr:twoCellAnchor editAs="oneCell">
    <xdr:from>
      <xdr:col>6</xdr:col>
      <xdr:colOff>449580</xdr:colOff>
      <xdr:row>7</xdr:row>
      <xdr:rowOff>7620</xdr:rowOff>
    </xdr:from>
    <xdr:to>
      <xdr:col>8</xdr:col>
      <xdr:colOff>126887</xdr:colOff>
      <xdr:row>10</xdr:row>
      <xdr:rowOff>100564</xdr:rowOff>
    </xdr:to>
    <xdr:pic>
      <xdr:nvPicPr>
        <xdr:cNvPr id="19" name="Gráfico 18" descr="Janela do navegado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700260" y="2034540"/>
          <a:ext cx="896507" cy="656824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441960</xdr:colOff>
      <xdr:row>3</xdr:row>
      <xdr:rowOff>129540</xdr:rowOff>
    </xdr:from>
    <xdr:to>
      <xdr:col>8</xdr:col>
      <xdr:colOff>137160</xdr:colOff>
      <xdr:row>7</xdr:row>
      <xdr:rowOff>83820</xdr:rowOff>
    </xdr:to>
    <xdr:pic>
      <xdr:nvPicPr>
        <xdr:cNvPr id="20" name="Gráfico 19" descr="Rede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692640" y="119634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10</xdr:row>
      <xdr:rowOff>144780</xdr:rowOff>
    </xdr:from>
    <xdr:to>
      <xdr:col>7</xdr:col>
      <xdr:colOff>586740</xdr:colOff>
      <xdr:row>14</xdr:row>
      <xdr:rowOff>23481</xdr:rowOff>
    </xdr:to>
    <xdr:pic>
      <xdr:nvPicPr>
        <xdr:cNvPr id="21" name="Gráfico 20" descr="Dóla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837420" y="2735580"/>
          <a:ext cx="609600" cy="62546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</xdr:row>
      <xdr:rowOff>83820</xdr:rowOff>
    </xdr:from>
    <xdr:to>
      <xdr:col>2</xdr:col>
      <xdr:colOff>228600</xdr:colOff>
      <xdr:row>1</xdr:row>
      <xdr:rowOff>281940</xdr:rowOff>
    </xdr:to>
    <xdr:sp macro="" textlink="">
      <xdr:nvSpPr>
        <xdr:cNvPr id="3" name="Elips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2667000" y="35052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30480</xdr:colOff>
      <xdr:row>5</xdr:row>
      <xdr:rowOff>99060</xdr:rowOff>
    </xdr:from>
    <xdr:to>
      <xdr:col>2</xdr:col>
      <xdr:colOff>236220</xdr:colOff>
      <xdr:row>5</xdr:row>
      <xdr:rowOff>297180</xdr:rowOff>
    </xdr:to>
    <xdr:sp macro="" textlink="">
      <xdr:nvSpPr>
        <xdr:cNvPr id="4" name="Elips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2674620" y="140970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15240</xdr:colOff>
      <xdr:row>9</xdr:row>
      <xdr:rowOff>106680</xdr:rowOff>
    </xdr:from>
    <xdr:to>
      <xdr:col>2</xdr:col>
      <xdr:colOff>220980</xdr:colOff>
      <xdr:row>9</xdr:row>
      <xdr:rowOff>304800</xdr:rowOff>
    </xdr:to>
    <xdr:sp macro="" textlink="">
      <xdr:nvSpPr>
        <xdr:cNvPr id="5" name="Elips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2659380" y="247650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30480</xdr:colOff>
      <xdr:row>14</xdr:row>
      <xdr:rowOff>91440</xdr:rowOff>
    </xdr:from>
    <xdr:to>
      <xdr:col>2</xdr:col>
      <xdr:colOff>236220</xdr:colOff>
      <xdr:row>14</xdr:row>
      <xdr:rowOff>289560</xdr:rowOff>
    </xdr:to>
    <xdr:sp macro="" textlink="">
      <xdr:nvSpPr>
        <xdr:cNvPr id="6" name="Elips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2674620" y="355854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30480</xdr:colOff>
      <xdr:row>18</xdr:row>
      <xdr:rowOff>76200</xdr:rowOff>
    </xdr:from>
    <xdr:to>
      <xdr:col>2</xdr:col>
      <xdr:colOff>236220</xdr:colOff>
      <xdr:row>18</xdr:row>
      <xdr:rowOff>274320</xdr:rowOff>
    </xdr:to>
    <xdr:sp macro="" textlink="">
      <xdr:nvSpPr>
        <xdr:cNvPr id="7" name="Elips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2674620" y="460248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38100</xdr:colOff>
      <xdr:row>1</xdr:row>
      <xdr:rowOff>106680</xdr:rowOff>
    </xdr:from>
    <xdr:to>
      <xdr:col>3</xdr:col>
      <xdr:colOff>243840</xdr:colOff>
      <xdr:row>1</xdr:row>
      <xdr:rowOff>304800</xdr:rowOff>
    </xdr:to>
    <xdr:sp macro="" textlink="">
      <xdr:nvSpPr>
        <xdr:cNvPr id="8" name="Elipse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4556760" y="37338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45720</xdr:colOff>
      <xdr:row>5</xdr:row>
      <xdr:rowOff>99060</xdr:rowOff>
    </xdr:from>
    <xdr:to>
      <xdr:col>3</xdr:col>
      <xdr:colOff>251460</xdr:colOff>
      <xdr:row>5</xdr:row>
      <xdr:rowOff>297180</xdr:rowOff>
    </xdr:to>
    <xdr:sp macro="" textlink="">
      <xdr:nvSpPr>
        <xdr:cNvPr id="9" name="Elipse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4564380" y="140970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45720</xdr:colOff>
      <xdr:row>9</xdr:row>
      <xdr:rowOff>83820</xdr:rowOff>
    </xdr:from>
    <xdr:to>
      <xdr:col>3</xdr:col>
      <xdr:colOff>251460</xdr:colOff>
      <xdr:row>9</xdr:row>
      <xdr:rowOff>281940</xdr:rowOff>
    </xdr:to>
    <xdr:sp macro="" textlink="">
      <xdr:nvSpPr>
        <xdr:cNvPr id="10" name="Elipse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4564380" y="245364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15240</xdr:colOff>
      <xdr:row>14</xdr:row>
      <xdr:rowOff>114300</xdr:rowOff>
    </xdr:from>
    <xdr:to>
      <xdr:col>3</xdr:col>
      <xdr:colOff>220980</xdr:colOff>
      <xdr:row>14</xdr:row>
      <xdr:rowOff>312420</xdr:rowOff>
    </xdr:to>
    <xdr:sp macro="" textlink="">
      <xdr:nvSpPr>
        <xdr:cNvPr id="11" name="Elipse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4533900" y="358140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45720</xdr:colOff>
      <xdr:row>18</xdr:row>
      <xdr:rowOff>99060</xdr:rowOff>
    </xdr:from>
    <xdr:to>
      <xdr:col>3</xdr:col>
      <xdr:colOff>251460</xdr:colOff>
      <xdr:row>18</xdr:row>
      <xdr:rowOff>297180</xdr:rowOff>
    </xdr:to>
    <xdr:sp macro="" textlink="">
      <xdr:nvSpPr>
        <xdr:cNvPr id="12" name="Elipse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4564380" y="462534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76200</xdr:colOff>
      <xdr:row>1</xdr:row>
      <xdr:rowOff>60960</xdr:rowOff>
    </xdr:from>
    <xdr:to>
      <xdr:col>4</xdr:col>
      <xdr:colOff>281940</xdr:colOff>
      <xdr:row>1</xdr:row>
      <xdr:rowOff>259080</xdr:rowOff>
    </xdr:to>
    <xdr:sp macro="" textlink="">
      <xdr:nvSpPr>
        <xdr:cNvPr id="13" name="Elipse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6522720" y="32766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45720</xdr:colOff>
      <xdr:row>5</xdr:row>
      <xdr:rowOff>121920</xdr:rowOff>
    </xdr:from>
    <xdr:to>
      <xdr:col>4</xdr:col>
      <xdr:colOff>251460</xdr:colOff>
      <xdr:row>5</xdr:row>
      <xdr:rowOff>320040</xdr:rowOff>
    </xdr:to>
    <xdr:sp macro="" textlink="">
      <xdr:nvSpPr>
        <xdr:cNvPr id="14" name="Elipse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6492240" y="143256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68580</xdr:colOff>
      <xdr:row>9</xdr:row>
      <xdr:rowOff>68580</xdr:rowOff>
    </xdr:from>
    <xdr:to>
      <xdr:col>4</xdr:col>
      <xdr:colOff>274320</xdr:colOff>
      <xdr:row>9</xdr:row>
      <xdr:rowOff>266700</xdr:rowOff>
    </xdr:to>
    <xdr:sp macro="" textlink="">
      <xdr:nvSpPr>
        <xdr:cNvPr id="15" name="Elips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6515100" y="243840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38100</xdr:colOff>
      <xdr:row>14</xdr:row>
      <xdr:rowOff>114300</xdr:rowOff>
    </xdr:from>
    <xdr:to>
      <xdr:col>4</xdr:col>
      <xdr:colOff>243840</xdr:colOff>
      <xdr:row>14</xdr:row>
      <xdr:rowOff>312420</xdr:rowOff>
    </xdr:to>
    <xdr:sp macro="" textlink="">
      <xdr:nvSpPr>
        <xdr:cNvPr id="16" name="Elipse 1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6484620" y="358140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38100</xdr:colOff>
      <xdr:row>18</xdr:row>
      <xdr:rowOff>91440</xdr:rowOff>
    </xdr:from>
    <xdr:to>
      <xdr:col>4</xdr:col>
      <xdr:colOff>243840</xdr:colOff>
      <xdr:row>18</xdr:row>
      <xdr:rowOff>289560</xdr:rowOff>
    </xdr:to>
    <xdr:sp macro="" textlink="">
      <xdr:nvSpPr>
        <xdr:cNvPr id="17" name="Elipse 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6484620" y="4617720"/>
          <a:ext cx="205740" cy="19812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60960</xdr:colOff>
      <xdr:row>1</xdr:row>
      <xdr:rowOff>106680</xdr:rowOff>
    </xdr:from>
    <xdr:to>
      <xdr:col>0</xdr:col>
      <xdr:colOff>259080</xdr:colOff>
      <xdr:row>1</xdr:row>
      <xdr:rowOff>297180</xdr:rowOff>
    </xdr:to>
    <xdr:sp macro="" textlink="">
      <xdr:nvSpPr>
        <xdr:cNvPr id="18" name="Elipse 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60960" y="373380"/>
          <a:ext cx="198120" cy="190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68580</xdr:colOff>
      <xdr:row>5</xdr:row>
      <xdr:rowOff>91440</xdr:rowOff>
    </xdr:from>
    <xdr:to>
      <xdr:col>0</xdr:col>
      <xdr:colOff>266700</xdr:colOff>
      <xdr:row>5</xdr:row>
      <xdr:rowOff>281940</xdr:rowOff>
    </xdr:to>
    <xdr:sp macro="" textlink="">
      <xdr:nvSpPr>
        <xdr:cNvPr id="19" name="Elipse 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68580" y="1402080"/>
          <a:ext cx="198120" cy="190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53340</xdr:colOff>
      <xdr:row>9</xdr:row>
      <xdr:rowOff>83820</xdr:rowOff>
    </xdr:from>
    <xdr:to>
      <xdr:col>0</xdr:col>
      <xdr:colOff>251460</xdr:colOff>
      <xdr:row>9</xdr:row>
      <xdr:rowOff>274320</xdr:rowOff>
    </xdr:to>
    <xdr:sp macro="" textlink="">
      <xdr:nvSpPr>
        <xdr:cNvPr id="20" name="Elipse 1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53340" y="2453640"/>
          <a:ext cx="198120" cy="190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68580</xdr:colOff>
      <xdr:row>14</xdr:row>
      <xdr:rowOff>114300</xdr:rowOff>
    </xdr:from>
    <xdr:to>
      <xdr:col>0</xdr:col>
      <xdr:colOff>266700</xdr:colOff>
      <xdr:row>14</xdr:row>
      <xdr:rowOff>304800</xdr:rowOff>
    </xdr:to>
    <xdr:sp macro="" textlink="">
      <xdr:nvSpPr>
        <xdr:cNvPr id="21" name="Elipse 2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68580" y="3581400"/>
          <a:ext cx="198120" cy="190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45720</xdr:colOff>
      <xdr:row>18</xdr:row>
      <xdr:rowOff>114300</xdr:rowOff>
    </xdr:from>
    <xdr:to>
      <xdr:col>0</xdr:col>
      <xdr:colOff>243840</xdr:colOff>
      <xdr:row>18</xdr:row>
      <xdr:rowOff>304800</xdr:rowOff>
    </xdr:to>
    <xdr:sp macro="" textlink="">
      <xdr:nvSpPr>
        <xdr:cNvPr id="22" name="Elipse 2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>
        <a:xfrm>
          <a:off x="45720" y="4640580"/>
          <a:ext cx="198120" cy="19050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68580</xdr:colOff>
      <xdr:row>5</xdr:row>
      <xdr:rowOff>114300</xdr:rowOff>
    </xdr:from>
    <xdr:to>
      <xdr:col>5</xdr:col>
      <xdr:colOff>266700</xdr:colOff>
      <xdr:row>5</xdr:row>
      <xdr:rowOff>281940</xdr:rowOff>
    </xdr:to>
    <xdr:sp macro="" textlink="">
      <xdr:nvSpPr>
        <xdr:cNvPr id="23" name="Elipse 2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SpPr/>
      </xdr:nvSpPr>
      <xdr:spPr>
        <a:xfrm>
          <a:off x="8968740" y="1424940"/>
          <a:ext cx="198120" cy="1676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60960</xdr:colOff>
      <xdr:row>9</xdr:row>
      <xdr:rowOff>121920</xdr:rowOff>
    </xdr:from>
    <xdr:to>
      <xdr:col>5</xdr:col>
      <xdr:colOff>259080</xdr:colOff>
      <xdr:row>9</xdr:row>
      <xdr:rowOff>289560</xdr:rowOff>
    </xdr:to>
    <xdr:sp macro="" textlink="">
      <xdr:nvSpPr>
        <xdr:cNvPr id="24" name="Elipse 2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/>
      </xdr:nvSpPr>
      <xdr:spPr>
        <a:xfrm>
          <a:off x="8961120" y="2491740"/>
          <a:ext cx="198120" cy="1676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68580</xdr:colOff>
      <xdr:row>14</xdr:row>
      <xdr:rowOff>99060</xdr:rowOff>
    </xdr:from>
    <xdr:to>
      <xdr:col>5</xdr:col>
      <xdr:colOff>266700</xdr:colOff>
      <xdr:row>14</xdr:row>
      <xdr:rowOff>266700</xdr:rowOff>
    </xdr:to>
    <xdr:sp macro="" textlink="">
      <xdr:nvSpPr>
        <xdr:cNvPr id="25" name="Elipse 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8968740" y="3566160"/>
          <a:ext cx="198120" cy="1676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68580</xdr:colOff>
      <xdr:row>18</xdr:row>
      <xdr:rowOff>114300</xdr:rowOff>
    </xdr:from>
    <xdr:to>
      <xdr:col>5</xdr:col>
      <xdr:colOff>266700</xdr:colOff>
      <xdr:row>18</xdr:row>
      <xdr:rowOff>281940</xdr:rowOff>
    </xdr:to>
    <xdr:sp macro="" textlink="">
      <xdr:nvSpPr>
        <xdr:cNvPr id="26" name="Elipse 2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/>
      </xdr:nvSpPr>
      <xdr:spPr>
        <a:xfrm>
          <a:off x="8968740" y="4640580"/>
          <a:ext cx="198120" cy="1676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30480</xdr:colOff>
      <xdr:row>1</xdr:row>
      <xdr:rowOff>106680</xdr:rowOff>
    </xdr:from>
    <xdr:to>
      <xdr:col>5</xdr:col>
      <xdr:colOff>228600</xdr:colOff>
      <xdr:row>1</xdr:row>
      <xdr:rowOff>274320</xdr:rowOff>
    </xdr:to>
    <xdr:sp macro="" textlink="">
      <xdr:nvSpPr>
        <xdr:cNvPr id="27" name="Elipse 2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/>
      </xdr:nvSpPr>
      <xdr:spPr>
        <a:xfrm>
          <a:off x="9052560" y="373380"/>
          <a:ext cx="198120" cy="1676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7620</xdr:colOff>
          <xdr:row>2</xdr:row>
          <xdr:rowOff>7620</xdr:rowOff>
        </xdr:from>
        <xdr:to>
          <xdr:col>14</xdr:col>
          <xdr:colOff>7620</xdr:colOff>
          <xdr:row>2</xdr:row>
          <xdr:rowOff>190500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B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15240</xdr:colOff>
          <xdr:row>5</xdr:row>
          <xdr:rowOff>388620</xdr:rowOff>
        </xdr:from>
        <xdr:to>
          <xdr:col>12</xdr:col>
          <xdr:colOff>1409700</xdr:colOff>
          <xdr:row>7</xdr:row>
          <xdr:rowOff>0</xdr:rowOff>
        </xdr:to>
        <xdr:sp macro="" textlink="">
          <xdr:nvSpPr>
            <xdr:cNvPr id="16386" name="Drop Down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B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1394460</xdr:colOff>
          <xdr:row>10</xdr:row>
          <xdr:rowOff>7620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6387" name="Drop Down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B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15240</xdr:rowOff>
        </xdr:from>
        <xdr:to>
          <xdr:col>13</xdr:col>
          <xdr:colOff>22860</xdr:colOff>
          <xdr:row>16</xdr:row>
          <xdr:rowOff>0</xdr:rowOff>
        </xdr:to>
        <xdr:sp macro="" textlink="">
          <xdr:nvSpPr>
            <xdr:cNvPr id="16388" name="Drop Down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B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15240</xdr:colOff>
          <xdr:row>19</xdr:row>
          <xdr:rowOff>38100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6389" name="Drop Down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B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579120</xdr:colOff>
      <xdr:row>6</xdr:row>
      <xdr:rowOff>45720</xdr:rowOff>
    </xdr:from>
    <xdr:to>
      <xdr:col>7</xdr:col>
      <xdr:colOff>731520</xdr:colOff>
      <xdr:row>6</xdr:row>
      <xdr:rowOff>175260</xdr:rowOff>
    </xdr:to>
    <xdr:sp macro="" textlink="">
      <xdr:nvSpPr>
        <xdr:cNvPr id="46" name="Elipse 45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/>
      </xdr:nvSpPr>
      <xdr:spPr>
        <a:xfrm>
          <a:off x="13357860" y="708660"/>
          <a:ext cx="152400" cy="129540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579120</xdr:colOff>
      <xdr:row>15</xdr:row>
      <xdr:rowOff>45720</xdr:rowOff>
    </xdr:from>
    <xdr:to>
      <xdr:col>7</xdr:col>
      <xdr:colOff>731520</xdr:colOff>
      <xdr:row>15</xdr:row>
      <xdr:rowOff>175260</xdr:rowOff>
    </xdr:to>
    <xdr:sp macro="" textlink="">
      <xdr:nvSpPr>
        <xdr:cNvPr id="47" name="Elipse 4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/>
      </xdr:nvSpPr>
      <xdr:spPr>
        <a:xfrm>
          <a:off x="13357860" y="1760220"/>
          <a:ext cx="152400" cy="129540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579120</xdr:colOff>
      <xdr:row>19</xdr:row>
      <xdr:rowOff>45720</xdr:rowOff>
    </xdr:from>
    <xdr:to>
      <xdr:col>7</xdr:col>
      <xdr:colOff>731520</xdr:colOff>
      <xdr:row>19</xdr:row>
      <xdr:rowOff>175260</xdr:rowOff>
    </xdr:to>
    <xdr:sp macro="" textlink="">
      <xdr:nvSpPr>
        <xdr:cNvPr id="48" name="Elipse 4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/>
      </xdr:nvSpPr>
      <xdr:spPr>
        <a:xfrm>
          <a:off x="13357860" y="3924300"/>
          <a:ext cx="152400" cy="129540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579120</xdr:colOff>
      <xdr:row>10</xdr:row>
      <xdr:rowOff>45720</xdr:rowOff>
    </xdr:from>
    <xdr:to>
      <xdr:col>7</xdr:col>
      <xdr:colOff>731520</xdr:colOff>
      <xdr:row>10</xdr:row>
      <xdr:rowOff>175260</xdr:rowOff>
    </xdr:to>
    <xdr:sp macro="" textlink="">
      <xdr:nvSpPr>
        <xdr:cNvPr id="49" name="Elipse 48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/>
      </xdr:nvSpPr>
      <xdr:spPr>
        <a:xfrm>
          <a:off x="13357860" y="3924300"/>
          <a:ext cx="152400" cy="129540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1394460</xdr:colOff>
          <xdr:row>15</xdr:row>
          <xdr:rowOff>15240</xdr:rowOff>
        </xdr:from>
        <xdr:to>
          <xdr:col>12</xdr:col>
          <xdr:colOff>1402080</xdr:colOff>
          <xdr:row>15</xdr:row>
          <xdr:rowOff>182880</xdr:rowOff>
        </xdr:to>
        <xdr:sp macro="" textlink="">
          <xdr:nvSpPr>
            <xdr:cNvPr id="16402" name="Drop Down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B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1394460</xdr:colOff>
          <xdr:row>6</xdr:row>
          <xdr:rowOff>7620</xdr:rowOff>
        </xdr:from>
        <xdr:to>
          <xdr:col>13</xdr:col>
          <xdr:colOff>0</xdr:colOff>
          <xdr:row>6</xdr:row>
          <xdr:rowOff>190500</xdr:rowOff>
        </xdr:to>
        <xdr:sp macro="" textlink="">
          <xdr:nvSpPr>
            <xdr:cNvPr id="16403" name="Drop Down 19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00000000-0008-0000-0B00-00001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403860</xdr:colOff>
      <xdr:row>2</xdr:row>
      <xdr:rowOff>22860</xdr:rowOff>
    </xdr:from>
    <xdr:to>
      <xdr:col>7</xdr:col>
      <xdr:colOff>571500</xdr:colOff>
      <xdr:row>2</xdr:row>
      <xdr:rowOff>182880</xdr:rowOff>
    </xdr:to>
    <xdr:sp macro="" textlink="">
      <xdr:nvSpPr>
        <xdr:cNvPr id="44" name="Elipse 43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SpPr/>
      </xdr:nvSpPr>
      <xdr:spPr>
        <a:xfrm>
          <a:off x="13182600" y="685800"/>
          <a:ext cx="167640" cy="160020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13</xdr:col>
      <xdr:colOff>266700</xdr:colOff>
      <xdr:row>7</xdr:row>
      <xdr:rowOff>2848</xdr:rowOff>
    </xdr:from>
    <xdr:to>
      <xdr:col>13</xdr:col>
      <xdr:colOff>1234440</xdr:colOff>
      <xdr:row>10</xdr:row>
      <xdr:rowOff>101908</xdr:rowOff>
    </xdr:to>
    <xdr:pic>
      <xdr:nvPicPr>
        <xdr:cNvPr id="41" name="Gráfico 40" descr="Janela do navegado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>
          <a:off x="22029420" y="1915468"/>
          <a:ext cx="967740" cy="967740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236220</xdr:colOff>
      <xdr:row>3</xdr:row>
      <xdr:rowOff>76200</xdr:rowOff>
    </xdr:from>
    <xdr:to>
      <xdr:col>13</xdr:col>
      <xdr:colOff>1150620</xdr:colOff>
      <xdr:row>6</xdr:row>
      <xdr:rowOff>137160</xdr:rowOff>
    </xdr:to>
    <xdr:pic>
      <xdr:nvPicPr>
        <xdr:cNvPr id="42" name="Gráfico 41" descr="Rede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21998940" y="937260"/>
          <a:ext cx="914400" cy="914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127000</xdr:rowOff>
    </xdr:from>
    <xdr:to>
      <xdr:col>1</xdr:col>
      <xdr:colOff>241300</xdr:colOff>
      <xdr:row>5</xdr:row>
      <xdr:rowOff>118808</xdr:rowOff>
    </xdr:to>
    <xdr:pic>
      <xdr:nvPicPr>
        <xdr:cNvPr id="4" name="Gráfico 3" descr="Red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90500" y="127000"/>
          <a:ext cx="914400" cy="93784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0</xdr:row>
      <xdr:rowOff>24496</xdr:rowOff>
    </xdr:from>
    <xdr:to>
      <xdr:col>3</xdr:col>
      <xdr:colOff>0</xdr:colOff>
      <xdr:row>47</xdr:row>
      <xdr:rowOff>101169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840" y="24496"/>
          <a:ext cx="7856220" cy="9210944"/>
        </a:xfrm>
        <a:prstGeom prst="rect">
          <a:avLst/>
        </a:prstGeom>
      </xdr:spPr>
    </xdr:pic>
    <xdr:clientData/>
  </xdr:twoCellAnchor>
  <xdr:twoCellAnchor>
    <xdr:from>
      <xdr:col>2</xdr:col>
      <xdr:colOff>703580</xdr:colOff>
      <xdr:row>14</xdr:row>
      <xdr:rowOff>38100</xdr:rowOff>
    </xdr:from>
    <xdr:to>
      <xdr:col>2</xdr:col>
      <xdr:colOff>7147560</xdr:colOff>
      <xdr:row>45</xdr:row>
      <xdr:rowOff>146050</xdr:rowOff>
    </xdr:to>
    <xdr:sp macro="" textlink="">
      <xdr:nvSpPr>
        <xdr:cNvPr id="6" name="Caixa de Texto 2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>
          <a:spLocks noChangeArrowheads="1"/>
        </xdr:cNvSpPr>
      </xdr:nvSpPr>
      <xdr:spPr bwMode="auto">
        <a:xfrm>
          <a:off x="2837180" y="2758440"/>
          <a:ext cx="6443980" cy="6257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6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6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PROPOSTA: </a:t>
          </a:r>
          <a:r>
            <a:rPr lang="pt-BR" sz="22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Sistema Fotovoltaico On-Grid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2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0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0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0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 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>
            <a:lnSpc>
              <a:spcPct val="107000"/>
            </a:lnSpc>
            <a:spcAft>
              <a:spcPts val="800"/>
            </a:spcAft>
          </a:pPr>
          <a:r>
            <a:rPr lang="pt-BR" sz="24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GERAÇÃO PRESUMIDA: 3.500 k</a:t>
          </a:r>
          <a:r>
            <a:rPr lang="pt-BR" sz="2200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Verdana" panose="020B0604030504040204" pitchFamily="34" charset="0"/>
            </a:rPr>
            <a:t>wh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14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14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 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pPr algn="ctr">
            <a:lnSpc>
              <a:spcPct val="107000"/>
            </a:lnSpc>
            <a:spcAft>
              <a:spcPts val="800"/>
            </a:spcAft>
          </a:pPr>
          <a:r>
            <a:rPr lang="pt-BR" sz="2200" b="1">
              <a:solidFill>
                <a:srgbClr val="FFFFFF"/>
              </a:solidFill>
              <a:effectLst/>
              <a:latin typeface="Verdana" panose="020B060403050404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Validade da proposta: 15 dias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60960</xdr:colOff>
      <xdr:row>1</xdr:row>
      <xdr:rowOff>22860</xdr:rowOff>
    </xdr:from>
    <xdr:to>
      <xdr:col>2</xdr:col>
      <xdr:colOff>1737359</xdr:colOff>
      <xdr:row>3</xdr:row>
      <xdr:rowOff>35560</xdr:rowOff>
    </xdr:to>
    <xdr:sp macro="" textlink="">
      <xdr:nvSpPr>
        <xdr:cNvPr id="7" name="Caixa de Texto 57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2194560" y="205740"/>
          <a:ext cx="1676399" cy="378460"/>
        </a:xfrm>
        <a:prstGeom prst="rect">
          <a:avLst/>
        </a:prstGeom>
        <a:noFill/>
        <a:ln w="6350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>
            <a:lnSpc>
              <a:spcPct val="107000"/>
            </a:lnSpc>
            <a:spcAft>
              <a:spcPts val="800"/>
            </a:spcAft>
          </a:pPr>
          <a:r>
            <a:rPr lang="pt-BR" sz="1100">
              <a:solidFill>
                <a:srgbClr val="FFFFFF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Proposta Nº: 001/2022</a:t>
          </a:r>
          <a:endParaRPr lang="pt-BR" sz="11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1097280</xdr:colOff>
      <xdr:row>79</xdr:row>
      <xdr:rowOff>86360</xdr:rowOff>
    </xdr:from>
    <xdr:to>
      <xdr:col>2</xdr:col>
      <xdr:colOff>6492240</xdr:colOff>
      <xdr:row>96</xdr:row>
      <xdr:rowOff>33020</xdr:rowOff>
    </xdr:to>
    <xdr:pic>
      <xdr:nvPicPr>
        <xdr:cNvPr id="9" name="Imagem 13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0880" y="18740120"/>
          <a:ext cx="539496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3319780</xdr:colOff>
      <xdr:row>108</xdr:row>
      <xdr:rowOff>48260</xdr:rowOff>
    </xdr:from>
    <xdr:to>
      <xdr:col>2</xdr:col>
      <xdr:colOff>3975100</xdr:colOff>
      <xdr:row>111</xdr:row>
      <xdr:rowOff>165100</xdr:rowOff>
    </xdr:to>
    <xdr:pic>
      <xdr:nvPicPr>
        <xdr:cNvPr id="10" name="Imagem 14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380" y="24074120"/>
          <a:ext cx="655320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629920</xdr:colOff>
      <xdr:row>108</xdr:row>
      <xdr:rowOff>6938</xdr:rowOff>
    </xdr:from>
    <xdr:to>
      <xdr:col>2</xdr:col>
      <xdr:colOff>1399540</xdr:colOff>
      <xdr:row>111</xdr:row>
      <xdr:rowOff>144780</xdr:rowOff>
    </xdr:to>
    <xdr:pic>
      <xdr:nvPicPr>
        <xdr:cNvPr id="11" name="Imagem 15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3520" y="24032798"/>
          <a:ext cx="769620" cy="68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5953760</xdr:colOff>
      <xdr:row>108</xdr:row>
      <xdr:rowOff>15240</xdr:rowOff>
    </xdr:from>
    <xdr:to>
      <xdr:col>2</xdr:col>
      <xdr:colOff>6601460</xdr:colOff>
      <xdr:row>111</xdr:row>
      <xdr:rowOff>132080</xdr:rowOff>
    </xdr:to>
    <xdr:pic>
      <xdr:nvPicPr>
        <xdr:cNvPr id="12" name="Imagem 16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7360" y="24041100"/>
          <a:ext cx="647700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3271520</xdr:colOff>
      <xdr:row>118</xdr:row>
      <xdr:rowOff>30480</xdr:rowOff>
    </xdr:from>
    <xdr:to>
      <xdr:col>2</xdr:col>
      <xdr:colOff>3926840</xdr:colOff>
      <xdr:row>121</xdr:row>
      <xdr:rowOff>104140</xdr:rowOff>
    </xdr:to>
    <xdr:pic>
      <xdr:nvPicPr>
        <xdr:cNvPr id="13" name="Imagem 17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120" y="26022300"/>
          <a:ext cx="65532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5905500</xdr:colOff>
      <xdr:row>118</xdr:row>
      <xdr:rowOff>7620</xdr:rowOff>
    </xdr:from>
    <xdr:to>
      <xdr:col>2</xdr:col>
      <xdr:colOff>6545580</xdr:colOff>
      <xdr:row>121</xdr:row>
      <xdr:rowOff>53340</xdr:rowOff>
    </xdr:to>
    <xdr:pic>
      <xdr:nvPicPr>
        <xdr:cNvPr id="14" name="Imagem 18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25999440"/>
          <a:ext cx="640080" cy="59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703580</xdr:colOff>
      <xdr:row>118</xdr:row>
      <xdr:rowOff>17780</xdr:rowOff>
    </xdr:from>
    <xdr:to>
      <xdr:col>2</xdr:col>
      <xdr:colOff>1229360</xdr:colOff>
      <xdr:row>121</xdr:row>
      <xdr:rowOff>83820</xdr:rowOff>
    </xdr:to>
    <xdr:pic>
      <xdr:nvPicPr>
        <xdr:cNvPr id="15" name="Imagem 20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7180" y="26009600"/>
          <a:ext cx="525780" cy="61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441960</xdr:colOff>
      <xdr:row>112</xdr:row>
      <xdr:rowOff>81280</xdr:rowOff>
    </xdr:from>
    <xdr:to>
      <xdr:col>2</xdr:col>
      <xdr:colOff>1518920</xdr:colOff>
      <xdr:row>115</xdr:row>
      <xdr:rowOff>147320</xdr:rowOff>
    </xdr:to>
    <xdr:sp macro="" textlink="">
      <xdr:nvSpPr>
        <xdr:cNvPr id="32772" name="Caixa de Texto 42">
          <a:extLst>
            <a:ext uri="{FF2B5EF4-FFF2-40B4-BE49-F238E27FC236}">
              <a16:creationId xmlns:a16="http://schemas.microsoft.com/office/drawing/2014/main" id="{00000000-0008-0000-0C00-000004800000}"/>
            </a:ext>
          </a:extLst>
        </xdr:cNvPr>
        <xdr:cNvSpPr txBox="1">
          <a:spLocks noChangeArrowheads="1"/>
        </xdr:cNvSpPr>
      </xdr:nvSpPr>
      <xdr:spPr bwMode="auto">
        <a:xfrm>
          <a:off x="2575560" y="24838660"/>
          <a:ext cx="1076960" cy="683260"/>
        </a:xfrm>
        <a:prstGeom prst="rect">
          <a:avLst/>
        </a:prstGeom>
        <a:solidFill>
          <a:srgbClr val="FFFFFF"/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850" b="0" i="0" u="none" strike="noStrike" baseline="0">
              <a:solidFill>
                <a:srgbClr val="000000"/>
              </a:solidFill>
              <a:latin typeface="Calibri"/>
              <a:cs typeface="Calibri"/>
            </a:rPr>
            <a:t>Economize dinheiro gerando energia por décadas após a quitação do seu sistema</a:t>
          </a:r>
          <a:endParaRPr lang="pt-BR" sz="11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 </a:t>
          </a:r>
        </a:p>
      </xdr:txBody>
    </xdr:sp>
    <xdr:clientData/>
  </xdr:twoCellAnchor>
  <xdr:twoCellAnchor>
    <xdr:from>
      <xdr:col>2</xdr:col>
      <xdr:colOff>5689600</xdr:colOff>
      <xdr:row>122</xdr:row>
      <xdr:rowOff>91440</xdr:rowOff>
    </xdr:from>
    <xdr:to>
      <xdr:col>2</xdr:col>
      <xdr:colOff>6771640</xdr:colOff>
      <xdr:row>126</xdr:row>
      <xdr:rowOff>7620</xdr:rowOff>
    </xdr:to>
    <xdr:sp macro="" textlink="">
      <xdr:nvSpPr>
        <xdr:cNvPr id="32778" name="Caixa de Texto 50">
          <a:extLst>
            <a:ext uri="{FF2B5EF4-FFF2-40B4-BE49-F238E27FC236}">
              <a16:creationId xmlns:a16="http://schemas.microsoft.com/office/drawing/2014/main" id="{00000000-0008-0000-0C00-00000A800000}"/>
            </a:ext>
          </a:extLst>
        </xdr:cNvPr>
        <xdr:cNvSpPr txBox="1">
          <a:spLocks noChangeArrowheads="1"/>
        </xdr:cNvSpPr>
      </xdr:nvSpPr>
      <xdr:spPr bwMode="auto">
        <a:xfrm>
          <a:off x="7823200" y="26814780"/>
          <a:ext cx="1082040" cy="647700"/>
        </a:xfrm>
        <a:prstGeom prst="rect">
          <a:avLst/>
        </a:prstGeom>
        <a:solidFill>
          <a:srgbClr val="FFFFFF"/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Valorize o seu imóvel</a:t>
          </a:r>
        </a:p>
      </xdr:txBody>
    </xdr:sp>
    <xdr:clientData/>
  </xdr:twoCellAnchor>
  <xdr:twoCellAnchor>
    <xdr:from>
      <xdr:col>2</xdr:col>
      <xdr:colOff>3070860</xdr:colOff>
      <xdr:row>122</xdr:row>
      <xdr:rowOff>30480</xdr:rowOff>
    </xdr:from>
    <xdr:to>
      <xdr:col>2</xdr:col>
      <xdr:colOff>4152900</xdr:colOff>
      <xdr:row>125</xdr:row>
      <xdr:rowOff>160020</xdr:rowOff>
    </xdr:to>
    <xdr:sp macro="" textlink="">
      <xdr:nvSpPr>
        <xdr:cNvPr id="32773" name="Caixa de Texto 51">
          <a:extLst>
            <a:ext uri="{FF2B5EF4-FFF2-40B4-BE49-F238E27FC236}">
              <a16:creationId xmlns:a16="http://schemas.microsoft.com/office/drawing/2014/main" id="{00000000-0008-0000-0C00-000005800000}"/>
            </a:ext>
          </a:extLst>
        </xdr:cNvPr>
        <xdr:cNvSpPr txBox="1">
          <a:spLocks noChangeArrowheads="1"/>
        </xdr:cNvSpPr>
      </xdr:nvSpPr>
      <xdr:spPr bwMode="auto">
        <a:xfrm>
          <a:off x="5204460" y="26753820"/>
          <a:ext cx="1082040" cy="678180"/>
        </a:xfrm>
        <a:prstGeom prst="rect">
          <a:avLst/>
        </a:prstGeom>
        <a:solidFill>
          <a:srgbClr val="FFFFFF"/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Economize até 95% em sua conta de energia</a:t>
          </a:r>
        </a:p>
      </xdr:txBody>
    </xdr:sp>
    <xdr:clientData/>
  </xdr:twoCellAnchor>
  <xdr:twoCellAnchor>
    <xdr:from>
      <xdr:col>2</xdr:col>
      <xdr:colOff>469900</xdr:colOff>
      <xdr:row>121</xdr:row>
      <xdr:rowOff>142240</xdr:rowOff>
    </xdr:from>
    <xdr:to>
      <xdr:col>2</xdr:col>
      <xdr:colOff>1546860</xdr:colOff>
      <xdr:row>126</xdr:row>
      <xdr:rowOff>68580</xdr:rowOff>
    </xdr:to>
    <xdr:sp macro="" textlink="">
      <xdr:nvSpPr>
        <xdr:cNvPr id="32777" name="Caixa de Texto 52">
          <a:extLst>
            <a:ext uri="{FF2B5EF4-FFF2-40B4-BE49-F238E27FC236}">
              <a16:creationId xmlns:a16="http://schemas.microsoft.com/office/drawing/2014/main" id="{00000000-0008-0000-0C00-000009800000}"/>
            </a:ext>
          </a:extLst>
        </xdr:cNvPr>
        <xdr:cNvSpPr txBox="1">
          <a:spLocks noChangeArrowheads="1"/>
        </xdr:cNvSpPr>
      </xdr:nvSpPr>
      <xdr:spPr bwMode="auto">
        <a:xfrm>
          <a:off x="2603500" y="26682700"/>
          <a:ext cx="1076960" cy="840740"/>
        </a:xfrm>
        <a:prstGeom prst="rect">
          <a:avLst/>
        </a:prstGeom>
        <a:solidFill>
          <a:srgbClr val="FFFFFF"/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Proteja-se contra a inflação de energia</a:t>
          </a:r>
        </a:p>
      </xdr:txBody>
    </xdr:sp>
    <xdr:clientData/>
  </xdr:twoCellAnchor>
  <xdr:twoCellAnchor>
    <xdr:from>
      <xdr:col>2</xdr:col>
      <xdr:colOff>5725160</xdr:colOff>
      <xdr:row>111</xdr:row>
      <xdr:rowOff>177800</xdr:rowOff>
    </xdr:from>
    <xdr:to>
      <xdr:col>2</xdr:col>
      <xdr:colOff>6807200</xdr:colOff>
      <xdr:row>116</xdr:row>
      <xdr:rowOff>15240</xdr:rowOff>
    </xdr:to>
    <xdr:sp macro="" textlink="">
      <xdr:nvSpPr>
        <xdr:cNvPr id="32774" name="Caixa de Texto 53">
          <a:extLst>
            <a:ext uri="{FF2B5EF4-FFF2-40B4-BE49-F238E27FC236}">
              <a16:creationId xmlns:a16="http://schemas.microsoft.com/office/drawing/2014/main" id="{00000000-0008-0000-0C00-000006800000}"/>
            </a:ext>
          </a:extLst>
        </xdr:cNvPr>
        <xdr:cNvSpPr txBox="1">
          <a:spLocks noChangeArrowheads="1"/>
        </xdr:cNvSpPr>
      </xdr:nvSpPr>
      <xdr:spPr bwMode="auto">
        <a:xfrm>
          <a:off x="7858760" y="24752300"/>
          <a:ext cx="1082040" cy="889000"/>
        </a:xfrm>
        <a:prstGeom prst="rect">
          <a:avLst/>
        </a:prstGeom>
        <a:solidFill>
          <a:srgbClr val="FFFFFF"/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000" b="0" i="0" u="none" strike="noStrike" baseline="0">
              <a:solidFill>
                <a:srgbClr val="000000"/>
              </a:solidFill>
              <a:latin typeface="Calibri"/>
              <a:cs typeface="Calibri"/>
            </a:rPr>
            <a:t>Linhas de crédito especiais: financie seu sistema em até 36 vezes </a:t>
          </a:r>
        </a:p>
      </xdr:txBody>
    </xdr:sp>
    <xdr:clientData/>
  </xdr:twoCellAnchor>
  <xdr:twoCellAnchor>
    <xdr:from>
      <xdr:col>2</xdr:col>
      <xdr:colOff>3078480</xdr:colOff>
      <xdr:row>112</xdr:row>
      <xdr:rowOff>88900</xdr:rowOff>
    </xdr:from>
    <xdr:to>
      <xdr:col>2</xdr:col>
      <xdr:colOff>4160520</xdr:colOff>
      <xdr:row>115</xdr:row>
      <xdr:rowOff>137160</xdr:rowOff>
    </xdr:to>
    <xdr:sp macro="" textlink="">
      <xdr:nvSpPr>
        <xdr:cNvPr id="32776" name="Caixa de Texto 54">
          <a:extLst>
            <a:ext uri="{FF2B5EF4-FFF2-40B4-BE49-F238E27FC236}">
              <a16:creationId xmlns:a16="http://schemas.microsoft.com/office/drawing/2014/main" id="{00000000-0008-0000-0C00-000008800000}"/>
            </a:ext>
          </a:extLst>
        </xdr:cNvPr>
        <xdr:cNvSpPr txBox="1">
          <a:spLocks noChangeArrowheads="1"/>
        </xdr:cNvSpPr>
      </xdr:nvSpPr>
      <xdr:spPr bwMode="auto">
        <a:xfrm>
          <a:off x="5212080" y="24846280"/>
          <a:ext cx="1082040" cy="665480"/>
        </a:xfrm>
        <a:prstGeom prst="rect">
          <a:avLst/>
        </a:prstGeom>
        <a:solidFill>
          <a:srgbClr val="FFFFFF"/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1200" b="0" i="0" u="none" strike="noStrike" baseline="0">
              <a:solidFill>
                <a:srgbClr val="000000"/>
              </a:solidFill>
              <a:latin typeface="Calibri"/>
              <a:cs typeface="Calibri"/>
            </a:rPr>
            <a:t>Contribua para o futuro do planeta</a:t>
          </a:r>
        </a:p>
      </xdr:txBody>
    </xdr:sp>
    <xdr:clientData/>
  </xdr:twoCellAnchor>
  <xdr:twoCellAnchor>
    <xdr:from>
      <xdr:col>2</xdr:col>
      <xdr:colOff>1120140</xdr:colOff>
      <xdr:row>128</xdr:row>
      <xdr:rowOff>243840</xdr:rowOff>
    </xdr:from>
    <xdr:to>
      <xdr:col>2</xdr:col>
      <xdr:colOff>6666230</xdr:colOff>
      <xdr:row>138</xdr:row>
      <xdr:rowOff>92710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GrpSpPr/>
      </xdr:nvGrpSpPr>
      <xdr:grpSpPr>
        <a:xfrm>
          <a:off x="3177540" y="27947983"/>
          <a:ext cx="5546090" cy="1960698"/>
          <a:chOff x="0" y="0"/>
          <a:chExt cx="5546267" cy="1952152"/>
        </a:xfrm>
      </xdr:grpSpPr>
      <xdr:pic>
        <xdr:nvPicPr>
          <xdr:cNvPr id="23" name="Imagem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633" y="818707"/>
            <a:ext cx="5372735" cy="435610"/>
          </a:xfrm>
          <a:prstGeom prst="rect">
            <a:avLst/>
          </a:prstGeom>
          <a:noFill/>
        </xdr:spPr>
      </xdr:pic>
      <xdr:pic>
        <xdr:nvPicPr>
          <xdr:cNvPr id="24" name="Imagem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1265"/>
            <a:ext cx="571500" cy="595630"/>
          </a:xfrm>
          <a:prstGeom prst="rect">
            <a:avLst/>
          </a:prstGeom>
        </xdr:spPr>
      </xdr:pic>
      <xdr:pic>
        <xdr:nvPicPr>
          <xdr:cNvPr id="25" name="Imagem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77656" y="0"/>
            <a:ext cx="542925" cy="563880"/>
          </a:xfrm>
          <a:prstGeom prst="rect">
            <a:avLst/>
          </a:prstGeom>
        </xdr:spPr>
      </xdr:pic>
      <xdr:pic>
        <xdr:nvPicPr>
          <xdr:cNvPr id="26" name="Imagem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77116" y="1360967"/>
            <a:ext cx="573405" cy="591185"/>
          </a:xfrm>
          <a:prstGeom prst="rect">
            <a:avLst/>
          </a:prstGeom>
        </xdr:spPr>
      </xdr:pic>
      <xdr:pic>
        <xdr:nvPicPr>
          <xdr:cNvPr id="27" name="Imagem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9460" y="1360967"/>
            <a:ext cx="570230" cy="591185"/>
          </a:xfrm>
          <a:prstGeom prst="rect">
            <a:avLst/>
          </a:prstGeom>
        </xdr:spPr>
      </xdr:pic>
      <xdr:pic>
        <xdr:nvPicPr>
          <xdr:cNvPr id="28" name="Imagem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4679" y="21265"/>
            <a:ext cx="570230" cy="591185"/>
          </a:xfrm>
          <a:prstGeom prst="rect">
            <a:avLst/>
          </a:prstGeom>
        </xdr:spPr>
      </xdr:pic>
      <xdr:pic>
        <xdr:nvPicPr>
          <xdr:cNvPr id="29" name="Imagem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76037" y="1339702"/>
            <a:ext cx="570230" cy="594995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119742</xdr:colOff>
      <xdr:row>244</xdr:row>
      <xdr:rowOff>250370</xdr:rowOff>
    </xdr:from>
    <xdr:to>
      <xdr:col>12</xdr:col>
      <xdr:colOff>87085</xdr:colOff>
      <xdr:row>246</xdr:row>
      <xdr:rowOff>130626</xdr:rowOff>
    </xdr:to>
    <xdr:sp macro="" textlink="">
      <xdr:nvSpPr>
        <xdr:cNvPr id="2" name="Seta: para a Direita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 rot="10800000">
          <a:off x="19191513" y="52011941"/>
          <a:ext cx="838201" cy="446314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43543</xdr:colOff>
      <xdr:row>231</xdr:row>
      <xdr:rowOff>87087</xdr:rowOff>
    </xdr:from>
    <xdr:to>
      <xdr:col>12</xdr:col>
      <xdr:colOff>10886</xdr:colOff>
      <xdr:row>233</xdr:row>
      <xdr:rowOff>152401</xdr:rowOff>
    </xdr:to>
    <xdr:sp macro="" textlink="">
      <xdr:nvSpPr>
        <xdr:cNvPr id="30" name="Seta: para a Direita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SpPr/>
      </xdr:nvSpPr>
      <xdr:spPr>
        <a:xfrm rot="10800000">
          <a:off x="19115314" y="48953058"/>
          <a:ext cx="838201" cy="446314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.xml"/><Relationship Id="rId7" Type="http://schemas.openxmlformats.org/officeDocument/2006/relationships/ctrlProp" Target="../ctrlProps/ctrlProp12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0" Type="http://schemas.openxmlformats.org/officeDocument/2006/relationships/ctrlProp" Target="../ctrlProps/ctrlProp19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10" Type="http://schemas.openxmlformats.org/officeDocument/2006/relationships/ctrlProp" Target="../ctrlProps/ctrlProp27.xml"/><Relationship Id="rId4" Type="http://schemas.openxmlformats.org/officeDocument/2006/relationships/ctrlProp" Target="../ctrlProps/ctrlProp21.xml"/><Relationship Id="rId9" Type="http://schemas.openxmlformats.org/officeDocument/2006/relationships/ctrlProp" Target="../ctrlProps/ctrlProp2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A314-8CDE-49D1-9749-C6D9EA441FC3}">
  <sheetPr codeName="Planilha1"/>
  <dimension ref="A1:V88"/>
  <sheetViews>
    <sheetView showGridLines="0" topLeftCell="F1" zoomScale="65" zoomScaleNormal="65" workbookViewId="0">
      <selection activeCell="P1" sqref="P1:U15"/>
    </sheetView>
  </sheetViews>
  <sheetFormatPr defaultRowHeight="14.4" x14ac:dyDescent="0.3"/>
  <cols>
    <col min="1" max="3" width="8.88671875" style="396"/>
    <col min="4" max="4" width="19.5546875" style="396" bestFit="1" customWidth="1"/>
    <col min="5" max="5" width="21.33203125" style="396" bestFit="1" customWidth="1"/>
    <col min="6" max="6" width="24.6640625" style="396" bestFit="1" customWidth="1"/>
    <col min="7" max="8" width="21.33203125" style="396" customWidth="1"/>
    <col min="9" max="9" width="22.33203125" style="396" bestFit="1" customWidth="1"/>
    <col min="10" max="10" width="22.33203125" style="396" customWidth="1"/>
    <col min="11" max="11" width="20.109375" style="396" bestFit="1" customWidth="1"/>
    <col min="12" max="12" width="21.6640625" style="396" bestFit="1" customWidth="1"/>
    <col min="13" max="13" width="25.88671875" style="396" bestFit="1" customWidth="1"/>
    <col min="14" max="15" width="8.88671875" style="396"/>
    <col min="16" max="16" width="18.5546875" style="396" bestFit="1" customWidth="1"/>
    <col min="17" max="17" width="24.109375" style="396" bestFit="1" customWidth="1"/>
    <col min="18" max="18" width="0" style="396" hidden="1" customWidth="1"/>
    <col min="19" max="19" width="8.44140625" style="396" hidden="1" customWidth="1"/>
    <col min="20" max="20" width="38.109375" style="396" bestFit="1" customWidth="1"/>
    <col min="21" max="21" width="39.21875" style="396" bestFit="1" customWidth="1"/>
    <col min="22" max="22" width="17.88671875" style="396" bestFit="1" customWidth="1"/>
    <col min="23" max="16384" width="8.88671875" style="396"/>
  </cols>
  <sheetData>
    <row r="1" spans="1:22" ht="15" thickBot="1" x14ac:dyDescent="0.35">
      <c r="A1" s="398"/>
      <c r="B1" s="398"/>
      <c r="C1" s="398"/>
      <c r="D1" s="443">
        <v>294.25</v>
      </c>
      <c r="E1" s="443">
        <v>254</v>
      </c>
      <c r="F1" s="368">
        <v>0</v>
      </c>
      <c r="G1" s="368">
        <v>1</v>
      </c>
      <c r="H1" s="398"/>
      <c r="I1" s="398"/>
      <c r="J1" s="397">
        <v>1</v>
      </c>
      <c r="K1" s="398">
        <v>33</v>
      </c>
      <c r="P1" s="459" t="s">
        <v>498</v>
      </c>
      <c r="Q1" s="458" t="s">
        <v>46</v>
      </c>
      <c r="R1" s="294"/>
      <c r="S1" s="294"/>
      <c r="T1" s="458" t="s">
        <v>493</v>
      </c>
      <c r="U1" s="458" t="s">
        <v>500</v>
      </c>
      <c r="V1" s="458" t="s">
        <v>503</v>
      </c>
    </row>
    <row r="2" spans="1:22" ht="18" customHeight="1" thickBot="1" x14ac:dyDescent="0.35">
      <c r="A2" s="538" t="s">
        <v>30</v>
      </c>
      <c r="B2" s="538"/>
      <c r="C2" s="538"/>
      <c r="D2" s="538"/>
      <c r="E2" s="538"/>
      <c r="F2" s="538"/>
      <c r="G2" s="538"/>
      <c r="H2" s="538"/>
      <c r="I2" s="538"/>
      <c r="J2" s="538"/>
      <c r="K2" s="538"/>
      <c r="P2" s="294"/>
      <c r="Q2" s="294"/>
      <c r="R2" s="294"/>
      <c r="S2" s="294"/>
      <c r="T2" s="294"/>
      <c r="U2" s="294"/>
      <c r="V2" s="294"/>
    </row>
    <row r="3" spans="1:22" ht="15.6" x14ac:dyDescent="0.3">
      <c r="A3" s="88" t="s">
        <v>0</v>
      </c>
      <c r="B3" s="88" t="s">
        <v>1</v>
      </c>
      <c r="C3" s="88" t="s">
        <v>2</v>
      </c>
      <c r="D3" s="89" t="s">
        <v>3</v>
      </c>
      <c r="E3" s="90" t="s">
        <v>4</v>
      </c>
      <c r="F3" s="85" t="s">
        <v>5</v>
      </c>
      <c r="G3" s="369" t="s">
        <v>6</v>
      </c>
      <c r="H3" s="370" t="s">
        <v>7</v>
      </c>
      <c r="I3" s="371" t="s">
        <v>8</v>
      </c>
      <c r="J3" s="78" t="s">
        <v>9</v>
      </c>
      <c r="K3" s="210" t="s">
        <v>10</v>
      </c>
      <c r="L3" s="75" t="s">
        <v>11</v>
      </c>
      <c r="M3" s="76" t="s">
        <v>12</v>
      </c>
      <c r="P3" s="294"/>
      <c r="Q3" s="294"/>
      <c r="R3" s="294"/>
      <c r="S3" s="294"/>
      <c r="T3" s="294"/>
      <c r="U3" s="294"/>
      <c r="V3" s="294"/>
    </row>
    <row r="4" spans="1:22" ht="16.2" thickBot="1" x14ac:dyDescent="0.35">
      <c r="A4" s="399">
        <v>44256</v>
      </c>
      <c r="B4" s="400">
        <f>B18+B32+B46+B60</f>
        <v>1500</v>
      </c>
      <c r="C4" s="401">
        <v>1</v>
      </c>
      <c r="D4" s="550">
        <v>30</v>
      </c>
      <c r="E4" s="558">
        <f>SUM(B4:B15)</f>
        <v>18000</v>
      </c>
      <c r="F4" s="86">
        <v>44479</v>
      </c>
      <c r="G4" s="556">
        <f>E4/C15</f>
        <v>1500</v>
      </c>
      <c r="H4" s="521">
        <f>G11/30</f>
        <v>50</v>
      </c>
      <c r="I4" s="544">
        <f>(H4/(H8*H13))</f>
        <v>12.646511915196825</v>
      </c>
      <c r="J4" s="523">
        <v>5.2603868895256483</v>
      </c>
      <c r="K4" s="531">
        <f>I4</f>
        <v>12.646511915196825</v>
      </c>
      <c r="L4" s="77">
        <f>(G4*L6)</f>
        <v>82500</v>
      </c>
      <c r="M4" s="402">
        <f>VALORES!K3</f>
        <v>65707.147802562962</v>
      </c>
      <c r="P4" s="294"/>
      <c r="Q4" s="294"/>
      <c r="R4" s="294"/>
      <c r="S4" s="294"/>
      <c r="T4" s="294"/>
      <c r="U4" s="294"/>
      <c r="V4" s="294"/>
    </row>
    <row r="5" spans="1:22" ht="19.2" thickTop="1" thickBot="1" x14ac:dyDescent="0.35">
      <c r="A5" s="399">
        <v>44287</v>
      </c>
      <c r="B5" s="400">
        <f t="shared" ref="B5:B15" si="0">B19+B33+B47+B61</f>
        <v>1500</v>
      </c>
      <c r="C5" s="401">
        <v>2</v>
      </c>
      <c r="D5" s="551"/>
      <c r="E5" s="532"/>
      <c r="F5" s="557">
        <f>'GERAÇÃO DE ENERGIA'!A5</f>
        <v>1.1499999999999999</v>
      </c>
      <c r="G5" s="532"/>
      <c r="H5" s="522"/>
      <c r="I5" s="545"/>
      <c r="J5" s="524"/>
      <c r="K5" s="541"/>
      <c r="L5" s="403" t="s">
        <v>13</v>
      </c>
      <c r="P5" s="458" t="s">
        <v>494</v>
      </c>
      <c r="Q5" s="458" t="s">
        <v>499</v>
      </c>
      <c r="R5" s="294"/>
      <c r="S5" s="294"/>
      <c r="T5" s="458" t="s">
        <v>492</v>
      </c>
      <c r="U5" s="458" t="s">
        <v>502</v>
      </c>
      <c r="V5" s="294"/>
    </row>
    <row r="6" spans="1:22" ht="14.4" customHeight="1" thickTop="1" thickBot="1" x14ac:dyDescent="0.35">
      <c r="A6" s="399">
        <v>44317</v>
      </c>
      <c r="B6" s="400">
        <f t="shared" si="0"/>
        <v>1500</v>
      </c>
      <c r="C6" s="401">
        <v>3</v>
      </c>
      <c r="D6" s="552"/>
      <c r="E6" s="532"/>
      <c r="F6" s="557"/>
      <c r="G6" s="532"/>
      <c r="H6" s="543"/>
      <c r="I6" s="545"/>
      <c r="J6" s="524"/>
      <c r="K6" s="541"/>
      <c r="L6" s="87">
        <v>55</v>
      </c>
      <c r="P6" s="294"/>
      <c r="Q6" s="294"/>
      <c r="R6" s="294"/>
      <c r="S6" s="294"/>
      <c r="T6" s="294"/>
      <c r="U6" s="294"/>
      <c r="V6" s="294"/>
    </row>
    <row r="7" spans="1:22" ht="15" thickTop="1" x14ac:dyDescent="0.3">
      <c r="A7" s="399">
        <v>44348</v>
      </c>
      <c r="B7" s="400">
        <f t="shared" si="0"/>
        <v>1500</v>
      </c>
      <c r="C7" s="401">
        <v>4</v>
      </c>
      <c r="D7" s="91" t="s">
        <v>14</v>
      </c>
      <c r="E7" s="559"/>
      <c r="F7" s="80" t="s">
        <v>15</v>
      </c>
      <c r="G7" s="549"/>
      <c r="H7" s="372" t="s">
        <v>16</v>
      </c>
      <c r="I7" s="560"/>
      <c r="J7" s="362" t="s">
        <v>469</v>
      </c>
      <c r="K7" s="542"/>
      <c r="P7" s="294"/>
      <c r="Q7" s="294"/>
      <c r="R7" s="294"/>
      <c r="S7" s="294"/>
      <c r="T7" s="294"/>
      <c r="U7" s="294"/>
      <c r="V7" s="294"/>
    </row>
    <row r="8" spans="1:22" x14ac:dyDescent="0.3">
      <c r="A8" s="399">
        <v>44378</v>
      </c>
      <c r="B8" s="400">
        <f t="shared" si="0"/>
        <v>1500</v>
      </c>
      <c r="C8" s="401">
        <v>5</v>
      </c>
      <c r="D8" s="550">
        <v>50</v>
      </c>
      <c r="E8" s="532"/>
      <c r="F8" s="555">
        <f>E4*F5</f>
        <v>20700</v>
      </c>
      <c r="G8" s="532"/>
      <c r="H8" s="521">
        <f>'ANALIZE DE DADOS '!F17</f>
        <v>4.9466666666666663</v>
      </c>
      <c r="I8" s="560"/>
      <c r="J8" s="363">
        <f>S9-1</f>
        <v>0</v>
      </c>
      <c r="K8" s="361" t="s">
        <v>18</v>
      </c>
      <c r="P8" s="294"/>
      <c r="Q8" s="294"/>
      <c r="R8" s="442" t="s">
        <v>407</v>
      </c>
      <c r="S8" s="294"/>
      <c r="T8" s="294"/>
      <c r="U8" s="294"/>
      <c r="V8" s="294"/>
    </row>
    <row r="9" spans="1:22" ht="15" thickBot="1" x14ac:dyDescent="0.35">
      <c r="A9" s="399">
        <v>44409</v>
      </c>
      <c r="B9" s="400">
        <f>B23+B37+B51+B65</f>
        <v>1500</v>
      </c>
      <c r="C9" s="401">
        <v>6</v>
      </c>
      <c r="D9" s="551"/>
      <c r="E9" s="532"/>
      <c r="F9" s="555"/>
      <c r="G9" s="532"/>
      <c r="H9" s="522"/>
      <c r="I9" s="560"/>
      <c r="J9" s="364">
        <f>(INDEX('DIMENCINAMENTO DE PLACA'!E11:E16,'DIMENCINAMENTO DE PLACA'!F1)*3)*INDEX('DIMENCINAMENTO DE PLACA'!G11:G16,'DIMENCINAMENTO DE PLACA'!F1)</f>
        <v>79.011693708706773</v>
      </c>
      <c r="K9" s="562">
        <f>(I4-((I4*20)/100))</f>
        <v>10.11720953215746</v>
      </c>
      <c r="P9" s="294"/>
      <c r="Q9" s="294"/>
      <c r="R9" s="442" t="s">
        <v>470</v>
      </c>
      <c r="S9" s="442">
        <v>1</v>
      </c>
      <c r="T9" s="294"/>
      <c r="U9" s="294"/>
      <c r="V9" s="294"/>
    </row>
    <row r="10" spans="1:22" ht="15" thickBot="1" x14ac:dyDescent="0.35">
      <c r="A10" s="399">
        <v>44440</v>
      </c>
      <c r="B10" s="400">
        <f t="shared" si="0"/>
        <v>1500</v>
      </c>
      <c r="C10" s="401">
        <v>7</v>
      </c>
      <c r="D10" s="551"/>
      <c r="E10" s="532"/>
      <c r="F10" s="555"/>
      <c r="G10" s="373" t="s">
        <v>19</v>
      </c>
      <c r="H10" s="522"/>
      <c r="I10" s="560"/>
      <c r="J10" s="374" t="s">
        <v>17</v>
      </c>
      <c r="K10" s="562"/>
      <c r="P10" s="458" t="s">
        <v>501</v>
      </c>
      <c r="Q10" s="458" t="s">
        <v>495</v>
      </c>
      <c r="R10" s="294"/>
      <c r="S10" s="294"/>
      <c r="T10" s="456" t="s">
        <v>497</v>
      </c>
      <c r="U10" s="458" t="s">
        <v>504</v>
      </c>
      <c r="V10" s="294"/>
    </row>
    <row r="11" spans="1:22" ht="15" thickBot="1" x14ac:dyDescent="0.35">
      <c r="A11" s="399">
        <v>44470</v>
      </c>
      <c r="B11" s="400">
        <f t="shared" si="0"/>
        <v>1500</v>
      </c>
      <c r="C11" s="401">
        <v>8</v>
      </c>
      <c r="D11" s="552"/>
      <c r="E11" s="532"/>
      <c r="F11" s="555"/>
      <c r="G11" s="532">
        <f>G4</f>
        <v>1500</v>
      </c>
      <c r="H11" s="543"/>
      <c r="I11" s="560"/>
      <c r="J11" s="563">
        <f>INDEX('DIMENCINAMENTO DE PLACA'!H11:H16,'DIMENCINAMENTO DE PLACA'!F1)+(J9*J8)</f>
        <v>65.812189127122522</v>
      </c>
      <c r="K11" s="562"/>
      <c r="P11" s="294"/>
      <c r="Q11" s="294"/>
      <c r="R11" s="294"/>
      <c r="S11" s="294"/>
      <c r="T11" s="457" t="s">
        <v>496</v>
      </c>
      <c r="U11" s="294"/>
      <c r="V11" s="294"/>
    </row>
    <row r="12" spans="1:22" x14ac:dyDescent="0.3">
      <c r="A12" s="399">
        <v>44501</v>
      </c>
      <c r="B12" s="400">
        <f t="shared" si="0"/>
        <v>1500</v>
      </c>
      <c r="C12" s="401">
        <v>9</v>
      </c>
      <c r="D12" s="92" t="s">
        <v>20</v>
      </c>
      <c r="E12" s="532"/>
      <c r="F12" s="81" t="s">
        <v>21</v>
      </c>
      <c r="G12" s="532"/>
      <c r="H12" s="375" t="s">
        <v>22</v>
      </c>
      <c r="I12" s="560"/>
      <c r="J12" s="563"/>
      <c r="K12" s="361" t="s">
        <v>23</v>
      </c>
      <c r="P12" s="294"/>
      <c r="Q12" s="294"/>
      <c r="R12" s="294"/>
      <c r="S12" s="294"/>
      <c r="T12" s="294"/>
      <c r="U12" s="294"/>
      <c r="V12" s="294"/>
    </row>
    <row r="13" spans="1:22" x14ac:dyDescent="0.3">
      <c r="A13" s="399">
        <v>44531</v>
      </c>
      <c r="B13" s="400">
        <f t="shared" si="0"/>
        <v>1500</v>
      </c>
      <c r="C13" s="401">
        <v>10</v>
      </c>
      <c r="D13" s="550">
        <v>100</v>
      </c>
      <c r="E13" s="532"/>
      <c r="F13" s="555">
        <f>G4*F5</f>
        <v>1724.9999999999998</v>
      </c>
      <c r="G13" s="532"/>
      <c r="H13" s="521">
        <f>'P.D.E'!G39</f>
        <v>0.79925727974399996</v>
      </c>
      <c r="I13" s="560"/>
      <c r="J13" s="563"/>
      <c r="K13" s="556">
        <f>(I4+((I4*20)/100))</f>
        <v>15.17581429823619</v>
      </c>
      <c r="P13" s="294"/>
      <c r="Q13" s="294"/>
      <c r="R13" s="294"/>
      <c r="S13" s="294"/>
      <c r="T13" s="294"/>
      <c r="U13" s="294"/>
      <c r="V13" s="294"/>
    </row>
    <row r="14" spans="1:22" x14ac:dyDescent="0.3">
      <c r="A14" s="399">
        <v>44562</v>
      </c>
      <c r="B14" s="400">
        <f t="shared" si="0"/>
        <v>1500</v>
      </c>
      <c r="C14" s="401">
        <v>11</v>
      </c>
      <c r="D14" s="551"/>
      <c r="E14" s="532"/>
      <c r="F14" s="555"/>
      <c r="G14" s="532"/>
      <c r="H14" s="522"/>
      <c r="I14" s="560"/>
      <c r="J14" s="563"/>
      <c r="K14" s="549"/>
      <c r="P14" s="294"/>
      <c r="Q14" s="294"/>
      <c r="R14" s="294"/>
      <c r="S14" s="294"/>
      <c r="T14" s="294"/>
      <c r="U14" s="294"/>
      <c r="V14" s="294"/>
    </row>
    <row r="15" spans="1:22" ht="15" thickBot="1" x14ac:dyDescent="0.35">
      <c r="A15" s="399">
        <v>44593</v>
      </c>
      <c r="B15" s="400">
        <f t="shared" si="0"/>
        <v>1500</v>
      </c>
      <c r="C15" s="404">
        <v>12</v>
      </c>
      <c r="D15" s="551"/>
      <c r="E15" s="532"/>
      <c r="F15" s="555"/>
      <c r="G15" s="532"/>
      <c r="H15" s="522"/>
      <c r="I15" s="560"/>
      <c r="J15" s="564"/>
      <c r="K15" s="549"/>
      <c r="P15" s="294"/>
      <c r="Q15" s="294"/>
      <c r="R15" s="294"/>
      <c r="S15" s="294"/>
      <c r="T15" s="294"/>
      <c r="U15" s="294"/>
      <c r="V15" s="294"/>
    </row>
    <row r="16" spans="1:22" ht="18" customHeight="1" x14ac:dyDescent="0.3">
      <c r="A16" s="539" t="s">
        <v>380</v>
      </c>
      <c r="B16" s="540"/>
      <c r="C16" s="539"/>
      <c r="D16" s="539"/>
      <c r="E16" s="539"/>
      <c r="F16" s="539"/>
      <c r="G16" s="539"/>
      <c r="H16" s="539"/>
      <c r="I16" s="539"/>
      <c r="J16" s="540"/>
      <c r="K16" s="539"/>
    </row>
    <row r="17" spans="1:18" ht="15.6" x14ac:dyDescent="0.3">
      <c r="A17" s="376" t="s">
        <v>0</v>
      </c>
      <c r="B17" s="88" t="s">
        <v>1</v>
      </c>
      <c r="C17" s="88" t="s">
        <v>2</v>
      </c>
      <c r="D17" s="89" t="s">
        <v>24</v>
      </c>
      <c r="E17" s="377" t="s">
        <v>25</v>
      </c>
      <c r="F17" s="134" t="s">
        <v>5</v>
      </c>
      <c r="G17" s="376" t="s">
        <v>26</v>
      </c>
      <c r="H17" s="370" t="s">
        <v>7</v>
      </c>
      <c r="I17" s="371" t="s">
        <v>8</v>
      </c>
      <c r="J17" s="78" t="s">
        <v>9</v>
      </c>
      <c r="K17" s="210" t="s">
        <v>10</v>
      </c>
      <c r="L17" s="75" t="s">
        <v>11</v>
      </c>
      <c r="M17" s="76" t="s">
        <v>12</v>
      </c>
    </row>
    <row r="18" spans="1:18" ht="15.6" customHeight="1" thickBot="1" x14ac:dyDescent="0.35">
      <c r="A18" s="399">
        <v>44256</v>
      </c>
      <c r="B18" s="435">
        <v>1500</v>
      </c>
      <c r="C18" s="405">
        <v>1</v>
      </c>
      <c r="D18" s="550">
        <v>30</v>
      </c>
      <c r="E18" s="546">
        <f>SUM(B18:B29)</f>
        <v>18000</v>
      </c>
      <c r="F18" s="86">
        <f>F4</f>
        <v>44479</v>
      </c>
      <c r="G18" s="544">
        <f>E18/C29</f>
        <v>1500</v>
      </c>
      <c r="H18" s="521">
        <f>G25/30</f>
        <v>50</v>
      </c>
      <c r="I18" s="544">
        <f>(H18/(H22*H27))</f>
        <v>12.646511915196825</v>
      </c>
      <c r="J18" s="523"/>
      <c r="K18" s="531">
        <f>I18</f>
        <v>12.646511915196825</v>
      </c>
      <c r="L18" s="77">
        <f>(G18*L20)</f>
        <v>82500</v>
      </c>
      <c r="M18" s="402">
        <f>VALORES!J7</f>
        <v>55366.810703350457</v>
      </c>
    </row>
    <row r="19" spans="1:18" ht="19.2" thickTop="1" thickBot="1" x14ac:dyDescent="0.35">
      <c r="A19" s="399">
        <v>44287</v>
      </c>
      <c r="B19" s="435">
        <v>1500</v>
      </c>
      <c r="C19" s="405">
        <v>2</v>
      </c>
      <c r="D19" s="551"/>
      <c r="E19" s="547"/>
      <c r="F19" s="553">
        <f>F5</f>
        <v>1.1499999999999999</v>
      </c>
      <c r="G19" s="532"/>
      <c r="H19" s="522"/>
      <c r="I19" s="545"/>
      <c r="J19" s="524"/>
      <c r="K19" s="541"/>
      <c r="L19" s="403" t="s">
        <v>13</v>
      </c>
    </row>
    <row r="20" spans="1:18" ht="14.4" customHeight="1" thickTop="1" thickBot="1" x14ac:dyDescent="0.35">
      <c r="A20" s="399">
        <v>44317</v>
      </c>
      <c r="B20" s="435">
        <v>1500</v>
      </c>
      <c r="C20" s="405">
        <v>3</v>
      </c>
      <c r="D20" s="552"/>
      <c r="E20" s="547"/>
      <c r="F20" s="554"/>
      <c r="G20" s="532"/>
      <c r="H20" s="543"/>
      <c r="I20" s="545"/>
      <c r="J20" s="561"/>
      <c r="K20" s="541"/>
      <c r="L20" s="87">
        <v>55</v>
      </c>
    </row>
    <row r="21" spans="1:18" ht="15" thickTop="1" x14ac:dyDescent="0.3">
      <c r="A21" s="399">
        <v>44348</v>
      </c>
      <c r="B21" s="435">
        <v>1500</v>
      </c>
      <c r="C21" s="405">
        <v>4</v>
      </c>
      <c r="D21" s="91" t="s">
        <v>14</v>
      </c>
      <c r="E21" s="547"/>
      <c r="F21" s="80" t="s">
        <v>15</v>
      </c>
      <c r="G21" s="532"/>
      <c r="H21" s="372" t="s">
        <v>16</v>
      </c>
      <c r="I21" s="545"/>
      <c r="J21" s="378" t="s">
        <v>17</v>
      </c>
      <c r="K21" s="541"/>
      <c r="L21" s="210" t="s">
        <v>10</v>
      </c>
    </row>
    <row r="22" spans="1:18" x14ac:dyDescent="0.3">
      <c r="A22" s="399">
        <v>44378</v>
      </c>
      <c r="B22" s="435">
        <v>1500</v>
      </c>
      <c r="C22" s="405">
        <v>5</v>
      </c>
      <c r="D22" s="550">
        <v>50</v>
      </c>
      <c r="E22" s="547"/>
      <c r="F22" s="555">
        <f>E18*F19</f>
        <v>20700</v>
      </c>
      <c r="G22" s="532"/>
      <c r="H22" s="521">
        <f>H8</f>
        <v>4.9466666666666663</v>
      </c>
      <c r="I22" s="545"/>
      <c r="J22" s="525">
        <f>INDEX('DIMENCINAMENTO DE PLACA'!H28:H33,'DIMENCINAMENTO DE PLACA'!F18)</f>
        <v>72.148214630778355</v>
      </c>
      <c r="K22" s="206" t="s">
        <v>18</v>
      </c>
      <c r="L22" s="406"/>
    </row>
    <row r="23" spans="1:18" x14ac:dyDescent="0.3">
      <c r="A23" s="399">
        <v>44409</v>
      </c>
      <c r="B23" s="435">
        <v>1500</v>
      </c>
      <c r="C23" s="405">
        <v>6</v>
      </c>
      <c r="D23" s="551"/>
      <c r="E23" s="547"/>
      <c r="F23" s="555"/>
      <c r="G23" s="532"/>
      <c r="H23" s="522"/>
      <c r="I23" s="545"/>
      <c r="J23" s="525"/>
      <c r="K23" s="562">
        <f>(I18-((I18*20)/100))</f>
        <v>10.11720953215746</v>
      </c>
    </row>
    <row r="24" spans="1:18" x14ac:dyDescent="0.3">
      <c r="A24" s="399">
        <v>44440</v>
      </c>
      <c r="B24" s="435">
        <v>1500</v>
      </c>
      <c r="C24" s="405">
        <v>7</v>
      </c>
      <c r="D24" s="551"/>
      <c r="E24" s="547"/>
      <c r="F24" s="555"/>
      <c r="G24" s="373" t="s">
        <v>19</v>
      </c>
      <c r="H24" s="522"/>
      <c r="I24" s="545"/>
      <c r="J24" s="525"/>
      <c r="K24" s="562"/>
      <c r="L24" s="406"/>
    </row>
    <row r="25" spans="1:18" x14ac:dyDescent="0.3">
      <c r="A25" s="399">
        <v>44470</v>
      </c>
      <c r="B25" s="435">
        <v>1500</v>
      </c>
      <c r="C25" s="405">
        <v>8</v>
      </c>
      <c r="D25" s="552"/>
      <c r="E25" s="547"/>
      <c r="F25" s="555"/>
      <c r="G25" s="532">
        <f>G18</f>
        <v>1500</v>
      </c>
      <c r="H25" s="543"/>
      <c r="I25" s="545"/>
      <c r="J25" s="525"/>
      <c r="K25" s="562"/>
      <c r="L25" s="406"/>
    </row>
    <row r="26" spans="1:18" ht="15" customHeight="1" x14ac:dyDescent="0.3">
      <c r="A26" s="399">
        <v>44501</v>
      </c>
      <c r="B26" s="435">
        <v>1500</v>
      </c>
      <c r="C26" s="405">
        <v>9</v>
      </c>
      <c r="D26" s="92" t="s">
        <v>20</v>
      </c>
      <c r="E26" s="547"/>
      <c r="F26" s="81" t="s">
        <v>21</v>
      </c>
      <c r="G26" s="532"/>
      <c r="H26" s="375" t="s">
        <v>22</v>
      </c>
      <c r="I26" s="545"/>
      <c r="J26" s="525"/>
      <c r="K26" s="206" t="s">
        <v>23</v>
      </c>
      <c r="L26" s="406"/>
    </row>
    <row r="27" spans="1:18" x14ac:dyDescent="0.3">
      <c r="A27" s="399">
        <v>44531</v>
      </c>
      <c r="B27" s="435">
        <v>1500</v>
      </c>
      <c r="C27" s="405">
        <v>10</v>
      </c>
      <c r="D27" s="550">
        <v>100</v>
      </c>
      <c r="E27" s="548"/>
      <c r="F27" s="519">
        <f>F19*G18</f>
        <v>1724.9999999999998</v>
      </c>
      <c r="G27" s="549"/>
      <c r="H27" s="521">
        <f>'P.D.E'!G3</f>
        <v>0.79925727974399996</v>
      </c>
      <c r="I27" s="545"/>
      <c r="J27" s="525"/>
      <c r="K27" s="562">
        <f>(I18+((I18*20)/100))</f>
        <v>15.17581429823619</v>
      </c>
      <c r="L27" s="406"/>
    </row>
    <row r="28" spans="1:18" x14ac:dyDescent="0.3">
      <c r="A28" s="399">
        <v>44562</v>
      </c>
      <c r="B28" s="435">
        <v>1500</v>
      </c>
      <c r="C28" s="405">
        <v>11</v>
      </c>
      <c r="D28" s="551"/>
      <c r="E28" s="548"/>
      <c r="F28" s="519"/>
      <c r="G28" s="549"/>
      <c r="H28" s="522"/>
      <c r="I28" s="545"/>
      <c r="J28" s="525"/>
      <c r="K28" s="562"/>
      <c r="L28" s="406"/>
    </row>
    <row r="29" spans="1:18" x14ac:dyDescent="0.3">
      <c r="A29" s="399">
        <v>44593</v>
      </c>
      <c r="B29" s="435">
        <v>1500</v>
      </c>
      <c r="C29" s="405">
        <v>12</v>
      </c>
      <c r="D29" s="551"/>
      <c r="E29" s="548"/>
      <c r="F29" s="519"/>
      <c r="G29" s="549"/>
      <c r="H29" s="522"/>
      <c r="I29" s="545"/>
      <c r="J29" s="525"/>
      <c r="K29" s="562"/>
      <c r="L29" s="406"/>
    </row>
    <row r="30" spans="1:18" ht="18" customHeight="1" thickBot="1" x14ac:dyDescent="0.35">
      <c r="A30" s="539" t="s">
        <v>381</v>
      </c>
      <c r="B30" s="539"/>
      <c r="C30" s="540"/>
      <c r="D30" s="539"/>
      <c r="E30" s="539"/>
      <c r="F30" s="540"/>
      <c r="G30" s="539"/>
      <c r="H30" s="539"/>
      <c r="I30" s="539"/>
      <c r="J30" s="540"/>
      <c r="K30" s="539"/>
      <c r="L30" s="294"/>
      <c r="M30" s="294"/>
      <c r="N30" s="294"/>
      <c r="O30" s="294"/>
      <c r="P30" s="294"/>
      <c r="Q30" s="294"/>
      <c r="R30" s="294"/>
    </row>
    <row r="31" spans="1:18" ht="15.6" x14ac:dyDescent="0.3">
      <c r="A31" s="376" t="s">
        <v>0</v>
      </c>
      <c r="B31" s="88" t="s">
        <v>1</v>
      </c>
      <c r="C31" s="88" t="s">
        <v>2</v>
      </c>
      <c r="D31" s="89" t="s">
        <v>3</v>
      </c>
      <c r="E31" s="377" t="s">
        <v>25</v>
      </c>
      <c r="F31" s="85" t="s">
        <v>5</v>
      </c>
      <c r="G31" s="376" t="s">
        <v>28</v>
      </c>
      <c r="H31" s="370" t="s">
        <v>7</v>
      </c>
      <c r="I31" s="371" t="s">
        <v>8</v>
      </c>
      <c r="J31" s="78" t="s">
        <v>9</v>
      </c>
      <c r="K31" s="210" t="s">
        <v>10</v>
      </c>
      <c r="L31" s="75" t="s">
        <v>11</v>
      </c>
      <c r="M31" s="76" t="s">
        <v>12</v>
      </c>
      <c r="N31" s="294"/>
      <c r="O31" s="294"/>
      <c r="P31" s="294"/>
      <c r="Q31" s="294"/>
      <c r="R31" s="294"/>
    </row>
    <row r="32" spans="1:18" ht="16.2" thickBot="1" x14ac:dyDescent="0.35">
      <c r="A32" s="399">
        <v>44105</v>
      </c>
      <c r="B32" s="400">
        <v>0</v>
      </c>
      <c r="C32" s="405">
        <v>1</v>
      </c>
      <c r="D32" s="521">
        <v>30</v>
      </c>
      <c r="E32" s="546">
        <f>SUM(B32:B43)</f>
        <v>0</v>
      </c>
      <c r="F32" s="86">
        <f>F18</f>
        <v>44479</v>
      </c>
      <c r="G32" s="544">
        <f>E32/C43</f>
        <v>0</v>
      </c>
      <c r="H32" s="521">
        <f>G39/30</f>
        <v>0</v>
      </c>
      <c r="I32" s="544">
        <f>(H32/(H36*H41))</f>
        <v>0</v>
      </c>
      <c r="J32" s="523"/>
      <c r="K32" s="531">
        <f>I32</f>
        <v>0</v>
      </c>
      <c r="L32" s="77">
        <f>(G32*L34)</f>
        <v>0</v>
      </c>
      <c r="M32" s="402">
        <f>VALORES!I11</f>
        <v>45519.064715439839</v>
      </c>
      <c r="N32" s="294"/>
      <c r="O32" s="294"/>
      <c r="P32" s="294"/>
      <c r="Q32" s="294"/>
      <c r="R32" s="294"/>
    </row>
    <row r="33" spans="1:18" ht="19.2" thickTop="1" thickBot="1" x14ac:dyDescent="0.35">
      <c r="A33" s="399">
        <v>44136</v>
      </c>
      <c r="B33" s="400">
        <v>0</v>
      </c>
      <c r="C33" s="405">
        <v>2</v>
      </c>
      <c r="D33" s="522"/>
      <c r="E33" s="547"/>
      <c r="F33" s="553">
        <f>F19</f>
        <v>1.1499999999999999</v>
      </c>
      <c r="G33" s="532"/>
      <c r="H33" s="522"/>
      <c r="I33" s="532"/>
      <c r="J33" s="524"/>
      <c r="K33" s="541"/>
      <c r="L33" s="403" t="s">
        <v>13</v>
      </c>
      <c r="M33" s="294"/>
      <c r="N33" s="294"/>
      <c r="O33" s="294"/>
      <c r="P33" s="294"/>
      <c r="Q33" s="294"/>
      <c r="R33" s="294"/>
    </row>
    <row r="34" spans="1:18" ht="14.4" customHeight="1" thickTop="1" thickBot="1" x14ac:dyDescent="0.35">
      <c r="A34" s="399">
        <v>44166</v>
      </c>
      <c r="B34" s="400">
        <v>0</v>
      </c>
      <c r="C34" s="405">
        <v>3</v>
      </c>
      <c r="D34" s="543"/>
      <c r="E34" s="547"/>
      <c r="F34" s="554"/>
      <c r="G34" s="532"/>
      <c r="H34" s="543"/>
      <c r="I34" s="532"/>
      <c r="J34" s="561"/>
      <c r="K34" s="541"/>
      <c r="L34" s="87">
        <v>55</v>
      </c>
      <c r="M34" s="294"/>
      <c r="N34" s="294"/>
      <c r="O34" s="294"/>
      <c r="P34" s="294"/>
      <c r="Q34" s="294"/>
      <c r="R34" s="294"/>
    </row>
    <row r="35" spans="1:18" ht="14.4" customHeight="1" thickTop="1" x14ac:dyDescent="0.3">
      <c r="A35" s="399">
        <v>44197</v>
      </c>
      <c r="B35" s="400">
        <v>0</v>
      </c>
      <c r="C35" s="405">
        <v>4</v>
      </c>
      <c r="D35" s="379" t="s">
        <v>14</v>
      </c>
      <c r="E35" s="547"/>
      <c r="F35" s="80" t="s">
        <v>15</v>
      </c>
      <c r="G35" s="532"/>
      <c r="H35" s="372" t="s">
        <v>16</v>
      </c>
      <c r="I35" s="532"/>
      <c r="J35" s="380" t="s">
        <v>17</v>
      </c>
      <c r="K35" s="541"/>
      <c r="L35" s="294"/>
      <c r="M35" s="294"/>
      <c r="N35" s="294"/>
      <c r="O35" s="294"/>
      <c r="P35" s="294"/>
      <c r="Q35" s="294"/>
      <c r="R35" s="294"/>
    </row>
    <row r="36" spans="1:18" ht="14.4" customHeight="1" x14ac:dyDescent="0.3">
      <c r="A36" s="399">
        <v>44228</v>
      </c>
      <c r="B36" s="400">
        <v>0</v>
      </c>
      <c r="C36" s="405">
        <v>5</v>
      </c>
      <c r="D36" s="521">
        <v>50</v>
      </c>
      <c r="E36" s="547"/>
      <c r="F36" s="555">
        <f>E32*F33</f>
        <v>0</v>
      </c>
      <c r="G36" s="532"/>
      <c r="H36" s="521">
        <f>H22</f>
        <v>4.9466666666666663</v>
      </c>
      <c r="I36" s="532"/>
      <c r="J36" s="525">
        <f>INDEX('DIMENCINAMENTO DE PLACA'!H45:H50,'DIMENCINAMENTO DE PLACA'!F35)</f>
        <v>66.451127158021862</v>
      </c>
      <c r="K36" s="206" t="s">
        <v>18</v>
      </c>
      <c r="L36" s="294"/>
      <c r="M36" s="294"/>
      <c r="N36" s="294"/>
      <c r="O36" s="294"/>
      <c r="P36" s="294"/>
      <c r="Q36" s="294"/>
      <c r="R36" s="294"/>
    </row>
    <row r="37" spans="1:18" ht="14.4" customHeight="1" x14ac:dyDescent="0.3">
      <c r="A37" s="399">
        <v>44256</v>
      </c>
      <c r="B37" s="400">
        <v>0</v>
      </c>
      <c r="C37" s="405">
        <v>6</v>
      </c>
      <c r="D37" s="522"/>
      <c r="E37" s="547"/>
      <c r="F37" s="555"/>
      <c r="G37" s="532"/>
      <c r="H37" s="522"/>
      <c r="I37" s="532"/>
      <c r="J37" s="525"/>
      <c r="K37" s="531">
        <f>(I32-((I32*20)/100))</f>
        <v>0</v>
      </c>
      <c r="L37" s="294"/>
      <c r="M37" s="294"/>
      <c r="N37" s="294"/>
      <c r="O37" s="294"/>
      <c r="P37" s="294"/>
      <c r="Q37" s="294"/>
      <c r="R37" s="294"/>
    </row>
    <row r="38" spans="1:18" ht="14.4" customHeight="1" x14ac:dyDescent="0.3">
      <c r="A38" s="399">
        <v>44287</v>
      </c>
      <c r="B38" s="400">
        <v>0</v>
      </c>
      <c r="C38" s="405">
        <v>7</v>
      </c>
      <c r="D38" s="522"/>
      <c r="E38" s="547"/>
      <c r="F38" s="555"/>
      <c r="G38" s="373" t="s">
        <v>29</v>
      </c>
      <c r="H38" s="522"/>
      <c r="I38" s="532"/>
      <c r="J38" s="525"/>
      <c r="K38" s="531"/>
      <c r="L38" s="294"/>
      <c r="M38" s="294"/>
      <c r="N38" s="294"/>
      <c r="O38" s="294"/>
      <c r="P38" s="294"/>
      <c r="Q38" s="294"/>
      <c r="R38" s="294"/>
    </row>
    <row r="39" spans="1:18" ht="14.4" customHeight="1" x14ac:dyDescent="0.3">
      <c r="A39" s="399">
        <v>44317</v>
      </c>
      <c r="B39" s="400">
        <v>0</v>
      </c>
      <c r="C39" s="405">
        <v>8</v>
      </c>
      <c r="D39" s="543"/>
      <c r="E39" s="547"/>
      <c r="F39" s="555"/>
      <c r="G39" s="532">
        <f>G32</f>
        <v>0</v>
      </c>
      <c r="H39" s="543"/>
      <c r="I39" s="532"/>
      <c r="J39" s="525"/>
      <c r="K39" s="531"/>
      <c r="L39" s="294"/>
      <c r="M39" s="294"/>
      <c r="N39" s="294"/>
      <c r="O39" s="294"/>
      <c r="P39" s="294"/>
      <c r="Q39" s="294"/>
      <c r="R39" s="294"/>
    </row>
    <row r="40" spans="1:18" ht="14.4" customHeight="1" x14ac:dyDescent="0.3">
      <c r="A40" s="399">
        <v>44348</v>
      </c>
      <c r="B40" s="400">
        <v>0</v>
      </c>
      <c r="C40" s="405">
        <v>9</v>
      </c>
      <c r="D40" s="381" t="s">
        <v>20</v>
      </c>
      <c r="E40" s="547"/>
      <c r="F40" s="81" t="s">
        <v>21</v>
      </c>
      <c r="G40" s="532"/>
      <c r="H40" s="375" t="s">
        <v>22</v>
      </c>
      <c r="I40" s="532"/>
      <c r="J40" s="525"/>
      <c r="K40" s="206" t="s">
        <v>23</v>
      </c>
      <c r="L40" s="294"/>
      <c r="M40" s="294"/>
      <c r="N40" s="294"/>
      <c r="O40" s="294"/>
      <c r="P40" s="294"/>
      <c r="Q40" s="294"/>
      <c r="R40" s="294"/>
    </row>
    <row r="41" spans="1:18" ht="14.4" customHeight="1" x14ac:dyDescent="0.3">
      <c r="A41" s="399">
        <v>44378</v>
      </c>
      <c r="B41" s="400">
        <v>0</v>
      </c>
      <c r="C41" s="405">
        <v>10</v>
      </c>
      <c r="D41" s="521">
        <v>100</v>
      </c>
      <c r="E41" s="547"/>
      <c r="F41" s="519">
        <f>F33*G32</f>
        <v>0</v>
      </c>
      <c r="G41" s="532"/>
      <c r="H41" s="521">
        <f>'P.D.E'!G12</f>
        <v>0.79925727974399996</v>
      </c>
      <c r="I41" s="532"/>
      <c r="J41" s="525"/>
      <c r="K41" s="531">
        <f>(I32+((I32*20)/100))</f>
        <v>0</v>
      </c>
      <c r="L41" s="294"/>
      <c r="M41" s="294"/>
      <c r="N41" s="294"/>
      <c r="O41" s="294"/>
      <c r="P41" s="294"/>
      <c r="Q41" s="294"/>
      <c r="R41" s="294"/>
    </row>
    <row r="42" spans="1:18" ht="14.4" customHeight="1" x14ac:dyDescent="0.3">
      <c r="A42" s="399">
        <v>44409</v>
      </c>
      <c r="B42" s="400">
        <v>0</v>
      </c>
      <c r="C42" s="405">
        <v>11</v>
      </c>
      <c r="D42" s="522"/>
      <c r="E42" s="547"/>
      <c r="F42" s="519"/>
      <c r="G42" s="532"/>
      <c r="H42" s="522"/>
      <c r="I42" s="532"/>
      <c r="J42" s="525"/>
      <c r="K42" s="531"/>
      <c r="L42" s="294"/>
      <c r="M42" s="294"/>
      <c r="N42" s="294"/>
      <c r="O42" s="294"/>
      <c r="P42" s="294"/>
      <c r="Q42" s="294"/>
      <c r="R42" s="294"/>
    </row>
    <row r="43" spans="1:18" ht="14.4" customHeight="1" x14ac:dyDescent="0.3">
      <c r="A43" s="399">
        <v>44440</v>
      </c>
      <c r="B43" s="400">
        <v>0</v>
      </c>
      <c r="C43" s="405">
        <v>12</v>
      </c>
      <c r="D43" s="522"/>
      <c r="E43" s="547"/>
      <c r="F43" s="519"/>
      <c r="G43" s="532"/>
      <c r="H43" s="522"/>
      <c r="I43" s="532"/>
      <c r="J43" s="525"/>
      <c r="K43" s="531"/>
      <c r="L43" s="294"/>
      <c r="M43" s="294"/>
      <c r="N43" s="294"/>
      <c r="O43" s="294"/>
      <c r="P43" s="294"/>
      <c r="Q43" s="294"/>
      <c r="R43" s="294"/>
    </row>
    <row r="44" spans="1:18" ht="18" customHeight="1" x14ac:dyDescent="0.3">
      <c r="A44" s="527" t="s">
        <v>27</v>
      </c>
      <c r="B44" s="527"/>
      <c r="C44" s="527"/>
      <c r="D44" s="527"/>
      <c r="E44" s="527"/>
      <c r="F44" s="527"/>
      <c r="G44" s="527"/>
      <c r="H44" s="527"/>
      <c r="I44" s="527"/>
      <c r="J44" s="527"/>
      <c r="K44" s="527"/>
      <c r="L44" s="294"/>
      <c r="M44" s="294"/>
      <c r="N44" s="294"/>
      <c r="O44" s="294"/>
      <c r="P44" s="294"/>
      <c r="Q44" s="294"/>
      <c r="R44" s="294"/>
    </row>
    <row r="45" spans="1:18" ht="15.6" x14ac:dyDescent="0.3">
      <c r="A45" s="151" t="s">
        <v>0</v>
      </c>
      <c r="B45" s="151" t="s">
        <v>1</v>
      </c>
      <c r="C45" s="151" t="s">
        <v>2</v>
      </c>
      <c r="D45" s="382" t="s">
        <v>3</v>
      </c>
      <c r="E45" s="383" t="s">
        <v>25</v>
      </c>
      <c r="F45" s="94" t="s">
        <v>5</v>
      </c>
      <c r="G45" s="151" t="s">
        <v>26</v>
      </c>
      <c r="H45" s="384" t="s">
        <v>7</v>
      </c>
      <c r="I45" s="385" t="s">
        <v>8</v>
      </c>
      <c r="J45" s="96" t="s">
        <v>9</v>
      </c>
      <c r="K45" s="210" t="s">
        <v>10</v>
      </c>
      <c r="L45" s="100" t="s">
        <v>11</v>
      </c>
      <c r="M45" s="76" t="s">
        <v>12</v>
      </c>
    </row>
    <row r="46" spans="1:18" ht="13.95" customHeight="1" thickBot="1" x14ac:dyDescent="0.35">
      <c r="A46" s="407">
        <v>44197</v>
      </c>
      <c r="B46" s="400">
        <v>0</v>
      </c>
      <c r="C46" s="405">
        <v>1</v>
      </c>
      <c r="D46" s="520">
        <v>30</v>
      </c>
      <c r="E46" s="530">
        <f>SUM(B46:B57)</f>
        <v>0</v>
      </c>
      <c r="F46" s="97">
        <f>F32</f>
        <v>44479</v>
      </c>
      <c r="G46" s="526">
        <f>E46/C57</f>
        <v>0</v>
      </c>
      <c r="H46" s="535">
        <f>G53/30</f>
        <v>0</v>
      </c>
      <c r="I46" s="526">
        <f>(H46/(H50*H55))</f>
        <v>0</v>
      </c>
      <c r="J46" s="537"/>
      <c r="K46" s="526">
        <f>I46</f>
        <v>0</v>
      </c>
      <c r="L46" s="101">
        <f>(G46*L48)</f>
        <v>0</v>
      </c>
      <c r="M46" s="402">
        <f>VALORES!I16</f>
        <v>41673.041153364589</v>
      </c>
    </row>
    <row r="47" spans="1:18" ht="19.2" thickTop="1" thickBot="1" x14ac:dyDescent="0.35">
      <c r="A47" s="407">
        <v>44228</v>
      </c>
      <c r="B47" s="400">
        <v>0</v>
      </c>
      <c r="C47" s="405">
        <v>2</v>
      </c>
      <c r="D47" s="520"/>
      <c r="E47" s="530"/>
      <c r="F47" s="533">
        <f>F33</f>
        <v>1.1499999999999999</v>
      </c>
      <c r="G47" s="526"/>
      <c r="H47" s="535"/>
      <c r="I47" s="526"/>
      <c r="J47" s="537"/>
      <c r="K47" s="528"/>
      <c r="L47" s="408" t="s">
        <v>13</v>
      </c>
    </row>
    <row r="48" spans="1:18" ht="14.4" customHeight="1" thickTop="1" thickBot="1" x14ac:dyDescent="0.35">
      <c r="A48" s="407">
        <v>44256</v>
      </c>
      <c r="B48" s="400">
        <v>0</v>
      </c>
      <c r="C48" s="405">
        <v>3</v>
      </c>
      <c r="D48" s="520"/>
      <c r="E48" s="530"/>
      <c r="F48" s="533"/>
      <c r="G48" s="526"/>
      <c r="H48" s="535"/>
      <c r="I48" s="526"/>
      <c r="J48" s="537"/>
      <c r="K48" s="528"/>
      <c r="L48" s="102">
        <v>55</v>
      </c>
    </row>
    <row r="49" spans="1:13" ht="14.4" customHeight="1" thickTop="1" x14ac:dyDescent="0.3">
      <c r="A49" s="407">
        <v>44287</v>
      </c>
      <c r="B49" s="400">
        <v>0</v>
      </c>
      <c r="C49" s="405">
        <v>4</v>
      </c>
      <c r="D49" s="386" t="s">
        <v>14</v>
      </c>
      <c r="E49" s="530"/>
      <c r="F49" s="80" t="s">
        <v>15</v>
      </c>
      <c r="G49" s="526"/>
      <c r="H49" s="387" t="s">
        <v>16</v>
      </c>
      <c r="I49" s="526"/>
      <c r="J49" s="388" t="s">
        <v>17</v>
      </c>
      <c r="K49" s="528"/>
      <c r="L49" s="294"/>
    </row>
    <row r="50" spans="1:13" ht="14.4" customHeight="1" x14ac:dyDescent="0.3">
      <c r="A50" s="407">
        <v>44317</v>
      </c>
      <c r="B50" s="400">
        <v>0</v>
      </c>
      <c r="C50" s="405">
        <v>5</v>
      </c>
      <c r="D50" s="520">
        <v>50</v>
      </c>
      <c r="E50" s="530"/>
      <c r="F50" s="519">
        <f>E46*F47</f>
        <v>0</v>
      </c>
      <c r="G50" s="526"/>
      <c r="H50" s="535">
        <f>H36</f>
        <v>4.9466666666666663</v>
      </c>
      <c r="I50" s="526"/>
      <c r="J50" s="525">
        <f>INDEX('DIMENCINAMENTO DE PLACA'!H62:H67,'DIMENCINAMENTO DE PLACA'!F52)</f>
        <v>72.148214630778355</v>
      </c>
      <c r="K50" s="206" t="s">
        <v>18</v>
      </c>
      <c r="L50" s="294"/>
    </row>
    <row r="51" spans="1:13" ht="14.4" customHeight="1" x14ac:dyDescent="0.3">
      <c r="A51" s="407">
        <v>44348</v>
      </c>
      <c r="B51" s="400">
        <v>0</v>
      </c>
      <c r="C51" s="405">
        <v>6</v>
      </c>
      <c r="D51" s="520"/>
      <c r="E51" s="530"/>
      <c r="F51" s="519"/>
      <c r="G51" s="526"/>
      <c r="H51" s="535"/>
      <c r="I51" s="526"/>
      <c r="J51" s="525"/>
      <c r="K51" s="526">
        <f>(I46-((I46*20)/100))</f>
        <v>0</v>
      </c>
      <c r="L51" s="294"/>
    </row>
    <row r="52" spans="1:13" ht="14.4" customHeight="1" x14ac:dyDescent="0.3">
      <c r="A52" s="407">
        <v>44378</v>
      </c>
      <c r="B52" s="400">
        <v>0</v>
      </c>
      <c r="C52" s="405">
        <v>7</v>
      </c>
      <c r="D52" s="520"/>
      <c r="E52" s="530"/>
      <c r="F52" s="519"/>
      <c r="G52" s="389" t="s">
        <v>19</v>
      </c>
      <c r="H52" s="535"/>
      <c r="I52" s="526"/>
      <c r="J52" s="525"/>
      <c r="K52" s="526"/>
      <c r="L52" s="294"/>
    </row>
    <row r="53" spans="1:13" ht="14.4" customHeight="1" x14ac:dyDescent="0.3">
      <c r="A53" s="407">
        <v>44409</v>
      </c>
      <c r="B53" s="400">
        <v>0</v>
      </c>
      <c r="C53" s="405">
        <v>8</v>
      </c>
      <c r="D53" s="520"/>
      <c r="E53" s="530"/>
      <c r="F53" s="534"/>
      <c r="G53" s="526">
        <f>G46</f>
        <v>0</v>
      </c>
      <c r="H53" s="536"/>
      <c r="I53" s="526"/>
      <c r="J53" s="525"/>
      <c r="K53" s="526"/>
      <c r="L53" s="294"/>
    </row>
    <row r="54" spans="1:13" ht="14.4" customHeight="1" x14ac:dyDescent="0.3">
      <c r="A54" s="407">
        <v>44440</v>
      </c>
      <c r="B54" s="400">
        <v>0</v>
      </c>
      <c r="C54" s="405">
        <v>9</v>
      </c>
      <c r="D54" s="390" t="s">
        <v>20</v>
      </c>
      <c r="E54" s="530"/>
      <c r="F54" s="133" t="s">
        <v>21</v>
      </c>
      <c r="G54" s="526"/>
      <c r="H54" s="391" t="s">
        <v>22</v>
      </c>
      <c r="I54" s="526"/>
      <c r="J54" s="525"/>
      <c r="K54" s="206" t="s">
        <v>23</v>
      </c>
      <c r="L54" s="294"/>
    </row>
    <row r="55" spans="1:13" ht="14.4" customHeight="1" x14ac:dyDescent="0.3">
      <c r="A55" s="407">
        <v>44470</v>
      </c>
      <c r="B55" s="400">
        <v>0</v>
      </c>
      <c r="C55" s="405">
        <v>10</v>
      </c>
      <c r="D55" s="520">
        <v>100</v>
      </c>
      <c r="E55" s="530"/>
      <c r="F55" s="534">
        <f>F47*G46</f>
        <v>0</v>
      </c>
      <c r="G55" s="526"/>
      <c r="H55" s="536">
        <f>'P.D.E'!G21</f>
        <v>0.79925727974399996</v>
      </c>
      <c r="I55" s="526"/>
      <c r="J55" s="525"/>
      <c r="K55" s="526">
        <f>(I46+((I46*20)/100))</f>
        <v>0</v>
      </c>
      <c r="L55" s="294"/>
    </row>
    <row r="56" spans="1:13" ht="14.4" customHeight="1" x14ac:dyDescent="0.3">
      <c r="A56" s="407">
        <v>44501</v>
      </c>
      <c r="B56" s="400">
        <v>0</v>
      </c>
      <c r="C56" s="405">
        <v>11</v>
      </c>
      <c r="D56" s="520"/>
      <c r="E56" s="530"/>
      <c r="F56" s="534"/>
      <c r="G56" s="526"/>
      <c r="H56" s="536"/>
      <c r="I56" s="526"/>
      <c r="J56" s="525"/>
      <c r="K56" s="526"/>
      <c r="L56" s="294"/>
    </row>
    <row r="57" spans="1:13" x14ac:dyDescent="0.3">
      <c r="A57" s="407">
        <v>44531</v>
      </c>
      <c r="B57" s="400">
        <v>0</v>
      </c>
      <c r="C57" s="405">
        <v>12</v>
      </c>
      <c r="D57" s="520"/>
      <c r="E57" s="530"/>
      <c r="F57" s="534"/>
      <c r="G57" s="526"/>
      <c r="H57" s="536"/>
      <c r="I57" s="526"/>
      <c r="J57" s="525"/>
      <c r="K57" s="526"/>
      <c r="L57" s="294"/>
    </row>
    <row r="58" spans="1:13" ht="18" x14ac:dyDescent="0.3">
      <c r="A58" s="527" t="s">
        <v>382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</row>
    <row r="59" spans="1:13" ht="15.6" x14ac:dyDescent="0.3">
      <c r="A59" s="151" t="s">
        <v>0</v>
      </c>
      <c r="B59" s="151" t="s">
        <v>1</v>
      </c>
      <c r="C59" s="151" t="s">
        <v>2</v>
      </c>
      <c r="D59" s="382" t="s">
        <v>3</v>
      </c>
      <c r="E59" s="151" t="s">
        <v>25</v>
      </c>
      <c r="F59" s="94" t="s">
        <v>5</v>
      </c>
      <c r="G59" s="151" t="s">
        <v>26</v>
      </c>
      <c r="H59" s="384" t="s">
        <v>7</v>
      </c>
      <c r="I59" s="390" t="s">
        <v>8</v>
      </c>
      <c r="J59" s="96" t="s">
        <v>9</v>
      </c>
      <c r="K59" s="210" t="s">
        <v>10</v>
      </c>
      <c r="L59" s="100" t="s">
        <v>11</v>
      </c>
      <c r="M59" s="76" t="s">
        <v>12</v>
      </c>
    </row>
    <row r="60" spans="1:13" ht="24" customHeight="1" thickBot="1" x14ac:dyDescent="0.35">
      <c r="A60" s="407">
        <v>44044</v>
      </c>
      <c r="B60" s="409">
        <v>0</v>
      </c>
      <c r="C60" s="405">
        <v>1</v>
      </c>
      <c r="D60" s="520">
        <v>30</v>
      </c>
      <c r="E60" s="530">
        <f>SUM(B60:B71)</f>
        <v>0</v>
      </c>
      <c r="F60" s="97">
        <f>F46</f>
        <v>44479</v>
      </c>
      <c r="G60" s="526">
        <f>E60/C71</f>
        <v>0</v>
      </c>
      <c r="H60" s="520">
        <f>G67/30</f>
        <v>0</v>
      </c>
      <c r="I60" s="526">
        <f>(H60/(H64*H69))</f>
        <v>0</v>
      </c>
      <c r="J60" s="529"/>
      <c r="K60" s="526">
        <f>I60</f>
        <v>0</v>
      </c>
      <c r="L60" s="101">
        <f>(G60*L62)</f>
        <v>0</v>
      </c>
      <c r="M60" s="402">
        <f>VALORES!I20</f>
        <v>44126.091997277566</v>
      </c>
    </row>
    <row r="61" spans="1:13" ht="19.2" thickTop="1" thickBot="1" x14ac:dyDescent="0.35">
      <c r="A61" s="407">
        <v>44075</v>
      </c>
      <c r="B61" s="409">
        <v>0</v>
      </c>
      <c r="C61" s="405">
        <v>2</v>
      </c>
      <c r="D61" s="520"/>
      <c r="E61" s="530"/>
      <c r="F61" s="533">
        <f>F47</f>
        <v>1.1499999999999999</v>
      </c>
      <c r="G61" s="526"/>
      <c r="H61" s="520"/>
      <c r="I61" s="528"/>
      <c r="J61" s="529"/>
      <c r="K61" s="528"/>
      <c r="L61" s="408" t="s">
        <v>13</v>
      </c>
    </row>
    <row r="62" spans="1:13" ht="16.8" thickTop="1" thickBot="1" x14ac:dyDescent="0.35">
      <c r="A62" s="407">
        <v>44105</v>
      </c>
      <c r="B62" s="409">
        <v>0</v>
      </c>
      <c r="C62" s="405">
        <v>3</v>
      </c>
      <c r="D62" s="520"/>
      <c r="E62" s="530"/>
      <c r="F62" s="533"/>
      <c r="G62" s="526"/>
      <c r="H62" s="520"/>
      <c r="I62" s="528"/>
      <c r="J62" s="529"/>
      <c r="K62" s="528"/>
      <c r="L62" s="102">
        <v>55</v>
      </c>
    </row>
    <row r="63" spans="1:13" ht="15" thickTop="1" x14ac:dyDescent="0.3">
      <c r="A63" s="407">
        <v>44136</v>
      </c>
      <c r="B63" s="409">
        <v>0</v>
      </c>
      <c r="C63" s="405">
        <v>4</v>
      </c>
      <c r="D63" s="386" t="s">
        <v>14</v>
      </c>
      <c r="E63" s="530"/>
      <c r="F63" s="80" t="s">
        <v>15</v>
      </c>
      <c r="G63" s="526"/>
      <c r="H63" s="392" t="s">
        <v>16</v>
      </c>
      <c r="I63" s="528"/>
      <c r="J63" s="393" t="s">
        <v>17</v>
      </c>
      <c r="K63" s="528"/>
    </row>
    <row r="64" spans="1:13" ht="15.6" x14ac:dyDescent="0.3">
      <c r="A64" s="407">
        <v>44166</v>
      </c>
      <c r="B64" s="409">
        <v>0</v>
      </c>
      <c r="C64" s="405">
        <v>5</v>
      </c>
      <c r="D64" s="520">
        <v>50</v>
      </c>
      <c r="E64" s="530"/>
      <c r="F64" s="519">
        <f>E60*F61</f>
        <v>0</v>
      </c>
      <c r="G64" s="526"/>
      <c r="H64" s="520">
        <f>H50</f>
        <v>4.9466666666666663</v>
      </c>
      <c r="I64" s="528"/>
      <c r="J64" s="525">
        <f>INDEX('DIMENCINAMENTO DE PLACA'!H79:H84,'DIMENCINAMENTO DE PLACA'!F69)</f>
        <v>67.29518470326795</v>
      </c>
      <c r="K64" s="206" t="s">
        <v>18</v>
      </c>
      <c r="L64" s="73" t="s">
        <v>31</v>
      </c>
    </row>
    <row r="65" spans="1:12" ht="15.6" x14ac:dyDescent="0.3">
      <c r="A65" s="407">
        <v>44197</v>
      </c>
      <c r="B65" s="409">
        <v>0</v>
      </c>
      <c r="C65" s="405">
        <v>6</v>
      </c>
      <c r="D65" s="520"/>
      <c r="E65" s="530"/>
      <c r="F65" s="519"/>
      <c r="G65" s="526"/>
      <c r="H65" s="520"/>
      <c r="I65" s="528"/>
      <c r="J65" s="525"/>
      <c r="K65" s="526">
        <f>(I60-((I60*20)/100))</f>
        <v>0</v>
      </c>
      <c r="L65" s="74">
        <v>7000</v>
      </c>
    </row>
    <row r="66" spans="1:12" ht="15.6" x14ac:dyDescent="0.3">
      <c r="A66" s="407">
        <v>44228</v>
      </c>
      <c r="B66" s="409">
        <v>0</v>
      </c>
      <c r="C66" s="405">
        <v>7</v>
      </c>
      <c r="D66" s="520"/>
      <c r="E66" s="530"/>
      <c r="F66" s="519"/>
      <c r="G66" s="394" t="s">
        <v>19</v>
      </c>
      <c r="H66" s="520"/>
      <c r="I66" s="528"/>
      <c r="J66" s="525"/>
      <c r="K66" s="526"/>
      <c r="L66" s="73" t="s">
        <v>32</v>
      </c>
    </row>
    <row r="67" spans="1:12" ht="15.75" customHeight="1" x14ac:dyDescent="0.3">
      <c r="A67" s="407">
        <v>44256</v>
      </c>
      <c r="B67" s="409">
        <v>0</v>
      </c>
      <c r="C67" s="405">
        <v>8</v>
      </c>
      <c r="D67" s="520"/>
      <c r="E67" s="530"/>
      <c r="F67" s="519"/>
      <c r="G67" s="526">
        <f>G60</f>
        <v>0</v>
      </c>
      <c r="H67" s="520"/>
      <c r="I67" s="528"/>
      <c r="J67" s="525"/>
      <c r="K67" s="526"/>
      <c r="L67" s="79">
        <v>4191.0200000000004</v>
      </c>
    </row>
    <row r="68" spans="1:12" ht="15.75" customHeight="1" x14ac:dyDescent="0.3">
      <c r="A68" s="407">
        <v>44287</v>
      </c>
      <c r="B68" s="409">
        <v>0</v>
      </c>
      <c r="C68" s="405">
        <v>9</v>
      </c>
      <c r="D68" s="390" t="s">
        <v>20</v>
      </c>
      <c r="E68" s="530"/>
      <c r="F68" s="99" t="s">
        <v>21</v>
      </c>
      <c r="G68" s="526"/>
      <c r="H68" s="395" t="s">
        <v>22</v>
      </c>
      <c r="I68" s="528"/>
      <c r="J68" s="525"/>
      <c r="K68" s="206" t="s">
        <v>23</v>
      </c>
      <c r="L68" s="79"/>
    </row>
    <row r="69" spans="1:12" ht="15.6" x14ac:dyDescent="0.3">
      <c r="A69" s="407">
        <v>44317</v>
      </c>
      <c r="B69" s="409">
        <v>0</v>
      </c>
      <c r="C69" s="405">
        <v>10</v>
      </c>
      <c r="D69" s="520">
        <v>100</v>
      </c>
      <c r="E69" s="530"/>
      <c r="F69" s="519">
        <f>F61*G60</f>
        <v>0</v>
      </c>
      <c r="G69" s="526"/>
      <c r="H69" s="520">
        <f>'P.D.E'!G30</f>
        <v>0.79925727974399996</v>
      </c>
      <c r="I69" s="528"/>
      <c r="J69" s="525"/>
      <c r="K69" s="526">
        <f>(I60+((I60*20)/100))</f>
        <v>0</v>
      </c>
      <c r="L69" s="73" t="s">
        <v>33</v>
      </c>
    </row>
    <row r="70" spans="1:12" ht="15.6" x14ac:dyDescent="0.3">
      <c r="A70" s="407">
        <v>44348</v>
      </c>
      <c r="B70" s="409">
        <v>0</v>
      </c>
      <c r="C70" s="405">
        <v>11</v>
      </c>
      <c r="D70" s="520"/>
      <c r="E70" s="530"/>
      <c r="F70" s="519"/>
      <c r="G70" s="526"/>
      <c r="H70" s="520"/>
      <c r="I70" s="528"/>
      <c r="J70" s="525"/>
      <c r="K70" s="526"/>
      <c r="L70" s="74">
        <f>'CONTROLE DE ESTOQUE '!M5</f>
        <v>5258.4199999999992</v>
      </c>
    </row>
    <row r="71" spans="1:12" ht="15.6" x14ac:dyDescent="0.3">
      <c r="A71" s="407">
        <v>44378</v>
      </c>
      <c r="B71" s="409">
        <v>0</v>
      </c>
      <c r="C71" s="405">
        <v>12</v>
      </c>
      <c r="D71" s="520"/>
      <c r="E71" s="530"/>
      <c r="F71" s="519"/>
      <c r="G71" s="526"/>
      <c r="H71" s="520"/>
      <c r="I71" s="528"/>
      <c r="J71" s="525"/>
      <c r="K71" s="526"/>
      <c r="L71" s="73"/>
    </row>
    <row r="76" spans="1:12" x14ac:dyDescent="0.3">
      <c r="D76" s="410" cm="1">
        <f t="array" ref="D76">INDEX($B$60:$B$71,COUNTA($B60:$B$71))</f>
        <v>0</v>
      </c>
      <c r="E76" s="410">
        <v>1</v>
      </c>
    </row>
    <row r="77" spans="1:12" x14ac:dyDescent="0.3">
      <c r="D77" s="410" cm="1">
        <f t="array" ref="D77">INDEX($B$60:$B$71,COUNTA($B61:$B$71))</f>
        <v>0</v>
      </c>
      <c r="E77" s="410">
        <v>2</v>
      </c>
    </row>
    <row r="78" spans="1:12" x14ac:dyDescent="0.3">
      <c r="D78" s="410" cm="1">
        <f t="array" ref="D78">INDEX($B$60:$B$71,COUNTA($B62:$B$71))</f>
        <v>0</v>
      </c>
      <c r="E78" s="410">
        <v>3</v>
      </c>
    </row>
    <row r="79" spans="1:12" x14ac:dyDescent="0.3">
      <c r="D79" s="410" cm="1">
        <f t="array" ref="D79">INDEX($B$60:$B$71,COUNTA($B63:$B$71))</f>
        <v>0</v>
      </c>
      <c r="E79" s="410">
        <v>4</v>
      </c>
    </row>
    <row r="80" spans="1:12" x14ac:dyDescent="0.3">
      <c r="D80" s="410" cm="1">
        <f t="array" ref="D80">INDEX($B$60:$B$71,COUNTA($B64:$B$71))</f>
        <v>0</v>
      </c>
      <c r="E80" s="410">
        <v>5</v>
      </c>
    </row>
    <row r="81" spans="4:5" x14ac:dyDescent="0.3">
      <c r="D81" s="410" cm="1">
        <f t="array" ref="D81">INDEX($B$60:$B$71,COUNTA($B65:$B$71))</f>
        <v>0</v>
      </c>
      <c r="E81" s="410">
        <v>6</v>
      </c>
    </row>
    <row r="82" spans="4:5" x14ac:dyDescent="0.3">
      <c r="D82" s="410" cm="1">
        <f t="array" ref="D82">INDEX($B$60:$B$71,COUNTA($B66:$B$71))</f>
        <v>0</v>
      </c>
      <c r="E82" s="410">
        <v>7</v>
      </c>
    </row>
    <row r="83" spans="4:5" x14ac:dyDescent="0.3">
      <c r="D83" s="410" cm="1">
        <f t="array" ref="D83">INDEX($B$60:$B$71,COUNTA($B67:$B$71))</f>
        <v>0</v>
      </c>
      <c r="E83" s="410">
        <v>8</v>
      </c>
    </row>
    <row r="84" spans="4:5" x14ac:dyDescent="0.3">
      <c r="D84" s="410" cm="1">
        <f t="array" ref="D84">INDEX($B$60:$B$71,COUNTA($B68:$B$71))</f>
        <v>0</v>
      </c>
      <c r="E84" s="410">
        <v>9</v>
      </c>
    </row>
    <row r="85" spans="4:5" x14ac:dyDescent="0.3">
      <c r="D85" s="410" cm="1">
        <f t="array" ref="D85">INDEX($B$60:$B$71,COUNTA($B69:$B$71))</f>
        <v>0</v>
      </c>
      <c r="E85" s="410">
        <v>10</v>
      </c>
    </row>
    <row r="86" spans="4:5" x14ac:dyDescent="0.3">
      <c r="D86" s="410" cm="1">
        <f t="array" ref="D86">INDEX($B$60:$B$71,COUNTA($B70:$B$71))</f>
        <v>0</v>
      </c>
      <c r="E86" s="410">
        <v>11</v>
      </c>
    </row>
    <row r="87" spans="4:5" x14ac:dyDescent="0.3">
      <c r="D87" s="410" cm="1">
        <f t="array" ref="D87">INDEX($B$60:$B$71,COUNTA($B71:$B$71))</f>
        <v>0</v>
      </c>
      <c r="E87" s="410">
        <v>12</v>
      </c>
    </row>
    <row r="88" spans="4:5" x14ac:dyDescent="0.3">
      <c r="D88" s="410" cm="1">
        <f t="array" ref="D88">INDEX($B$60:$B$71,COUNTA(#REF!))</f>
        <v>0</v>
      </c>
      <c r="E88" s="410">
        <v>13</v>
      </c>
    </row>
  </sheetData>
  <mergeCells count="95">
    <mergeCell ref="K27:K29"/>
    <mergeCell ref="K9:K11"/>
    <mergeCell ref="A16:K16"/>
    <mergeCell ref="J18:J20"/>
    <mergeCell ref="K23:K25"/>
    <mergeCell ref="G18:G23"/>
    <mergeCell ref="F27:F29"/>
    <mergeCell ref="D18:D20"/>
    <mergeCell ref="F19:F20"/>
    <mergeCell ref="K13:K15"/>
    <mergeCell ref="J11:J15"/>
    <mergeCell ref="K32:K35"/>
    <mergeCell ref="G32:G37"/>
    <mergeCell ref="H32:H34"/>
    <mergeCell ref="I32:I43"/>
    <mergeCell ref="H36:H39"/>
    <mergeCell ref="J32:J34"/>
    <mergeCell ref="K55:K57"/>
    <mergeCell ref="J50:J57"/>
    <mergeCell ref="I46:I57"/>
    <mergeCell ref="G46:G51"/>
    <mergeCell ref="D4:D6"/>
    <mergeCell ref="D8:D11"/>
    <mergeCell ref="D13:D15"/>
    <mergeCell ref="F8:F11"/>
    <mergeCell ref="G4:G9"/>
    <mergeCell ref="F13:F15"/>
    <mergeCell ref="F5:F6"/>
    <mergeCell ref="G11:G15"/>
    <mergeCell ref="E4:E15"/>
    <mergeCell ref="I4:I15"/>
    <mergeCell ref="H41:H43"/>
    <mergeCell ref="J22:J29"/>
    <mergeCell ref="G53:G57"/>
    <mergeCell ref="G25:G29"/>
    <mergeCell ref="D22:D25"/>
    <mergeCell ref="D41:D43"/>
    <mergeCell ref="D27:D29"/>
    <mergeCell ref="F33:F34"/>
    <mergeCell ref="F22:F25"/>
    <mergeCell ref="F36:F39"/>
    <mergeCell ref="F41:F43"/>
    <mergeCell ref="D46:D48"/>
    <mergeCell ref="D50:D53"/>
    <mergeCell ref="F50:F53"/>
    <mergeCell ref="E46:E57"/>
    <mergeCell ref="F47:F48"/>
    <mergeCell ref="A2:K2"/>
    <mergeCell ref="A30:K30"/>
    <mergeCell ref="A44:K44"/>
    <mergeCell ref="K41:K43"/>
    <mergeCell ref="K4:K7"/>
    <mergeCell ref="H18:H20"/>
    <mergeCell ref="I18:I29"/>
    <mergeCell ref="K18:K21"/>
    <mergeCell ref="H22:H25"/>
    <mergeCell ref="H27:H29"/>
    <mergeCell ref="H4:H6"/>
    <mergeCell ref="H8:H11"/>
    <mergeCell ref="D32:D34"/>
    <mergeCell ref="E32:E43"/>
    <mergeCell ref="E18:E29"/>
    <mergeCell ref="D36:D39"/>
    <mergeCell ref="G60:G65"/>
    <mergeCell ref="D64:D67"/>
    <mergeCell ref="K37:K39"/>
    <mergeCell ref="J36:J43"/>
    <mergeCell ref="D69:D71"/>
    <mergeCell ref="F69:F71"/>
    <mergeCell ref="G39:G43"/>
    <mergeCell ref="D55:D57"/>
    <mergeCell ref="F61:F62"/>
    <mergeCell ref="F55:F57"/>
    <mergeCell ref="K46:K49"/>
    <mergeCell ref="H50:H53"/>
    <mergeCell ref="J46:J48"/>
    <mergeCell ref="H46:H48"/>
    <mergeCell ref="H55:H57"/>
    <mergeCell ref="K51:K53"/>
    <mergeCell ref="F64:F67"/>
    <mergeCell ref="H60:H62"/>
    <mergeCell ref="H13:H15"/>
    <mergeCell ref="J4:J6"/>
    <mergeCell ref="J64:J71"/>
    <mergeCell ref="H64:H67"/>
    <mergeCell ref="G67:G71"/>
    <mergeCell ref="A58:K58"/>
    <mergeCell ref="K65:K67"/>
    <mergeCell ref="K69:K71"/>
    <mergeCell ref="K60:K63"/>
    <mergeCell ref="J60:J62"/>
    <mergeCell ref="H69:H71"/>
    <mergeCell ref="I60:I71"/>
    <mergeCell ref="D60:D62"/>
    <mergeCell ref="E60:E71"/>
  </mergeCells>
  <phoneticPr fontId="3" type="noConversion"/>
  <conditionalFormatting sqref="B60:B71">
    <cfRule type="dataBar" priority="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{9A002C6C-6BFF-4CC1-9891-961759E62E57}</x14:id>
        </ext>
      </extLst>
    </cfRule>
  </conditionalFormatting>
  <conditionalFormatting sqref="B4:B1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{A64FCE9B-61A9-4854-9931-24C12393131E}</x14:id>
        </ext>
      </extLst>
    </cfRule>
  </conditionalFormatting>
  <conditionalFormatting sqref="B4:B15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{19E95F7A-EBD4-4429-AA1E-0D89A4D7041F}</x14:id>
        </ext>
      </extLst>
    </cfRule>
  </conditionalFormatting>
  <conditionalFormatting sqref="B18:B2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{6302BD7E-1571-4285-8994-C6B29B8488CB}</x14:id>
        </ext>
      </extLst>
    </cfRule>
  </conditionalFormatting>
  <conditionalFormatting sqref="B18:B29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{3E6E6E12-8606-4C60-B013-5584A690F682}</x14:id>
        </ext>
      </extLst>
    </cfRule>
  </conditionalFormatting>
  <conditionalFormatting sqref="B32:B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{2F887CA4-792E-4304-B54B-30A76B5DB967}</x14:id>
        </ext>
      </extLst>
    </cfRule>
  </conditionalFormatting>
  <conditionalFormatting sqref="B32:B4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{116238A6-00B6-46A7-9934-B6F186CD351E}</x14:id>
        </ext>
      </extLst>
    </cfRule>
  </conditionalFormatting>
  <conditionalFormatting sqref="B46:B5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{5B3FB1BE-B648-4C26-8935-71F766484C1E}</x14:id>
        </ext>
      </extLst>
    </cfRule>
  </conditionalFormatting>
  <conditionalFormatting sqref="B46:B5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{CC0C72F0-B1C9-4C9A-B7B9-09D60F88ADBD}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Drop Down 3">
              <controlPr defaultSize="0" autoLine="0" autoPict="0">
                <anchor moveWithCells="1">
                  <from>
                    <xdr:col>9</xdr:col>
                    <xdr:colOff>403860</xdr:colOff>
                    <xdr:row>3</xdr:row>
                    <xdr:rowOff>30480</xdr:rowOff>
                  </from>
                  <to>
                    <xdr:col>9</xdr:col>
                    <xdr:colOff>1478280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Drop Down 4">
              <controlPr defaultSize="0" autoLine="0" autoPict="0">
                <anchor moveWithCells="1">
                  <from>
                    <xdr:col>9</xdr:col>
                    <xdr:colOff>304800</xdr:colOff>
                    <xdr:row>17</xdr:row>
                    <xdr:rowOff>45720</xdr:rowOff>
                  </from>
                  <to>
                    <xdr:col>10</xdr:col>
                    <xdr:colOff>7620</xdr:colOff>
                    <xdr:row>19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6" name="Drop Down 6">
              <controlPr defaultSize="0" autoLine="0" autoPict="0">
                <anchor moveWithCells="1">
                  <from>
                    <xdr:col>9</xdr:col>
                    <xdr:colOff>320040</xdr:colOff>
                    <xdr:row>31</xdr:row>
                    <xdr:rowOff>38100</xdr:rowOff>
                  </from>
                  <to>
                    <xdr:col>10</xdr:col>
                    <xdr:colOff>0</xdr:colOff>
                    <xdr:row>33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7" name="Drop Down 7">
              <controlPr defaultSize="0" autoLine="0" autoPict="0">
                <anchor moveWithCells="1">
                  <from>
                    <xdr:col>9</xdr:col>
                    <xdr:colOff>304800</xdr:colOff>
                    <xdr:row>45</xdr:row>
                    <xdr:rowOff>45720</xdr:rowOff>
                  </from>
                  <to>
                    <xdr:col>10</xdr:col>
                    <xdr:colOff>7620</xdr:colOff>
                    <xdr:row>47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Drop Down 8">
              <controlPr defaultSize="0" autoLine="0" autoPict="0">
                <anchor moveWithCells="1">
                  <from>
                    <xdr:col>9</xdr:col>
                    <xdr:colOff>304800</xdr:colOff>
                    <xdr:row>59</xdr:row>
                    <xdr:rowOff>76200</xdr:rowOff>
                  </from>
                  <to>
                    <xdr:col>10</xdr:col>
                    <xdr:colOff>7620</xdr:colOff>
                    <xdr:row>61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9" name="Drop Down 13">
              <controlPr defaultSize="0" autoLine="0" autoPict="0">
                <anchor moveWithCells="1">
                  <from>
                    <xdr:col>9</xdr:col>
                    <xdr:colOff>15240</xdr:colOff>
                    <xdr:row>6</xdr:row>
                    <xdr:rowOff>182880</xdr:rowOff>
                  </from>
                  <to>
                    <xdr:col>9</xdr:col>
                    <xdr:colOff>1531620</xdr:colOff>
                    <xdr:row>7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002C6C-6BFF-4CC1-9891-961759E62E57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B60:B71</xm:sqref>
        </x14:conditionalFormatting>
        <x14:conditionalFormatting xmlns:xm="http://schemas.microsoft.com/office/excel/2006/main">
          <x14:cfRule type="dataBar" id="{A64FCE9B-61A9-4854-9931-24C12393131E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8EC6"/>
              <x14:negativeBorderColor rgb="FF638EC6"/>
            </x14:dataBar>
          </x14:cfRule>
          <xm:sqref>B4:B15</xm:sqref>
        </x14:conditionalFormatting>
        <x14:conditionalFormatting xmlns:xm="http://schemas.microsoft.com/office/excel/2006/main">
          <x14:cfRule type="dataBar" id="{19E95F7A-EBD4-4429-AA1E-0D89A4D7041F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B4:B15</xm:sqref>
        </x14:conditionalFormatting>
        <x14:conditionalFormatting xmlns:xm="http://schemas.microsoft.com/office/excel/2006/main">
          <x14:cfRule type="dataBar" id="{6302BD7E-1571-4285-8994-C6B29B8488CB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8EC6"/>
              <x14:negativeBorderColor rgb="FF638EC6"/>
            </x14:dataBar>
          </x14:cfRule>
          <xm:sqref>B18:B29</xm:sqref>
        </x14:conditionalFormatting>
        <x14:conditionalFormatting xmlns:xm="http://schemas.microsoft.com/office/excel/2006/main">
          <x14:cfRule type="dataBar" id="{3E6E6E12-8606-4C60-B013-5584A690F682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B18:B29</xm:sqref>
        </x14:conditionalFormatting>
        <x14:conditionalFormatting xmlns:xm="http://schemas.microsoft.com/office/excel/2006/main">
          <x14:cfRule type="dataBar" id="{2F887CA4-792E-4304-B54B-30A76B5DB967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8EC6"/>
              <x14:negativeBorderColor rgb="FF638EC6"/>
            </x14:dataBar>
          </x14:cfRule>
          <xm:sqref>B32:B43</xm:sqref>
        </x14:conditionalFormatting>
        <x14:conditionalFormatting xmlns:xm="http://schemas.microsoft.com/office/excel/2006/main">
          <x14:cfRule type="dataBar" id="{116238A6-00B6-46A7-9934-B6F186CD351E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B32:B43</xm:sqref>
        </x14:conditionalFormatting>
        <x14:conditionalFormatting xmlns:xm="http://schemas.microsoft.com/office/excel/2006/main">
          <x14:cfRule type="dataBar" id="{5B3FB1BE-B648-4C26-8935-71F766484C1E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8EC6"/>
              <x14:negativeBorderColor rgb="FF638EC6"/>
            </x14:dataBar>
          </x14:cfRule>
          <xm:sqref>B46:B57</xm:sqref>
        </x14:conditionalFormatting>
        <x14:conditionalFormatting xmlns:xm="http://schemas.microsoft.com/office/excel/2006/main">
          <x14:cfRule type="dataBar" id="{CC0C72F0-B1C9-4C9A-B7B9-09D60F88ADBD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B46:B57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0C88597-1B32-447E-A12C-E633DD396F25}">
          <x14:formula1>
            <xm:f>'DIMENCINAMENTO DE PLACA'!$G$11:$G$16</xm:f>
          </x14:formula1>
          <xm:sqref>J4:J6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8BABB-AB19-4D12-9EB6-E518466861D4}">
  <dimension ref="AE11"/>
  <sheetViews>
    <sheetView showGridLines="0" zoomScale="47" zoomScaleNormal="47" workbookViewId="0">
      <selection activeCell="G3" sqref="G3:AS70"/>
    </sheetView>
  </sheetViews>
  <sheetFormatPr defaultRowHeight="14.4" x14ac:dyDescent="0.3"/>
  <sheetData>
    <row r="11" spans="31:31" x14ac:dyDescent="0.3">
      <c r="AE11" s="353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A0C8-0638-4E89-8D69-53E8F515319A}">
  <dimension ref="A1:G20"/>
  <sheetViews>
    <sheetView showGridLines="0" zoomScale="80" zoomScaleNormal="80" workbookViewId="0"/>
  </sheetViews>
  <sheetFormatPr defaultRowHeight="14.4" x14ac:dyDescent="0.3"/>
  <cols>
    <col min="1" max="1" width="32.33203125" bestFit="1" customWidth="1"/>
    <col min="2" max="2" width="23" bestFit="1" customWidth="1"/>
    <col min="3" max="4" width="28.33203125" bestFit="1" customWidth="1"/>
    <col min="5" max="5" width="14.5546875" bestFit="1" customWidth="1"/>
    <col min="6" max="7" width="28.33203125" bestFit="1" customWidth="1"/>
  </cols>
  <sheetData>
    <row r="1" spans="1:7" ht="15.6" x14ac:dyDescent="0.3">
      <c r="A1" s="84" t="s">
        <v>34</v>
      </c>
      <c r="B1" s="84" t="s">
        <v>35</v>
      </c>
      <c r="C1" s="84" t="s">
        <v>36</v>
      </c>
      <c r="D1" s="84" t="s">
        <v>37</v>
      </c>
      <c r="E1" s="84" t="s">
        <v>38</v>
      </c>
      <c r="F1" s="84" t="s">
        <v>39</v>
      </c>
      <c r="G1" s="84" t="s">
        <v>40</v>
      </c>
    </row>
    <row r="2" spans="1:7" ht="18" x14ac:dyDescent="0.3">
      <c r="A2" s="157" t="s">
        <v>397</v>
      </c>
      <c r="B2" s="150">
        <v>0</v>
      </c>
      <c r="C2" s="158">
        <v>0.6</v>
      </c>
      <c r="D2" s="158">
        <v>8</v>
      </c>
      <c r="E2" s="232">
        <v>30</v>
      </c>
      <c r="F2" s="161">
        <f>B2*C2*D2*E2</f>
        <v>0</v>
      </c>
      <c r="G2" s="565">
        <f>SUM(F2:F7)</f>
        <v>0</v>
      </c>
    </row>
    <row r="3" spans="1:7" ht="18" x14ac:dyDescent="0.3">
      <c r="A3" s="157" t="s">
        <v>398</v>
      </c>
      <c r="B3" s="150">
        <v>0</v>
      </c>
      <c r="C3" s="158">
        <v>0.8</v>
      </c>
      <c r="D3" s="158">
        <v>8</v>
      </c>
      <c r="E3" s="232">
        <v>30</v>
      </c>
      <c r="F3" s="161">
        <f t="shared" ref="F3:F7" si="0">B3*C3*D3*E3</f>
        <v>0</v>
      </c>
      <c r="G3" s="566"/>
    </row>
    <row r="4" spans="1:7" ht="18" x14ac:dyDescent="0.3">
      <c r="A4" s="157" t="s">
        <v>467</v>
      </c>
      <c r="B4" s="150">
        <v>0</v>
      </c>
      <c r="C4" s="158">
        <v>1.2</v>
      </c>
      <c r="D4" s="158">
        <v>8</v>
      </c>
      <c r="E4" s="352">
        <v>30</v>
      </c>
      <c r="F4" s="158">
        <f t="shared" si="0"/>
        <v>0</v>
      </c>
    </row>
    <row r="5" spans="1:7" ht="18" x14ac:dyDescent="0.3">
      <c r="A5" s="157" t="s">
        <v>399</v>
      </c>
      <c r="B5" s="150">
        <v>0</v>
      </c>
      <c r="C5" s="158">
        <v>2.6</v>
      </c>
      <c r="D5" s="158">
        <v>8</v>
      </c>
      <c r="E5" s="352">
        <v>30</v>
      </c>
      <c r="F5" s="158">
        <f t="shared" si="0"/>
        <v>0</v>
      </c>
    </row>
    <row r="6" spans="1:7" ht="18" x14ac:dyDescent="0.3">
      <c r="A6" s="157" t="s">
        <v>41</v>
      </c>
      <c r="B6" s="150">
        <v>0</v>
      </c>
      <c r="C6" s="158">
        <v>1</v>
      </c>
      <c r="D6" s="158">
        <v>1</v>
      </c>
      <c r="E6" s="352">
        <v>30</v>
      </c>
      <c r="F6" s="158">
        <f t="shared" si="0"/>
        <v>0</v>
      </c>
    </row>
    <row r="7" spans="1:7" ht="18" x14ac:dyDescent="0.3">
      <c r="A7" s="157" t="s">
        <v>400</v>
      </c>
      <c r="B7" s="150">
        <v>0</v>
      </c>
      <c r="C7" s="158">
        <v>1</v>
      </c>
      <c r="D7" s="158">
        <v>1</v>
      </c>
      <c r="E7" s="166">
        <v>1</v>
      </c>
      <c r="F7" s="158">
        <f t="shared" si="0"/>
        <v>0</v>
      </c>
    </row>
    <row r="8" spans="1:7" ht="18" x14ac:dyDescent="0.3">
      <c r="A8" s="163" t="s">
        <v>35</v>
      </c>
      <c r="B8" s="160" t="s">
        <v>42</v>
      </c>
      <c r="C8" s="160" t="s">
        <v>43</v>
      </c>
      <c r="D8" s="164" t="s">
        <v>44</v>
      </c>
      <c r="E8" s="167" t="s">
        <v>45</v>
      </c>
    </row>
    <row r="9" spans="1:7" ht="18" x14ac:dyDescent="0.3">
      <c r="A9" s="153">
        <v>1</v>
      </c>
      <c r="B9" s="162">
        <v>44044</v>
      </c>
      <c r="C9" s="147">
        <f>'PLANINHA CENTRAL'!B4</f>
        <v>1500</v>
      </c>
      <c r="D9" s="165">
        <f>C9+$G$2</f>
        <v>1500</v>
      </c>
      <c r="E9" s="567">
        <f>(SUM(D9:D20))/A20</f>
        <v>1500</v>
      </c>
    </row>
    <row r="10" spans="1:7" ht="18" x14ac:dyDescent="0.3">
      <c r="A10" s="153">
        <v>2</v>
      </c>
      <c r="B10" s="162">
        <v>44075</v>
      </c>
      <c r="C10" s="147">
        <f>'PLANINHA CENTRAL'!B5</f>
        <v>1500</v>
      </c>
      <c r="D10" s="165">
        <f t="shared" ref="D10:D20" si="1">C10+$G$2</f>
        <v>1500</v>
      </c>
      <c r="E10" s="567"/>
    </row>
    <row r="11" spans="1:7" ht="18" x14ac:dyDescent="0.3">
      <c r="A11" s="153">
        <v>3</v>
      </c>
      <c r="B11" s="159">
        <v>44105</v>
      </c>
      <c r="C11" s="147">
        <f>'PLANINHA CENTRAL'!B6</f>
        <v>1500</v>
      </c>
      <c r="D11" s="165">
        <f t="shared" si="1"/>
        <v>1500</v>
      </c>
    </row>
    <row r="12" spans="1:7" ht="18" x14ac:dyDescent="0.3">
      <c r="A12" s="153">
        <v>4</v>
      </c>
      <c r="B12" s="159">
        <v>44136</v>
      </c>
      <c r="C12" s="147">
        <f>'PLANINHA CENTRAL'!B7</f>
        <v>1500</v>
      </c>
      <c r="D12" s="165">
        <f t="shared" si="1"/>
        <v>1500</v>
      </c>
    </row>
    <row r="13" spans="1:7" ht="18" x14ac:dyDescent="0.3">
      <c r="A13" s="153">
        <v>5</v>
      </c>
      <c r="B13" s="159">
        <v>44166</v>
      </c>
      <c r="C13" s="147">
        <f>'PLANINHA CENTRAL'!B8</f>
        <v>1500</v>
      </c>
      <c r="D13" s="165">
        <f t="shared" si="1"/>
        <v>1500</v>
      </c>
    </row>
    <row r="14" spans="1:7" ht="18" x14ac:dyDescent="0.3">
      <c r="A14" s="153">
        <v>6</v>
      </c>
      <c r="B14" s="159">
        <v>44197</v>
      </c>
      <c r="C14" s="147">
        <f>'PLANINHA CENTRAL'!B9</f>
        <v>1500</v>
      </c>
      <c r="D14" s="165">
        <f t="shared" si="1"/>
        <v>1500</v>
      </c>
    </row>
    <row r="15" spans="1:7" ht="18" x14ac:dyDescent="0.3">
      <c r="A15" s="153">
        <v>7</v>
      </c>
      <c r="B15" s="159">
        <v>44228</v>
      </c>
      <c r="C15" s="147">
        <f>'PLANINHA CENTRAL'!B10</f>
        <v>1500</v>
      </c>
      <c r="D15" s="165">
        <f t="shared" si="1"/>
        <v>1500</v>
      </c>
    </row>
    <row r="16" spans="1:7" ht="18" x14ac:dyDescent="0.3">
      <c r="A16" s="153">
        <v>8</v>
      </c>
      <c r="B16" s="159">
        <v>44256</v>
      </c>
      <c r="C16" s="147">
        <f>'PLANINHA CENTRAL'!B11</f>
        <v>1500</v>
      </c>
      <c r="D16" s="165">
        <f t="shared" si="1"/>
        <v>1500</v>
      </c>
    </row>
    <row r="17" spans="1:4" ht="18" x14ac:dyDescent="0.3">
      <c r="A17" s="153">
        <v>9</v>
      </c>
      <c r="B17" s="159">
        <v>44287</v>
      </c>
      <c r="C17" s="147">
        <f>'PLANINHA CENTRAL'!B12</f>
        <v>1500</v>
      </c>
      <c r="D17" s="165">
        <f t="shared" si="1"/>
        <v>1500</v>
      </c>
    </row>
    <row r="18" spans="1:4" ht="18" x14ac:dyDescent="0.3">
      <c r="A18" s="153">
        <v>10</v>
      </c>
      <c r="B18" s="159">
        <v>44317</v>
      </c>
      <c r="C18" s="147">
        <f>'PLANINHA CENTRAL'!B13</f>
        <v>1500</v>
      </c>
      <c r="D18" s="165">
        <f t="shared" si="1"/>
        <v>1500</v>
      </c>
    </row>
    <row r="19" spans="1:4" ht="18" x14ac:dyDescent="0.3">
      <c r="A19" s="153">
        <v>11</v>
      </c>
      <c r="B19" s="159">
        <v>44348</v>
      </c>
      <c r="C19" s="147">
        <f>'PLANINHA CENTRAL'!B14</f>
        <v>1500</v>
      </c>
      <c r="D19" s="165">
        <f t="shared" si="1"/>
        <v>1500</v>
      </c>
    </row>
    <row r="20" spans="1:4" ht="18" x14ac:dyDescent="0.3">
      <c r="A20" s="153">
        <v>12</v>
      </c>
      <c r="B20" s="159">
        <v>44378</v>
      </c>
      <c r="C20" s="147">
        <f>'PLANINHA CENTRAL'!B15</f>
        <v>1500</v>
      </c>
      <c r="D20" s="165">
        <f t="shared" si="1"/>
        <v>1500</v>
      </c>
    </row>
  </sheetData>
  <mergeCells count="2">
    <mergeCell ref="G2:G3"/>
    <mergeCell ref="E9:E10"/>
  </mergeCells>
  <conditionalFormatting sqref="C9:C2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{53ACD1DE-C2E6-4795-A15B-B9F8E0A40B54}</x14:id>
        </ext>
      </extLst>
    </cfRule>
  </conditionalFormatting>
  <conditionalFormatting sqref="D9:D20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{6847153F-3B71-4541-B8EC-8901E7E45FA4}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ACD1DE-C2E6-4795-A15B-B9F8E0A40B54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C9:C20</xm:sqref>
        </x14:conditionalFormatting>
        <x14:conditionalFormatting xmlns:xm="http://schemas.microsoft.com/office/excel/2006/main">
          <x14:cfRule type="dataBar" id="{6847153F-3B71-4541-B8EC-8901E7E45FA4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D6007B"/>
              <x14:negativeBorderColor rgb="FF638EC6"/>
            </x14:dataBar>
          </x14:cfRule>
          <xm:sqref>D9:D20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899E5-962A-4CD1-B4DB-19333FC60AD6}">
  <sheetPr>
    <pageSetUpPr fitToPage="1"/>
  </sheetPr>
  <dimension ref="A1:V33"/>
  <sheetViews>
    <sheetView showGridLines="0" zoomScale="80" zoomScaleNormal="80" workbookViewId="0">
      <selection sqref="A1:K1"/>
    </sheetView>
  </sheetViews>
  <sheetFormatPr defaultRowHeight="14.4" x14ac:dyDescent="0.3"/>
  <cols>
    <col min="3" max="3" width="10.44140625" bestFit="1" customWidth="1"/>
    <col min="4" max="4" width="25.6640625" customWidth="1"/>
    <col min="5" max="5" width="22.6640625" bestFit="1" customWidth="1"/>
    <col min="6" max="6" width="20.44140625" customWidth="1"/>
    <col min="7" max="7" width="32.109375" customWidth="1"/>
    <col min="8" max="8" width="15.21875" bestFit="1" customWidth="1"/>
    <col min="9" max="9" width="18.77734375" bestFit="1" customWidth="1"/>
    <col min="10" max="10" width="16.44140625" bestFit="1" customWidth="1"/>
    <col min="11" max="11" width="16.33203125" bestFit="1" customWidth="1"/>
    <col min="12" max="12" width="15.109375" hidden="1" customWidth="1"/>
    <col min="13" max="22" width="16.109375" hidden="1" customWidth="1"/>
  </cols>
  <sheetData>
    <row r="1" spans="1:11" ht="21.6" thickBot="1" x14ac:dyDescent="0.35">
      <c r="A1" s="570" t="s">
        <v>46</v>
      </c>
      <c r="B1" s="570"/>
      <c r="C1" s="570"/>
      <c r="D1" s="570"/>
      <c r="E1" s="571"/>
      <c r="F1" s="571"/>
      <c r="G1" s="571"/>
      <c r="H1" s="571"/>
      <c r="I1" s="571"/>
      <c r="J1" s="571"/>
      <c r="K1" s="570"/>
    </row>
    <row r="2" spans="1:11" ht="14.4" customHeight="1" x14ac:dyDescent="0.3">
      <c r="A2" s="151" t="s">
        <v>0</v>
      </c>
      <c r="B2" s="151" t="s">
        <v>1</v>
      </c>
      <c r="C2" s="151" t="s">
        <v>2</v>
      </c>
      <c r="D2" s="154" t="s">
        <v>8</v>
      </c>
      <c r="E2" s="271" t="s">
        <v>394</v>
      </c>
      <c r="F2" s="273" t="s">
        <v>387</v>
      </c>
      <c r="G2" s="576" t="s">
        <v>47</v>
      </c>
      <c r="H2" s="576" t="s">
        <v>48</v>
      </c>
      <c r="I2" s="576" t="s">
        <v>49</v>
      </c>
      <c r="J2" s="576" t="s">
        <v>50</v>
      </c>
      <c r="K2" s="277" t="s">
        <v>40</v>
      </c>
    </row>
    <row r="3" spans="1:11" ht="15" customHeight="1" thickBot="1" x14ac:dyDescent="0.35">
      <c r="A3" s="152">
        <v>44080</v>
      </c>
      <c r="B3" s="149">
        <f>'PLANINHA CENTRAL'!B4</f>
        <v>1500</v>
      </c>
      <c r="C3" s="82">
        <v>1</v>
      </c>
      <c r="D3" s="572">
        <f>'PLANINHA CENTRAL'!I4</f>
        <v>12.646511915196825</v>
      </c>
      <c r="E3" s="269"/>
      <c r="F3" s="274" t="str">
        <f t="shared" ref="F3:F15" si="0">INDEX(M21:V21,$L$21)</f>
        <v xml:space="preserve">AQUIDAUNA </v>
      </c>
      <c r="G3" s="576"/>
      <c r="H3" s="576"/>
      <c r="I3" s="576"/>
      <c r="J3" s="576"/>
      <c r="K3" s="568">
        <f>SUM(J4:J15)</f>
        <v>363.88140161725232</v>
      </c>
    </row>
    <row r="4" spans="1:11" ht="14.4" customHeight="1" x14ac:dyDescent="0.3">
      <c r="A4" s="152">
        <v>44110</v>
      </c>
      <c r="B4" s="149">
        <f>'PLANINHA CENTRAL'!B5</f>
        <v>1500</v>
      </c>
      <c r="C4" s="82">
        <v>2</v>
      </c>
      <c r="D4" s="572"/>
      <c r="E4" s="270">
        <v>44562</v>
      </c>
      <c r="F4" s="253">
        <f t="shared" si="0"/>
        <v>5.75</v>
      </c>
      <c r="G4" s="489">
        <f>$D$3*$D$11*F4</f>
        <v>58.119946091644209</v>
      </c>
      <c r="H4" s="490">
        <v>30</v>
      </c>
      <c r="I4" s="491">
        <f t="shared" ref="I4:I15" si="1">G4*H4</f>
        <v>1743.5983827493262</v>
      </c>
      <c r="J4" s="492">
        <f t="shared" ref="J4:J15" si="2">I4-B3</f>
        <v>243.59838274932622</v>
      </c>
      <c r="K4" s="569"/>
    </row>
    <row r="5" spans="1:11" ht="15" customHeight="1" x14ac:dyDescent="0.3">
      <c r="A5" s="152">
        <v>44141</v>
      </c>
      <c r="B5" s="149">
        <f>'PLANINHA CENTRAL'!B6</f>
        <v>1500</v>
      </c>
      <c r="C5" s="82">
        <v>3</v>
      </c>
      <c r="D5" s="572"/>
      <c r="E5" s="270">
        <v>44593</v>
      </c>
      <c r="F5" s="275">
        <f t="shared" si="0"/>
        <v>5.76</v>
      </c>
      <c r="G5" s="278">
        <f t="shared" ref="G5:G15" si="3">$D$3*$D$11*F5</f>
        <v>58.22102425876011</v>
      </c>
      <c r="H5" s="252">
        <v>30</v>
      </c>
      <c r="I5" s="211">
        <f t="shared" si="1"/>
        <v>1746.6307277628034</v>
      </c>
      <c r="J5" s="279">
        <f t="shared" si="2"/>
        <v>246.63072776280342</v>
      </c>
      <c r="K5" s="569"/>
    </row>
    <row r="6" spans="1:11" ht="15.6" x14ac:dyDescent="0.3">
      <c r="A6" s="152">
        <v>44171</v>
      </c>
      <c r="B6" s="149">
        <f>'PLANINHA CENTRAL'!B7</f>
        <v>1500</v>
      </c>
      <c r="C6" s="82">
        <v>4</v>
      </c>
      <c r="D6" s="155" t="s">
        <v>7</v>
      </c>
      <c r="E6" s="270">
        <v>44621</v>
      </c>
      <c r="F6" s="275">
        <f t="shared" si="0"/>
        <v>5.39</v>
      </c>
      <c r="G6" s="278">
        <f t="shared" si="3"/>
        <v>54.481132075471699</v>
      </c>
      <c r="H6" s="252">
        <v>30</v>
      </c>
      <c r="I6" s="211">
        <f t="shared" si="1"/>
        <v>1634.433962264151</v>
      </c>
      <c r="J6" s="279">
        <f t="shared" si="2"/>
        <v>134.43396226415098</v>
      </c>
    </row>
    <row r="7" spans="1:11" ht="15.6" x14ac:dyDescent="0.3">
      <c r="A7" s="152">
        <v>44202</v>
      </c>
      <c r="B7" s="149">
        <f>'PLANINHA CENTRAL'!B8</f>
        <v>1500</v>
      </c>
      <c r="C7" s="82">
        <v>5</v>
      </c>
      <c r="D7" s="572">
        <f>'PLANINHA CENTRAL'!H4</f>
        <v>50</v>
      </c>
      <c r="E7" s="270">
        <v>44652</v>
      </c>
      <c r="F7" s="275">
        <f t="shared" si="0"/>
        <v>4.84</v>
      </c>
      <c r="G7" s="278">
        <f t="shared" si="3"/>
        <v>48.921832884097036</v>
      </c>
      <c r="H7" s="252">
        <v>30</v>
      </c>
      <c r="I7" s="211">
        <f t="shared" si="1"/>
        <v>1467.654986522911</v>
      </c>
      <c r="J7" s="279">
        <f t="shared" si="2"/>
        <v>-32.345013477088969</v>
      </c>
    </row>
    <row r="8" spans="1:11" ht="15.6" x14ac:dyDescent="0.3">
      <c r="A8" s="152">
        <v>44233</v>
      </c>
      <c r="B8" s="149">
        <f>'PLANINHA CENTRAL'!B9</f>
        <v>1500</v>
      </c>
      <c r="C8" s="82">
        <v>6</v>
      </c>
      <c r="D8" s="573"/>
      <c r="E8" s="270">
        <v>44682</v>
      </c>
      <c r="F8" s="275">
        <f t="shared" si="0"/>
        <v>3.89</v>
      </c>
      <c r="G8" s="278">
        <f t="shared" si="3"/>
        <v>39.319407008086259</v>
      </c>
      <c r="H8" s="252">
        <v>30</v>
      </c>
      <c r="I8" s="211">
        <f t="shared" si="1"/>
        <v>1179.5822102425877</v>
      </c>
      <c r="J8" s="279">
        <f t="shared" si="2"/>
        <v>-320.41778975741227</v>
      </c>
    </row>
    <row r="9" spans="1:11" ht="15.6" x14ac:dyDescent="0.3">
      <c r="A9" s="152">
        <v>44261</v>
      </c>
      <c r="B9" s="149">
        <f>'PLANINHA CENTRAL'!B10</f>
        <v>1500</v>
      </c>
      <c r="C9" s="82">
        <v>7</v>
      </c>
      <c r="D9" s="573"/>
      <c r="E9" s="270">
        <v>44713</v>
      </c>
      <c r="F9" s="275">
        <f t="shared" si="0"/>
        <v>3.7</v>
      </c>
      <c r="G9" s="278">
        <f t="shared" si="3"/>
        <v>37.398921832884099</v>
      </c>
      <c r="H9" s="252">
        <v>30</v>
      </c>
      <c r="I9" s="211">
        <f t="shared" si="1"/>
        <v>1121.967654986523</v>
      </c>
      <c r="J9" s="279">
        <f t="shared" si="2"/>
        <v>-378.03234501347697</v>
      </c>
    </row>
    <row r="10" spans="1:11" ht="15.6" x14ac:dyDescent="0.3">
      <c r="A10" s="152">
        <v>44292</v>
      </c>
      <c r="B10" s="149">
        <f>'PLANINHA CENTRAL'!B11</f>
        <v>1500</v>
      </c>
      <c r="C10" s="82">
        <v>8</v>
      </c>
      <c r="D10" s="156" t="str">
        <f>'PLANINHA CENTRAL'!H12</f>
        <v>RENDIMENTO</v>
      </c>
      <c r="E10" s="270">
        <v>44743</v>
      </c>
      <c r="F10" s="275">
        <f t="shared" si="0"/>
        <v>3.84</v>
      </c>
      <c r="G10" s="278">
        <f t="shared" si="3"/>
        <v>38.81401617250674</v>
      </c>
      <c r="H10" s="252">
        <v>30</v>
      </c>
      <c r="I10" s="211">
        <f t="shared" si="1"/>
        <v>1164.4204851752022</v>
      </c>
      <c r="J10" s="279">
        <f t="shared" si="2"/>
        <v>-335.5795148247978</v>
      </c>
    </row>
    <row r="11" spans="1:11" ht="15.6" x14ac:dyDescent="0.3">
      <c r="A11" s="152">
        <v>44322</v>
      </c>
      <c r="B11" s="149">
        <f>'PLANINHA CENTRAL'!B12</f>
        <v>1500</v>
      </c>
      <c r="C11" s="82">
        <v>9</v>
      </c>
      <c r="D11" s="574">
        <f>'PLANINHA CENTRAL'!H13</f>
        <v>0.79925727974399996</v>
      </c>
      <c r="E11" s="270">
        <v>44774</v>
      </c>
      <c r="F11" s="275">
        <f t="shared" si="0"/>
        <v>4.7</v>
      </c>
      <c r="G11" s="278">
        <f t="shared" si="3"/>
        <v>47.506738544474402</v>
      </c>
      <c r="H11" s="252">
        <v>30</v>
      </c>
      <c r="I11" s="211">
        <f t="shared" si="1"/>
        <v>1425.2021563342321</v>
      </c>
      <c r="J11" s="279">
        <f t="shared" si="2"/>
        <v>-74.797843665767914</v>
      </c>
    </row>
    <row r="12" spans="1:11" ht="15.6" x14ac:dyDescent="0.3">
      <c r="A12" s="152">
        <v>44353</v>
      </c>
      <c r="B12" s="149">
        <f>'PLANINHA CENTRAL'!B13</f>
        <v>1500</v>
      </c>
      <c r="C12" s="82">
        <v>10</v>
      </c>
      <c r="D12" s="575"/>
      <c r="E12" s="270">
        <v>44805</v>
      </c>
      <c r="F12" s="275">
        <f t="shared" si="0"/>
        <v>4.87</v>
      </c>
      <c r="G12" s="278">
        <f t="shared" si="3"/>
        <v>49.225067385444753</v>
      </c>
      <c r="H12" s="252">
        <v>30</v>
      </c>
      <c r="I12" s="211">
        <f t="shared" si="1"/>
        <v>1476.7520215633426</v>
      </c>
      <c r="J12" s="279">
        <f t="shared" si="2"/>
        <v>-23.247978436657377</v>
      </c>
    </row>
    <row r="13" spans="1:11" ht="15.6" x14ac:dyDescent="0.3">
      <c r="A13" s="152">
        <v>44383</v>
      </c>
      <c r="B13" s="149">
        <f>'PLANINHA CENTRAL'!B14</f>
        <v>1500</v>
      </c>
      <c r="C13" s="82">
        <v>11</v>
      </c>
      <c r="D13" s="575"/>
      <c r="E13" s="270">
        <v>44835</v>
      </c>
      <c r="F13" s="275">
        <f t="shared" si="0"/>
        <v>5.51</v>
      </c>
      <c r="G13" s="278">
        <f t="shared" si="3"/>
        <v>55.694070080862538</v>
      </c>
      <c r="H13" s="252">
        <v>30</v>
      </c>
      <c r="I13" s="211">
        <f t="shared" si="1"/>
        <v>1670.8221024258762</v>
      </c>
      <c r="J13" s="279">
        <f t="shared" si="2"/>
        <v>170.82210242587621</v>
      </c>
    </row>
    <row r="14" spans="1:11" ht="15.6" x14ac:dyDescent="0.3">
      <c r="A14" s="152">
        <v>44414</v>
      </c>
      <c r="B14" s="149">
        <f>'PLANINHA CENTRAL'!B15</f>
        <v>1500</v>
      </c>
      <c r="C14" s="82">
        <v>12</v>
      </c>
      <c r="D14" s="575"/>
      <c r="E14" s="270">
        <v>44866</v>
      </c>
      <c r="F14" s="275">
        <f t="shared" si="0"/>
        <v>6.02</v>
      </c>
      <c r="G14" s="278">
        <f t="shared" si="3"/>
        <v>60.849056603773583</v>
      </c>
      <c r="H14" s="252">
        <v>30</v>
      </c>
      <c r="I14" s="211">
        <f t="shared" si="1"/>
        <v>1825.4716981132076</v>
      </c>
      <c r="J14" s="279">
        <f t="shared" si="2"/>
        <v>325.47169811320759</v>
      </c>
    </row>
    <row r="15" spans="1:11" ht="16.2" thickBot="1" x14ac:dyDescent="0.35">
      <c r="E15" s="272">
        <v>44896</v>
      </c>
      <c r="F15" s="276">
        <f t="shared" si="0"/>
        <v>6.29</v>
      </c>
      <c r="G15" s="280">
        <f t="shared" si="3"/>
        <v>63.578167115902971</v>
      </c>
      <c r="H15" s="281">
        <v>30</v>
      </c>
      <c r="I15" s="282">
        <f t="shared" si="1"/>
        <v>1907.3450134770892</v>
      </c>
      <c r="J15" s="283">
        <f t="shared" si="2"/>
        <v>407.3450134770892</v>
      </c>
    </row>
    <row r="16" spans="1:11" x14ac:dyDescent="0.3">
      <c r="E16" s="264" t="s">
        <v>395</v>
      </c>
      <c r="F16" s="265" t="s">
        <v>386</v>
      </c>
    </row>
    <row r="17" spans="5:22" ht="15" thickBot="1" x14ac:dyDescent="0.35">
      <c r="E17" s="266">
        <v>2022</v>
      </c>
      <c r="F17" s="267">
        <f>((SUM(F4:F15))/12)-0.1</f>
        <v>4.9466666666666663</v>
      </c>
    </row>
    <row r="21" spans="5:22" ht="15.6" x14ac:dyDescent="0.3">
      <c r="L21" s="268">
        <v>10</v>
      </c>
      <c r="M21" s="254" t="s">
        <v>385</v>
      </c>
      <c r="N21" s="254" t="s">
        <v>388</v>
      </c>
      <c r="O21" s="254" t="s">
        <v>389</v>
      </c>
      <c r="P21" s="254" t="s">
        <v>388</v>
      </c>
      <c r="Q21" s="254" t="s">
        <v>393</v>
      </c>
      <c r="R21" s="254" t="s">
        <v>390</v>
      </c>
      <c r="S21" s="254" t="s">
        <v>391</v>
      </c>
      <c r="T21" s="254" t="s">
        <v>392</v>
      </c>
      <c r="U21" s="254" t="s">
        <v>383</v>
      </c>
      <c r="V21" s="254" t="s">
        <v>384</v>
      </c>
    </row>
    <row r="22" spans="5:22" ht="15.6" x14ac:dyDescent="0.3">
      <c r="L22" s="254" t="s">
        <v>385</v>
      </c>
      <c r="M22" s="257">
        <v>5.22</v>
      </c>
      <c r="N22" s="257">
        <v>5.22</v>
      </c>
      <c r="O22" s="260">
        <v>5.31</v>
      </c>
      <c r="P22" s="260">
        <v>5.31</v>
      </c>
      <c r="Q22" s="263">
        <v>5.34</v>
      </c>
      <c r="R22" s="263">
        <v>5.82</v>
      </c>
      <c r="S22" s="263">
        <v>5.75</v>
      </c>
      <c r="T22" s="263">
        <v>5.91</v>
      </c>
      <c r="U22" s="257">
        <v>5.82</v>
      </c>
      <c r="V22" s="257">
        <v>5.75</v>
      </c>
    </row>
    <row r="23" spans="5:22" ht="15.6" x14ac:dyDescent="0.3">
      <c r="L23" s="254" t="s">
        <v>388</v>
      </c>
      <c r="M23" s="257">
        <v>5.46</v>
      </c>
      <c r="N23" s="257">
        <v>5.46</v>
      </c>
      <c r="O23" s="260">
        <v>5.56</v>
      </c>
      <c r="P23" s="260">
        <v>5.56</v>
      </c>
      <c r="Q23" s="263">
        <v>5.55</v>
      </c>
      <c r="R23" s="263">
        <v>5.61</v>
      </c>
      <c r="S23" s="263">
        <v>5.52</v>
      </c>
      <c r="T23" s="263">
        <v>5.72</v>
      </c>
      <c r="U23" s="257">
        <v>5.73</v>
      </c>
      <c r="V23" s="257">
        <v>5.76</v>
      </c>
    </row>
    <row r="24" spans="5:22" ht="15.6" x14ac:dyDescent="0.3">
      <c r="L24" s="254" t="s">
        <v>389</v>
      </c>
      <c r="M24" s="257">
        <v>4.68</v>
      </c>
      <c r="N24" s="257">
        <v>4.68</v>
      </c>
      <c r="O24" s="260">
        <v>4.8</v>
      </c>
      <c r="P24" s="260">
        <v>4.8</v>
      </c>
      <c r="Q24" s="263">
        <v>4.8</v>
      </c>
      <c r="R24" s="263">
        <v>5.21</v>
      </c>
      <c r="S24" s="263">
        <v>5.27</v>
      </c>
      <c r="T24" s="263">
        <v>5.24</v>
      </c>
      <c r="U24" s="257">
        <v>5.41</v>
      </c>
      <c r="V24" s="257">
        <v>5.39</v>
      </c>
    </row>
    <row r="25" spans="5:22" ht="15.6" x14ac:dyDescent="0.3">
      <c r="L25" s="254" t="s">
        <v>388</v>
      </c>
      <c r="M25" s="257">
        <v>4.13</v>
      </c>
      <c r="N25" s="257">
        <v>4.13</v>
      </c>
      <c r="O25" s="260">
        <v>4.29</v>
      </c>
      <c r="P25" s="260">
        <v>4.29</v>
      </c>
      <c r="Q25" s="263">
        <v>4.2300000000000004</v>
      </c>
      <c r="R25" s="263">
        <v>4.42</v>
      </c>
      <c r="S25" s="263">
        <v>4.66</v>
      </c>
      <c r="T25" s="263">
        <v>4.58</v>
      </c>
      <c r="U25" s="257">
        <v>4.82</v>
      </c>
      <c r="V25" s="257">
        <v>4.84</v>
      </c>
    </row>
    <row r="26" spans="5:22" ht="15.6" x14ac:dyDescent="0.3">
      <c r="L26" s="254" t="s">
        <v>393</v>
      </c>
      <c r="M26" s="257">
        <v>3.42</v>
      </c>
      <c r="N26" s="257">
        <v>3.42</v>
      </c>
      <c r="O26" s="260">
        <v>3.52</v>
      </c>
      <c r="P26" s="260">
        <v>3.52</v>
      </c>
      <c r="Q26" s="263">
        <v>3.44</v>
      </c>
      <c r="R26" s="263">
        <v>3.55</v>
      </c>
      <c r="S26" s="263">
        <v>3.71</v>
      </c>
      <c r="T26" s="263">
        <v>3.77</v>
      </c>
      <c r="U26" s="257">
        <v>3.91</v>
      </c>
      <c r="V26" s="257">
        <v>3.89</v>
      </c>
    </row>
    <row r="27" spans="5:22" ht="15.6" x14ac:dyDescent="0.3">
      <c r="L27" s="254" t="s">
        <v>390</v>
      </c>
      <c r="M27" s="255">
        <v>3.15</v>
      </c>
      <c r="N27" s="255">
        <v>3.15</v>
      </c>
      <c r="O27" s="258">
        <v>3.24</v>
      </c>
      <c r="P27" s="258">
        <v>3.24</v>
      </c>
      <c r="Q27" s="261">
        <v>3.19</v>
      </c>
      <c r="R27" s="261">
        <v>3.26</v>
      </c>
      <c r="S27" s="261">
        <v>3.47</v>
      </c>
      <c r="T27" s="261">
        <v>3.42</v>
      </c>
      <c r="U27" s="255">
        <v>3.66</v>
      </c>
      <c r="V27" s="255">
        <v>3.7</v>
      </c>
    </row>
    <row r="28" spans="5:22" ht="15.6" x14ac:dyDescent="0.3">
      <c r="L28" s="254" t="s">
        <v>391</v>
      </c>
      <c r="M28" s="257">
        <v>3.26</v>
      </c>
      <c r="N28" s="257">
        <v>3.26</v>
      </c>
      <c r="O28" s="260">
        <v>3.33</v>
      </c>
      <c r="P28" s="260">
        <v>3.33</v>
      </c>
      <c r="Q28" s="263">
        <v>3.28</v>
      </c>
      <c r="R28" s="263">
        <v>3.36</v>
      </c>
      <c r="S28" s="263">
        <v>3.61</v>
      </c>
      <c r="T28" s="263">
        <v>3.59</v>
      </c>
      <c r="U28" s="257">
        <v>3.82</v>
      </c>
      <c r="V28" s="257">
        <v>3.84</v>
      </c>
    </row>
    <row r="29" spans="5:22" ht="15.6" x14ac:dyDescent="0.3">
      <c r="L29" s="254" t="s">
        <v>392</v>
      </c>
      <c r="M29" s="257">
        <v>4.18</v>
      </c>
      <c r="N29" s="257">
        <v>4.18</v>
      </c>
      <c r="O29" s="260">
        <v>4.3099999999999996</v>
      </c>
      <c r="P29" s="260">
        <v>4.3099999999999996</v>
      </c>
      <c r="Q29" s="263">
        <v>4.25</v>
      </c>
      <c r="R29" s="263">
        <v>4.43</v>
      </c>
      <c r="S29" s="263">
        <v>4.53</v>
      </c>
      <c r="T29" s="263">
        <v>4.47</v>
      </c>
      <c r="U29" s="257">
        <v>4.68</v>
      </c>
      <c r="V29" s="257">
        <v>4.7</v>
      </c>
    </row>
    <row r="30" spans="5:22" ht="15.6" x14ac:dyDescent="0.3">
      <c r="L30" s="254" t="s">
        <v>383</v>
      </c>
      <c r="M30" s="257">
        <v>4.2</v>
      </c>
      <c r="N30" s="257">
        <v>4.2</v>
      </c>
      <c r="O30" s="260">
        <v>4.3499999999999996</v>
      </c>
      <c r="P30" s="260">
        <v>4.3499999999999996</v>
      </c>
      <c r="Q30" s="263">
        <v>4.26</v>
      </c>
      <c r="R30" s="263">
        <v>4.68</v>
      </c>
      <c r="S30" s="263">
        <v>4.7699999999999996</v>
      </c>
      <c r="T30" s="263">
        <v>4.76</v>
      </c>
      <c r="U30" s="257">
        <v>4.8600000000000003</v>
      </c>
      <c r="V30" s="257">
        <v>4.87</v>
      </c>
    </row>
    <row r="31" spans="5:22" ht="15.6" x14ac:dyDescent="0.3">
      <c r="L31" s="254" t="s">
        <v>384</v>
      </c>
      <c r="M31" s="257">
        <v>4.7</v>
      </c>
      <c r="N31" s="257">
        <v>4.7</v>
      </c>
      <c r="O31" s="260">
        <v>4.8899999999999997</v>
      </c>
      <c r="P31" s="260">
        <v>4.8899999999999997</v>
      </c>
      <c r="Q31" s="263">
        <v>4.7699999999999996</v>
      </c>
      <c r="R31" s="263">
        <v>5.34</v>
      </c>
      <c r="S31" s="263">
        <v>5.34</v>
      </c>
      <c r="T31" s="263">
        <v>5.33</v>
      </c>
      <c r="U31" s="257">
        <v>5.53</v>
      </c>
      <c r="V31" s="257">
        <v>5.51</v>
      </c>
    </row>
    <row r="32" spans="5:22" x14ac:dyDescent="0.3">
      <c r="M32" s="257">
        <v>5.16</v>
      </c>
      <c r="N32" s="257">
        <v>5.16</v>
      </c>
      <c r="O32" s="260">
        <v>5.3</v>
      </c>
      <c r="P32" s="260">
        <v>5.3</v>
      </c>
      <c r="Q32" s="263">
        <v>5.24</v>
      </c>
      <c r="R32" s="263">
        <v>5.85</v>
      </c>
      <c r="S32" s="263">
        <v>5.92</v>
      </c>
      <c r="T32" s="263">
        <v>5.86</v>
      </c>
      <c r="U32" s="257">
        <v>6.07</v>
      </c>
      <c r="V32" s="257">
        <v>6.02</v>
      </c>
    </row>
    <row r="33" spans="13:22" x14ac:dyDescent="0.3">
      <c r="M33" s="256">
        <v>5.67</v>
      </c>
      <c r="N33" s="256">
        <v>5.67</v>
      </c>
      <c r="O33" s="259">
        <v>5.8</v>
      </c>
      <c r="P33" s="259">
        <v>5.8</v>
      </c>
      <c r="Q33" s="262">
        <v>5.76</v>
      </c>
      <c r="R33" s="262">
        <v>6.25</v>
      </c>
      <c r="S33" s="262">
        <v>6.14</v>
      </c>
      <c r="T33" s="262">
        <v>6.37</v>
      </c>
      <c r="U33" s="256">
        <v>6.34</v>
      </c>
      <c r="V33" s="256">
        <v>6.29</v>
      </c>
    </row>
  </sheetData>
  <mergeCells count="9">
    <mergeCell ref="K3:K5"/>
    <mergeCell ref="A1:K1"/>
    <mergeCell ref="D3:D5"/>
    <mergeCell ref="D7:D9"/>
    <mergeCell ref="D11:D14"/>
    <mergeCell ref="G2:G3"/>
    <mergeCell ref="H2:H3"/>
    <mergeCell ref="I2:I3"/>
    <mergeCell ref="J2:J3"/>
  </mergeCells>
  <conditionalFormatting sqref="B3:B1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{EEA0C91D-693A-492A-94AC-22D6FC02F0E4}</x14:id>
        </ext>
      </extLst>
    </cfRule>
  </conditionalFormatting>
  <conditionalFormatting sqref="B3:B14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{473E4E9E-E153-4AA6-A97D-0EBA2109DA16}</x14:id>
        </ext>
      </extLst>
    </cfRule>
  </conditionalFormatting>
  <conditionalFormatting sqref="J4:J15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{E1B41233-E6D8-4821-8D12-0800DEBEB838}</x14:id>
        </ext>
      </extLst>
    </cfRule>
  </conditionalFormatting>
  <conditionalFormatting sqref="G4:G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G15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{F4B8B685-1F25-41ED-84C6-6AF0D8978230}</x14:id>
        </ext>
      </extLst>
    </cfRule>
  </conditionalFormatting>
  <conditionalFormatting sqref="J4:J15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G4:G15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I4:I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{6C2606D4-71E6-490D-899F-3847B9EC5623}</x14:id>
        </ext>
      </extLst>
    </cfRule>
  </conditionalFormatting>
  <conditionalFormatting sqref="J4:J15 J2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{C5B519CC-3CF6-462B-8FFC-4834C9BFF786}</x14:id>
        </ext>
      </extLst>
    </cfRule>
  </conditionalFormatting>
  <conditionalFormatting sqref="J4:J15 J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H17:H18" xr:uid="{FBD6423F-19A2-4C3B-8AE7-B610784533EE}">
      <formula1>$M$21:$V$21</formula1>
    </dataValidation>
  </dataValidations>
  <pageMargins left="0.25" right="0.25" top="0.75" bottom="0.75" header="0.3" footer="0.3"/>
  <pageSetup paperSize="9" scale="79" orientation="landscape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11" r:id="rId4" name="Drop Down 3">
              <controlPr defaultSize="0" autoLine="0" autoPict="0">
                <anchor moveWithCells="1">
                  <from>
                    <xdr:col>3</xdr:col>
                    <xdr:colOff>1752600</xdr:colOff>
                    <xdr:row>1</xdr:row>
                    <xdr:rowOff>175260</xdr:rowOff>
                  </from>
                  <to>
                    <xdr:col>5</xdr:col>
                    <xdr:colOff>0</xdr:colOff>
                    <xdr:row>2</xdr:row>
                    <xdr:rowOff>182880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A0C91D-693A-492A-94AC-22D6FC02F0E4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8EC6"/>
              <x14:negativeBorderColor rgb="FF638EC6"/>
            </x14:dataBar>
          </x14:cfRule>
          <xm:sqref>B3:B14</xm:sqref>
        </x14:conditionalFormatting>
        <x14:conditionalFormatting xmlns:xm="http://schemas.microsoft.com/office/excel/2006/main">
          <x14:cfRule type="dataBar" id="{473E4E9E-E153-4AA6-A97D-0EBA2109DA16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B3:B14</xm:sqref>
        </x14:conditionalFormatting>
        <x14:conditionalFormatting xmlns:xm="http://schemas.microsoft.com/office/excel/2006/main">
          <x14:cfRule type="dataBar" id="{E1B41233-E6D8-4821-8D12-0800DEBEB838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J4:J15</xm:sqref>
        </x14:conditionalFormatting>
        <x14:conditionalFormatting xmlns:xm="http://schemas.microsoft.com/office/excel/2006/main">
          <x14:cfRule type="dataBar" id="{F4B8B685-1F25-41ED-84C6-6AF0D8978230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008AEF"/>
              <x14:negativeBorderColor rgb="FF638EC6"/>
            </x14:dataBar>
          </x14:cfRule>
          <xm:sqref>G4:G15</xm:sqref>
        </x14:conditionalFormatting>
        <x14:conditionalFormatting xmlns:xm="http://schemas.microsoft.com/office/excel/2006/main">
          <x14:cfRule type="dataBar" id="{6C2606D4-71E6-490D-899F-3847B9EC56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I4:I15</xm:sqref>
        </x14:conditionalFormatting>
        <x14:conditionalFormatting xmlns:xm="http://schemas.microsoft.com/office/excel/2006/main">
          <x14:cfRule type="dataBar" id="{C5B519CC-3CF6-462B-8FFC-4834C9BFF786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FF555A"/>
              <x14:negativeBorderColor rgb="FF638EC6"/>
            </x14:dataBar>
          </x14:cfRule>
          <xm:sqref>J4:J15 J2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BB901-E4BD-47EE-94DD-173F3E2EAB51}">
  <dimension ref="A1:G44"/>
  <sheetViews>
    <sheetView showGridLines="0" workbookViewId="0">
      <selection activeCell="F3" sqref="F3:F8"/>
    </sheetView>
  </sheetViews>
  <sheetFormatPr defaultRowHeight="14.4" x14ac:dyDescent="0.3"/>
  <cols>
    <col min="1" max="1" width="27.88671875" bestFit="1" customWidth="1"/>
    <col min="2" max="2" width="10.6640625" bestFit="1" customWidth="1"/>
    <col min="3" max="3" width="11.33203125" bestFit="1" customWidth="1"/>
    <col min="4" max="4" width="16.5546875" bestFit="1" customWidth="1"/>
    <col min="5" max="5" width="10.6640625" bestFit="1" customWidth="1"/>
    <col min="6" max="6" width="18.33203125" bestFit="1" customWidth="1"/>
    <col min="7" max="7" width="17" bestFit="1" customWidth="1"/>
  </cols>
  <sheetData>
    <row r="1" spans="1:7" x14ac:dyDescent="0.3">
      <c r="A1" s="8"/>
      <c r="B1" s="577" t="s">
        <v>51</v>
      </c>
      <c r="C1" s="578"/>
      <c r="D1" s="578"/>
      <c r="E1" s="578"/>
      <c r="F1" s="578"/>
      <c r="G1" s="578"/>
    </row>
    <row r="2" spans="1:7" x14ac:dyDescent="0.3">
      <c r="A2" s="9"/>
      <c r="B2" s="3" t="s">
        <v>52</v>
      </c>
      <c r="C2" s="3" t="s">
        <v>53</v>
      </c>
      <c r="D2" s="3" t="s">
        <v>54</v>
      </c>
      <c r="E2" s="3" t="s">
        <v>55</v>
      </c>
      <c r="F2" s="3" t="s">
        <v>396</v>
      </c>
      <c r="G2" s="3" t="s">
        <v>56</v>
      </c>
    </row>
    <row r="3" spans="1:7" x14ac:dyDescent="0.3">
      <c r="A3" s="10" t="s">
        <v>57</v>
      </c>
      <c r="B3" s="4">
        <v>7.0000000000000007E-2</v>
      </c>
      <c r="C3" s="4">
        <v>0.18</v>
      </c>
      <c r="D3" s="6">
        <v>0.12</v>
      </c>
      <c r="E3" s="7">
        <f>(100%-D3)</f>
        <v>0.88</v>
      </c>
      <c r="F3" s="521">
        <v>1</v>
      </c>
      <c r="G3" s="521">
        <f>(E3*E4*E5*E6*E7*E8)*F3</f>
        <v>0.79925727974399996</v>
      </c>
    </row>
    <row r="4" spans="1:7" x14ac:dyDescent="0.3">
      <c r="A4" s="10" t="s">
        <v>58</v>
      </c>
      <c r="B4" s="4">
        <v>0.01</v>
      </c>
      <c r="C4" s="4">
        <v>0.02</v>
      </c>
      <c r="D4" s="6">
        <v>1.4999999999999999E-2</v>
      </c>
      <c r="E4" s="7">
        <f t="shared" ref="E4:E8" si="0">(100%-D4)</f>
        <v>0.98499999999999999</v>
      </c>
      <c r="F4" s="522"/>
      <c r="G4" s="522"/>
    </row>
    <row r="5" spans="1:7" x14ac:dyDescent="0.3">
      <c r="A5" s="10" t="s">
        <v>59</v>
      </c>
      <c r="B5" s="4">
        <v>0.01</v>
      </c>
      <c r="C5" s="4">
        <v>0.08</v>
      </c>
      <c r="D5" s="6">
        <v>0.02</v>
      </c>
      <c r="E5" s="7">
        <f t="shared" si="0"/>
        <v>0.98</v>
      </c>
      <c r="F5" s="522"/>
      <c r="G5" s="522"/>
    </row>
    <row r="6" spans="1:7" x14ac:dyDescent="0.3">
      <c r="A6" s="10" t="s">
        <v>60</v>
      </c>
      <c r="B6" s="5">
        <v>5.0000000000000001E-3</v>
      </c>
      <c r="C6" s="4">
        <v>0.01</v>
      </c>
      <c r="D6" s="6">
        <v>0.01</v>
      </c>
      <c r="E6" s="7">
        <f t="shared" si="0"/>
        <v>0.99</v>
      </c>
      <c r="F6" s="522"/>
      <c r="G6" s="522"/>
    </row>
    <row r="7" spans="1:7" x14ac:dyDescent="0.3">
      <c r="A7" s="10" t="s">
        <v>61</v>
      </c>
      <c r="B7" s="5">
        <v>5.0000000000000001E-3</v>
      </c>
      <c r="C7" s="4">
        <v>0.01</v>
      </c>
      <c r="D7" s="6">
        <v>0.01</v>
      </c>
      <c r="E7" s="7">
        <f t="shared" si="0"/>
        <v>0.99</v>
      </c>
      <c r="F7" s="522"/>
      <c r="G7" s="522"/>
    </row>
    <row r="8" spans="1:7" x14ac:dyDescent="0.3">
      <c r="A8" s="10" t="s">
        <v>62</v>
      </c>
      <c r="B8" s="5">
        <v>2.5000000000000001E-2</v>
      </c>
      <c r="C8" s="4">
        <v>0.05</v>
      </c>
      <c r="D8" s="6">
        <v>0.04</v>
      </c>
      <c r="E8" s="7">
        <f t="shared" si="0"/>
        <v>0.96</v>
      </c>
      <c r="F8" s="543"/>
      <c r="G8" s="543"/>
    </row>
    <row r="10" spans="1:7" x14ac:dyDescent="0.3">
      <c r="B10" s="577" t="s">
        <v>51</v>
      </c>
      <c r="C10" s="578"/>
      <c r="D10" s="578"/>
      <c r="E10" s="578"/>
      <c r="F10" s="578"/>
      <c r="G10" s="578"/>
    </row>
    <row r="11" spans="1:7" x14ac:dyDescent="0.3">
      <c r="B11" s="3" t="s">
        <v>52</v>
      </c>
      <c r="C11" s="3" t="s">
        <v>53</v>
      </c>
      <c r="D11" s="3" t="s">
        <v>54</v>
      </c>
      <c r="E11" s="3" t="s">
        <v>55</v>
      </c>
      <c r="F11" s="3" t="s">
        <v>396</v>
      </c>
      <c r="G11" s="3" t="s">
        <v>56</v>
      </c>
    </row>
    <row r="12" spans="1:7" x14ac:dyDescent="0.3">
      <c r="A12" s="10" t="s">
        <v>57</v>
      </c>
      <c r="B12" s="4">
        <v>7.0000000000000007E-2</v>
      </c>
      <c r="C12" s="4">
        <v>0.18</v>
      </c>
      <c r="D12" s="6">
        <v>0.12</v>
      </c>
      <c r="E12" s="7">
        <f>(100%-D12)</f>
        <v>0.88</v>
      </c>
      <c r="F12" s="521">
        <v>1</v>
      </c>
      <c r="G12" s="521">
        <f>(E12*E13*E14*E15*E16*E17)*F12</f>
        <v>0.79925727974399996</v>
      </c>
    </row>
    <row r="13" spans="1:7" x14ac:dyDescent="0.3">
      <c r="A13" s="10" t="s">
        <v>58</v>
      </c>
      <c r="B13" s="4">
        <v>0.01</v>
      </c>
      <c r="C13" s="4">
        <v>0.02</v>
      </c>
      <c r="D13" s="6">
        <v>1.4999999999999999E-2</v>
      </c>
      <c r="E13" s="7">
        <f t="shared" ref="E13" si="1">(100%-D13)</f>
        <v>0.98499999999999999</v>
      </c>
      <c r="F13" s="522"/>
      <c r="G13" s="522"/>
    </row>
    <row r="14" spans="1:7" x14ac:dyDescent="0.3">
      <c r="A14" s="10" t="s">
        <v>59</v>
      </c>
      <c r="B14" s="4">
        <v>0.01</v>
      </c>
      <c r="C14" s="4">
        <v>0.08</v>
      </c>
      <c r="D14" s="6">
        <v>0.02</v>
      </c>
      <c r="E14" s="7">
        <f t="shared" ref="E14" si="2">(100%-D14)</f>
        <v>0.98</v>
      </c>
      <c r="F14" s="522"/>
      <c r="G14" s="522"/>
    </row>
    <row r="15" spans="1:7" x14ac:dyDescent="0.3">
      <c r="A15" s="10" t="s">
        <v>60</v>
      </c>
      <c r="B15" s="5">
        <v>5.0000000000000001E-3</v>
      </c>
      <c r="C15" s="4">
        <v>0.01</v>
      </c>
      <c r="D15" s="6">
        <v>0.01</v>
      </c>
      <c r="E15" s="7">
        <f t="shared" ref="E15" si="3">(100%-D15)</f>
        <v>0.99</v>
      </c>
      <c r="F15" s="522"/>
      <c r="G15" s="522"/>
    </row>
    <row r="16" spans="1:7" x14ac:dyDescent="0.3">
      <c r="A16" s="10" t="s">
        <v>61</v>
      </c>
      <c r="B16" s="5">
        <v>5.0000000000000001E-3</v>
      </c>
      <c r="C16" s="4">
        <v>0.01</v>
      </c>
      <c r="D16" s="6">
        <v>0.01</v>
      </c>
      <c r="E16" s="7">
        <f t="shared" ref="E16" si="4">(100%-D16)</f>
        <v>0.99</v>
      </c>
      <c r="F16" s="522"/>
      <c r="G16" s="522"/>
    </row>
    <row r="17" spans="1:7" x14ac:dyDescent="0.3">
      <c r="A17" s="10" t="s">
        <v>62</v>
      </c>
      <c r="B17" s="5">
        <v>2.5000000000000001E-2</v>
      </c>
      <c r="C17" s="4">
        <v>0.05</v>
      </c>
      <c r="D17" s="6">
        <v>0.04</v>
      </c>
      <c r="E17" s="7">
        <f t="shared" ref="E17" si="5">(100%-D17)</f>
        <v>0.96</v>
      </c>
      <c r="F17" s="543"/>
      <c r="G17" s="543"/>
    </row>
    <row r="19" spans="1:7" x14ac:dyDescent="0.3">
      <c r="B19" s="577" t="s">
        <v>51</v>
      </c>
      <c r="C19" s="578"/>
      <c r="D19" s="578"/>
      <c r="E19" s="578"/>
      <c r="F19" s="578"/>
      <c r="G19" s="578"/>
    </row>
    <row r="20" spans="1:7" x14ac:dyDescent="0.3">
      <c r="B20" s="3" t="s">
        <v>52</v>
      </c>
      <c r="C20" s="3" t="s">
        <v>53</v>
      </c>
      <c r="D20" s="3" t="s">
        <v>54</v>
      </c>
      <c r="E20" s="3" t="s">
        <v>55</v>
      </c>
      <c r="F20" s="3" t="s">
        <v>396</v>
      </c>
      <c r="G20" s="3" t="s">
        <v>56</v>
      </c>
    </row>
    <row r="21" spans="1:7" x14ac:dyDescent="0.3">
      <c r="A21" s="10" t="s">
        <v>57</v>
      </c>
      <c r="B21" s="4">
        <v>7.0000000000000007E-2</v>
      </c>
      <c r="C21" s="4">
        <v>0.18</v>
      </c>
      <c r="D21" s="6">
        <v>0.12</v>
      </c>
      <c r="E21" s="7">
        <f>(100%-D21)</f>
        <v>0.88</v>
      </c>
      <c r="F21" s="521">
        <v>1</v>
      </c>
      <c r="G21" s="521">
        <f>(E21*E22*E23*E24*E25*E26)*F21</f>
        <v>0.79925727974399996</v>
      </c>
    </row>
    <row r="22" spans="1:7" x14ac:dyDescent="0.3">
      <c r="A22" s="10" t="s">
        <v>58</v>
      </c>
      <c r="B22" s="4">
        <v>0.01</v>
      </c>
      <c r="C22" s="4">
        <v>0.02</v>
      </c>
      <c r="D22" s="6">
        <v>1.4999999999999999E-2</v>
      </c>
      <c r="E22" s="7">
        <f t="shared" ref="E22" si="6">(100%-D22)</f>
        <v>0.98499999999999999</v>
      </c>
      <c r="F22" s="522"/>
      <c r="G22" s="522"/>
    </row>
    <row r="23" spans="1:7" x14ac:dyDescent="0.3">
      <c r="A23" s="10" t="s">
        <v>59</v>
      </c>
      <c r="B23" s="4">
        <v>0.01</v>
      </c>
      <c r="C23" s="4">
        <v>0.08</v>
      </c>
      <c r="D23" s="6">
        <v>0.02</v>
      </c>
      <c r="E23" s="7">
        <f t="shared" ref="E23" si="7">(100%-D23)</f>
        <v>0.98</v>
      </c>
      <c r="F23" s="522"/>
      <c r="G23" s="522"/>
    </row>
    <row r="24" spans="1:7" x14ac:dyDescent="0.3">
      <c r="A24" s="10" t="s">
        <v>60</v>
      </c>
      <c r="B24" s="5">
        <v>5.0000000000000001E-3</v>
      </c>
      <c r="C24" s="4">
        <v>0.01</v>
      </c>
      <c r="D24" s="6">
        <v>0.01</v>
      </c>
      <c r="E24" s="7">
        <f t="shared" ref="E24" si="8">(100%-D24)</f>
        <v>0.99</v>
      </c>
      <c r="F24" s="522"/>
      <c r="G24" s="522"/>
    </row>
    <row r="25" spans="1:7" x14ac:dyDescent="0.3">
      <c r="A25" s="10" t="s">
        <v>61</v>
      </c>
      <c r="B25" s="5">
        <v>5.0000000000000001E-3</v>
      </c>
      <c r="C25" s="4">
        <v>0.01</v>
      </c>
      <c r="D25" s="6">
        <v>0.01</v>
      </c>
      <c r="E25" s="7">
        <f t="shared" ref="E25" si="9">(100%-D25)</f>
        <v>0.99</v>
      </c>
      <c r="F25" s="522"/>
      <c r="G25" s="522"/>
    </row>
    <row r="26" spans="1:7" x14ac:dyDescent="0.3">
      <c r="A26" s="10" t="s">
        <v>62</v>
      </c>
      <c r="B26" s="5">
        <v>2.5000000000000001E-2</v>
      </c>
      <c r="C26" s="4">
        <v>0.05</v>
      </c>
      <c r="D26" s="6">
        <v>0.04</v>
      </c>
      <c r="E26" s="7">
        <f t="shared" ref="E26" si="10">(100%-D26)</f>
        <v>0.96</v>
      </c>
      <c r="F26" s="543"/>
      <c r="G26" s="543"/>
    </row>
    <row r="28" spans="1:7" x14ac:dyDescent="0.3">
      <c r="B28" s="577" t="s">
        <v>51</v>
      </c>
      <c r="C28" s="578"/>
      <c r="D28" s="578"/>
      <c r="E28" s="578"/>
      <c r="F28" s="578"/>
      <c r="G28" s="578"/>
    </row>
    <row r="29" spans="1:7" x14ac:dyDescent="0.3">
      <c r="B29" s="3" t="s">
        <v>52</v>
      </c>
      <c r="C29" s="3" t="s">
        <v>53</v>
      </c>
      <c r="D29" s="3" t="s">
        <v>54</v>
      </c>
      <c r="E29" s="3" t="s">
        <v>55</v>
      </c>
      <c r="F29" s="3" t="s">
        <v>396</v>
      </c>
      <c r="G29" s="3" t="s">
        <v>56</v>
      </c>
    </row>
    <row r="30" spans="1:7" x14ac:dyDescent="0.3">
      <c r="A30" s="10" t="s">
        <v>57</v>
      </c>
      <c r="B30" s="4">
        <v>7.0000000000000007E-2</v>
      </c>
      <c r="C30" s="4">
        <v>0.18</v>
      </c>
      <c r="D30" s="6">
        <v>0.12</v>
      </c>
      <c r="E30" s="7">
        <f>(100%-D30)</f>
        <v>0.88</v>
      </c>
      <c r="F30" s="521">
        <v>1</v>
      </c>
      <c r="G30" s="521">
        <f>(E30*E31*E32*E33*E34*E35)*F30</f>
        <v>0.79925727974399996</v>
      </c>
    </row>
    <row r="31" spans="1:7" x14ac:dyDescent="0.3">
      <c r="A31" s="10" t="s">
        <v>58</v>
      </c>
      <c r="B31" s="4">
        <v>0.01</v>
      </c>
      <c r="C31" s="4">
        <v>0.02</v>
      </c>
      <c r="D31" s="6">
        <v>1.4999999999999999E-2</v>
      </c>
      <c r="E31" s="7">
        <f t="shared" ref="E31:E35" si="11">(100%-D31)</f>
        <v>0.98499999999999999</v>
      </c>
      <c r="F31" s="522"/>
      <c r="G31" s="522"/>
    </row>
    <row r="32" spans="1:7" x14ac:dyDescent="0.3">
      <c r="A32" s="10" t="s">
        <v>59</v>
      </c>
      <c r="B32" s="4">
        <v>0.01</v>
      </c>
      <c r="C32" s="4">
        <v>0.08</v>
      </c>
      <c r="D32" s="6">
        <v>0.02</v>
      </c>
      <c r="E32" s="7">
        <f t="shared" si="11"/>
        <v>0.98</v>
      </c>
      <c r="F32" s="522"/>
      <c r="G32" s="522"/>
    </row>
    <row r="33" spans="1:7" x14ac:dyDescent="0.3">
      <c r="A33" s="10" t="s">
        <v>60</v>
      </c>
      <c r="B33" s="5">
        <v>5.0000000000000001E-3</v>
      </c>
      <c r="C33" s="4">
        <v>0.01</v>
      </c>
      <c r="D33" s="6">
        <v>0.01</v>
      </c>
      <c r="E33" s="7">
        <f t="shared" si="11"/>
        <v>0.99</v>
      </c>
      <c r="F33" s="522"/>
      <c r="G33" s="522"/>
    </row>
    <row r="34" spans="1:7" x14ac:dyDescent="0.3">
      <c r="A34" s="10" t="s">
        <v>61</v>
      </c>
      <c r="B34" s="5">
        <v>5.0000000000000001E-3</v>
      </c>
      <c r="C34" s="4">
        <v>0.01</v>
      </c>
      <c r="D34" s="6">
        <v>0.01</v>
      </c>
      <c r="E34" s="7">
        <f t="shared" si="11"/>
        <v>0.99</v>
      </c>
      <c r="F34" s="522"/>
      <c r="G34" s="522"/>
    </row>
    <row r="35" spans="1:7" x14ac:dyDescent="0.3">
      <c r="A35" s="10" t="s">
        <v>62</v>
      </c>
      <c r="B35" s="5">
        <v>2.5000000000000001E-2</v>
      </c>
      <c r="C35" s="4">
        <v>0.05</v>
      </c>
      <c r="D35" s="6">
        <v>0.04</v>
      </c>
      <c r="E35" s="7">
        <f t="shared" si="11"/>
        <v>0.96</v>
      </c>
      <c r="F35" s="543"/>
      <c r="G35" s="543"/>
    </row>
    <row r="37" spans="1:7" x14ac:dyDescent="0.3">
      <c r="B37" s="577" t="s">
        <v>51</v>
      </c>
      <c r="C37" s="578"/>
      <c r="D37" s="578"/>
      <c r="E37" s="578"/>
      <c r="F37" s="578"/>
      <c r="G37" s="578"/>
    </row>
    <row r="38" spans="1:7" x14ac:dyDescent="0.3">
      <c r="B38" s="3" t="s">
        <v>52</v>
      </c>
      <c r="C38" s="3" t="s">
        <v>53</v>
      </c>
      <c r="D38" s="3" t="s">
        <v>54</v>
      </c>
      <c r="E38" s="3" t="s">
        <v>55</v>
      </c>
      <c r="F38" s="3" t="s">
        <v>396</v>
      </c>
      <c r="G38" s="3" t="s">
        <v>56</v>
      </c>
    </row>
    <row r="39" spans="1:7" x14ac:dyDescent="0.3">
      <c r="A39" s="10" t="s">
        <v>57</v>
      </c>
      <c r="B39" s="4">
        <v>7.0000000000000007E-2</v>
      </c>
      <c r="C39" s="4">
        <v>0.18</v>
      </c>
      <c r="D39" s="6">
        <v>0.12</v>
      </c>
      <c r="E39" s="7">
        <f>(100%-D39)</f>
        <v>0.88</v>
      </c>
      <c r="F39" s="521">
        <v>1</v>
      </c>
      <c r="G39" s="521">
        <f>(E39*E40*E41*E42*E43*E44)/F39</f>
        <v>0.79925727974399996</v>
      </c>
    </row>
    <row r="40" spans="1:7" x14ac:dyDescent="0.3">
      <c r="A40" s="10" t="s">
        <v>58</v>
      </c>
      <c r="B40" s="4">
        <v>0.01</v>
      </c>
      <c r="C40" s="4">
        <v>0.02</v>
      </c>
      <c r="D40" s="6">
        <v>1.4999999999999999E-2</v>
      </c>
      <c r="E40" s="7">
        <f t="shared" ref="E40:E44" si="12">(100%-D40)</f>
        <v>0.98499999999999999</v>
      </c>
      <c r="F40" s="522"/>
      <c r="G40" s="522"/>
    </row>
    <row r="41" spans="1:7" x14ac:dyDescent="0.3">
      <c r="A41" s="10" t="s">
        <v>59</v>
      </c>
      <c r="B41" s="4">
        <v>0.01</v>
      </c>
      <c r="C41" s="4">
        <v>0.08</v>
      </c>
      <c r="D41" s="6">
        <v>0.02</v>
      </c>
      <c r="E41" s="7">
        <f t="shared" si="12"/>
        <v>0.98</v>
      </c>
      <c r="F41" s="522"/>
      <c r="G41" s="522"/>
    </row>
    <row r="42" spans="1:7" x14ac:dyDescent="0.3">
      <c r="A42" s="10" t="s">
        <v>60</v>
      </c>
      <c r="B42" s="5">
        <v>5.0000000000000001E-3</v>
      </c>
      <c r="C42" s="4">
        <v>0.01</v>
      </c>
      <c r="D42" s="6">
        <v>0.01</v>
      </c>
      <c r="E42" s="7">
        <f t="shared" si="12"/>
        <v>0.99</v>
      </c>
      <c r="F42" s="522"/>
      <c r="G42" s="522"/>
    </row>
    <row r="43" spans="1:7" x14ac:dyDescent="0.3">
      <c r="A43" s="10" t="s">
        <v>61</v>
      </c>
      <c r="B43" s="5">
        <v>5.0000000000000001E-3</v>
      </c>
      <c r="C43" s="4">
        <v>0.01</v>
      </c>
      <c r="D43" s="6">
        <v>0.01</v>
      </c>
      <c r="E43" s="7">
        <f t="shared" si="12"/>
        <v>0.99</v>
      </c>
      <c r="F43" s="522"/>
      <c r="G43" s="522"/>
    </row>
    <row r="44" spans="1:7" x14ac:dyDescent="0.3">
      <c r="A44" s="10" t="s">
        <v>62</v>
      </c>
      <c r="B44" s="5">
        <v>2.5000000000000001E-2</v>
      </c>
      <c r="C44" s="4">
        <v>0.05</v>
      </c>
      <c r="D44" s="6">
        <v>0.04</v>
      </c>
      <c r="E44" s="7">
        <f t="shared" si="12"/>
        <v>0.96</v>
      </c>
      <c r="F44" s="543"/>
      <c r="G44" s="543"/>
    </row>
  </sheetData>
  <mergeCells count="15">
    <mergeCell ref="B1:G1"/>
    <mergeCell ref="F3:F8"/>
    <mergeCell ref="G12:G17"/>
    <mergeCell ref="G21:G26"/>
    <mergeCell ref="G30:G35"/>
    <mergeCell ref="G3:G8"/>
    <mergeCell ref="G39:G44"/>
    <mergeCell ref="B37:G37"/>
    <mergeCell ref="B28:G28"/>
    <mergeCell ref="B19:G19"/>
    <mergeCell ref="B10:G10"/>
    <mergeCell ref="F30:F35"/>
    <mergeCell ref="F39:F44"/>
    <mergeCell ref="F21:F26"/>
    <mergeCell ref="F12:F17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8E38-4E4E-4A99-AA28-AE01DC53C3BE}">
  <dimension ref="A1:M85"/>
  <sheetViews>
    <sheetView showGridLines="0" workbookViewId="0">
      <selection activeCell="B10" sqref="B10:I16"/>
    </sheetView>
  </sheetViews>
  <sheetFormatPr defaultRowHeight="14.4" x14ac:dyDescent="0.3"/>
  <cols>
    <col min="1" max="1" width="23.44140625" bestFit="1" customWidth="1"/>
    <col min="2" max="2" width="46.6640625" bestFit="1" customWidth="1"/>
    <col min="3" max="3" width="20.44140625" customWidth="1"/>
    <col min="4" max="4" width="25.6640625" bestFit="1" customWidth="1"/>
    <col min="5" max="5" width="19.88671875" bestFit="1" customWidth="1"/>
    <col min="6" max="7" width="15.44140625" bestFit="1" customWidth="1"/>
    <col min="8" max="8" width="15.33203125" bestFit="1" customWidth="1"/>
    <col min="9" max="9" width="15.44140625" bestFit="1" customWidth="1"/>
    <col min="12" max="12" width="14" bestFit="1" customWidth="1"/>
    <col min="13" max="13" width="12.88671875" bestFit="1" customWidth="1"/>
  </cols>
  <sheetData>
    <row r="1" spans="1:13" ht="21" x14ac:dyDescent="0.3">
      <c r="A1" s="582" t="s">
        <v>63</v>
      </c>
      <c r="B1" s="582"/>
      <c r="C1" s="582"/>
      <c r="D1" s="582"/>
      <c r="E1" s="582"/>
      <c r="F1">
        <v>2</v>
      </c>
    </row>
    <row r="2" spans="1:13" ht="21" x14ac:dyDescent="0.3">
      <c r="A2" s="233"/>
      <c r="B2" s="583" t="s">
        <v>64</v>
      </c>
      <c r="C2" s="583"/>
      <c r="D2" s="583"/>
      <c r="E2" s="583"/>
      <c r="F2" s="583"/>
    </row>
    <row r="3" spans="1:13" ht="15" thickBot="1" x14ac:dyDescent="0.35">
      <c r="A3" s="2" t="s">
        <v>8</v>
      </c>
      <c r="B3" s="206" t="s">
        <v>65</v>
      </c>
      <c r="C3" s="206" t="s">
        <v>13</v>
      </c>
      <c r="D3" s="207" t="s">
        <v>66</v>
      </c>
      <c r="E3" s="207" t="s">
        <v>67</v>
      </c>
      <c r="F3" s="206" t="s">
        <v>68</v>
      </c>
    </row>
    <row r="4" spans="1:13" x14ac:dyDescent="0.3">
      <c r="A4" s="544">
        <f>'PLANINHA CENTRAL'!I4</f>
        <v>12.646511915196825</v>
      </c>
      <c r="B4" s="205" t="s">
        <v>69</v>
      </c>
      <c r="C4" s="208">
        <v>193</v>
      </c>
      <c r="D4" s="341">
        <v>455</v>
      </c>
      <c r="E4" s="198">
        <f>G11</f>
        <v>27.794531681751263</v>
      </c>
      <c r="F4" s="209">
        <f>E4*C4</f>
        <v>5364.3446145779935</v>
      </c>
    </row>
    <row r="5" spans="1:13" x14ac:dyDescent="0.3">
      <c r="A5" s="545"/>
      <c r="B5" s="204" t="s">
        <v>70</v>
      </c>
      <c r="C5" s="208">
        <v>193</v>
      </c>
      <c r="D5" s="345">
        <v>545</v>
      </c>
      <c r="E5" s="198">
        <f t="shared" ref="E5:E9" si="0">G12</f>
        <v>23.204609018709771</v>
      </c>
      <c r="F5" s="209">
        <f t="shared" ref="F5:F9" si="1">E5*C5</f>
        <v>4478.4895406109854</v>
      </c>
    </row>
    <row r="6" spans="1:13" x14ac:dyDescent="0.3">
      <c r="A6" s="545"/>
      <c r="B6" s="204" t="s">
        <v>71</v>
      </c>
      <c r="C6" s="208">
        <v>193</v>
      </c>
      <c r="D6" s="345">
        <v>550</v>
      </c>
      <c r="E6" s="198">
        <f t="shared" si="0"/>
        <v>22.993658027630591</v>
      </c>
      <c r="F6" s="209">
        <f t="shared" si="1"/>
        <v>4437.7759993327045</v>
      </c>
    </row>
    <row r="7" spans="1:13" x14ac:dyDescent="0.3">
      <c r="A7" s="545"/>
      <c r="B7" s="204" t="s">
        <v>72</v>
      </c>
      <c r="C7" s="208">
        <v>195</v>
      </c>
      <c r="D7" s="345">
        <v>590</v>
      </c>
      <c r="E7" s="198">
        <f t="shared" si="0"/>
        <v>22.786507955309595</v>
      </c>
      <c r="F7" s="209">
        <f t="shared" si="1"/>
        <v>4443.3690512853709</v>
      </c>
    </row>
    <row r="8" spans="1:13" x14ac:dyDescent="0.3">
      <c r="A8" s="545"/>
      <c r="B8" s="204" t="s">
        <v>73</v>
      </c>
      <c r="C8" s="208">
        <v>196</v>
      </c>
      <c r="D8" s="345">
        <v>609</v>
      </c>
      <c r="E8" s="198">
        <f t="shared" si="0"/>
        <v>21.434765957960721</v>
      </c>
      <c r="F8" s="209">
        <f t="shared" si="1"/>
        <v>4201.2141277603014</v>
      </c>
    </row>
    <row r="9" spans="1:13" ht="15" thickBot="1" x14ac:dyDescent="0.35">
      <c r="A9" s="545"/>
      <c r="B9" s="204" t="s">
        <v>74</v>
      </c>
      <c r="C9" s="208">
        <v>197</v>
      </c>
      <c r="D9" s="345">
        <v>690</v>
      </c>
      <c r="E9" s="198">
        <f t="shared" si="0"/>
        <v>18.328278137966414</v>
      </c>
      <c r="F9" s="209">
        <f t="shared" si="1"/>
        <v>3610.6707931793835</v>
      </c>
    </row>
    <row r="10" spans="1:13" ht="16.2" thickBot="1" x14ac:dyDescent="0.35">
      <c r="A10" s="560"/>
      <c r="B10" s="338" t="s">
        <v>75</v>
      </c>
      <c r="C10" s="339" t="s">
        <v>76</v>
      </c>
      <c r="D10" s="339" t="s">
        <v>77</v>
      </c>
      <c r="E10" s="339" t="s">
        <v>78</v>
      </c>
      <c r="F10" s="340" t="s">
        <v>79</v>
      </c>
      <c r="G10" s="201" t="s">
        <v>9</v>
      </c>
      <c r="H10" s="202" t="s">
        <v>17</v>
      </c>
      <c r="I10" s="203" t="s">
        <v>80</v>
      </c>
    </row>
    <row r="11" spans="1:13" x14ac:dyDescent="0.3">
      <c r="A11" s="560"/>
      <c r="B11" s="341">
        <v>455</v>
      </c>
      <c r="C11" s="342">
        <v>975</v>
      </c>
      <c r="D11" s="343">
        <v>2.1680000000000001</v>
      </c>
      <c r="E11" s="343">
        <v>0.996</v>
      </c>
      <c r="F11" s="344">
        <f>D11*E11</f>
        <v>2.1593280000000004</v>
      </c>
      <c r="G11" s="336">
        <f>(($A$4*1000)/B11)</f>
        <v>27.794531681751263</v>
      </c>
      <c r="H11" s="199">
        <f>(G11*F11+((0.05*4)*F11))+((F11*G11*10)/100)</f>
        <v>66.451127158021862</v>
      </c>
      <c r="I11" s="200">
        <f>G11*C11</f>
        <v>27099.66838970748</v>
      </c>
      <c r="L11" s="136"/>
      <c r="M11" s="136"/>
    </row>
    <row r="12" spans="1:13" x14ac:dyDescent="0.3">
      <c r="A12" s="560"/>
      <c r="B12" s="345">
        <v>545</v>
      </c>
      <c r="C12" s="194">
        <v>1152</v>
      </c>
      <c r="D12" s="195">
        <v>2.254</v>
      </c>
      <c r="E12" s="195">
        <v>1.135</v>
      </c>
      <c r="F12" s="197">
        <f>D12*E12</f>
        <v>2.55829</v>
      </c>
      <c r="G12" s="337">
        <f t="shared" ref="G12:G16" si="2">(($A$4*1000)/B12)</f>
        <v>23.204609018709771</v>
      </c>
      <c r="H12" s="199">
        <f t="shared" ref="H12:H16" si="3">(G12*F12+((0.05*4)*F12))+((F12*G12*10)/100)</f>
        <v>65.812189127122522</v>
      </c>
      <c r="I12" s="196">
        <f t="shared" ref="I12:I16" si="4">G12*C12</f>
        <v>26731.709589553655</v>
      </c>
      <c r="L12" s="136"/>
    </row>
    <row r="13" spans="1:13" x14ac:dyDescent="0.3">
      <c r="A13" s="560"/>
      <c r="B13" s="345">
        <v>550</v>
      </c>
      <c r="C13" s="194">
        <v>1180</v>
      </c>
      <c r="D13" s="195">
        <v>2.1720000000000002</v>
      </c>
      <c r="E13" s="195">
        <v>1.3029999999999999</v>
      </c>
      <c r="F13" s="197">
        <f t="shared" ref="F13:F14" si="5">D13*E13</f>
        <v>2.8301159999999999</v>
      </c>
      <c r="G13" s="337">
        <f t="shared" si="2"/>
        <v>22.993658027630591</v>
      </c>
      <c r="H13" s="199">
        <f t="shared" si="3"/>
        <v>72.148214630778355</v>
      </c>
      <c r="I13" s="196">
        <f t="shared" si="4"/>
        <v>27132.516472604097</v>
      </c>
    </row>
    <row r="14" spans="1:13" x14ac:dyDescent="0.3">
      <c r="A14" s="560"/>
      <c r="B14" s="345">
        <v>555</v>
      </c>
      <c r="C14" s="194">
        <v>1125</v>
      </c>
      <c r="D14" s="195">
        <v>2.1720000000000002</v>
      </c>
      <c r="E14" s="195">
        <v>1.3029999999999999</v>
      </c>
      <c r="F14" s="197">
        <f t="shared" si="5"/>
        <v>2.8301159999999999</v>
      </c>
      <c r="G14" s="337">
        <f t="shared" si="2"/>
        <v>22.786507955309595</v>
      </c>
      <c r="H14" s="199">
        <f t="shared" si="3"/>
        <v>71.50333002329387</v>
      </c>
      <c r="I14" s="196">
        <f t="shared" si="4"/>
        <v>25634.821449723295</v>
      </c>
    </row>
    <row r="15" spans="1:13" x14ac:dyDescent="0.3">
      <c r="A15" s="560"/>
      <c r="B15" s="345">
        <v>590</v>
      </c>
      <c r="C15" s="194">
        <v>1400</v>
      </c>
      <c r="D15" s="195">
        <v>2.1720000000000002</v>
      </c>
      <c r="E15" s="195">
        <v>1.3029999999999999</v>
      </c>
      <c r="F15" s="197">
        <f>D15*E15</f>
        <v>2.8301159999999999</v>
      </c>
      <c r="G15" s="337">
        <f t="shared" si="2"/>
        <v>21.434765957960721</v>
      </c>
      <c r="H15" s="199">
        <f t="shared" si="3"/>
        <v>67.29518470326795</v>
      </c>
      <c r="I15" s="196">
        <f t="shared" si="4"/>
        <v>30008.672341145011</v>
      </c>
    </row>
    <row r="16" spans="1:13" x14ac:dyDescent="0.3">
      <c r="A16" s="560"/>
      <c r="B16" s="345">
        <v>690</v>
      </c>
      <c r="C16" s="194">
        <v>1935</v>
      </c>
      <c r="D16" s="195">
        <v>2.3839999999999999</v>
      </c>
      <c r="E16" s="195">
        <v>1.3029999999999999</v>
      </c>
      <c r="F16" s="197">
        <f t="shared" ref="F16" si="6">D16*E16</f>
        <v>3.1063519999999998</v>
      </c>
      <c r="G16" s="337">
        <f t="shared" si="2"/>
        <v>18.328278137966414</v>
      </c>
      <c r="H16" s="199">
        <f t="shared" si="3"/>
        <v>63.248762195471066</v>
      </c>
      <c r="I16" s="196">
        <f t="shared" si="4"/>
        <v>35465.218196965012</v>
      </c>
    </row>
    <row r="17" spans="1:9" x14ac:dyDescent="0.3">
      <c r="A17" s="579"/>
      <c r="B17" s="580"/>
      <c r="C17" s="580"/>
      <c r="D17" s="580"/>
      <c r="E17" s="581"/>
      <c r="F17" s="68"/>
      <c r="G17" s="68"/>
      <c r="H17" s="68"/>
      <c r="I17" s="68"/>
    </row>
    <row r="18" spans="1:9" ht="21" x14ac:dyDescent="0.3">
      <c r="A18" s="582" t="s">
        <v>81</v>
      </c>
      <c r="B18" s="582"/>
      <c r="C18" s="582"/>
      <c r="D18" s="582"/>
      <c r="E18" s="582"/>
      <c r="F18">
        <v>3</v>
      </c>
    </row>
    <row r="19" spans="1:9" ht="21" x14ac:dyDescent="0.3">
      <c r="A19" s="233"/>
      <c r="B19" s="583" t="s">
        <v>64</v>
      </c>
      <c r="C19" s="583"/>
      <c r="D19" s="583"/>
      <c r="E19" s="583"/>
      <c r="F19" s="583"/>
    </row>
    <row r="20" spans="1:9" ht="15" thickBot="1" x14ac:dyDescent="0.35">
      <c r="A20" s="2" t="s">
        <v>8</v>
      </c>
      <c r="B20" s="206" t="s">
        <v>65</v>
      </c>
      <c r="C20" s="206" t="s">
        <v>13</v>
      </c>
      <c r="D20" s="207" t="s">
        <v>66</v>
      </c>
      <c r="E20" s="207" t="s">
        <v>67</v>
      </c>
      <c r="F20" s="206" t="s">
        <v>68</v>
      </c>
      <c r="G20" s="353"/>
      <c r="H20" s="353"/>
      <c r="I20" s="353"/>
    </row>
    <row r="21" spans="1:9" ht="14.4" customHeight="1" x14ac:dyDescent="0.3">
      <c r="A21" s="558">
        <f>'PLANINHA CENTRAL'!I18</f>
        <v>12.646511915196825</v>
      </c>
      <c r="B21" s="205" t="s">
        <v>69</v>
      </c>
      <c r="C21" s="208">
        <v>193</v>
      </c>
      <c r="D21" s="341">
        <v>455</v>
      </c>
      <c r="E21" s="198">
        <f>G28</f>
        <v>27.794531681751263</v>
      </c>
      <c r="F21" s="209">
        <f>E21*C21</f>
        <v>5364.3446145779935</v>
      </c>
      <c r="G21" s="353"/>
      <c r="H21" s="353"/>
      <c r="I21" s="353"/>
    </row>
    <row r="22" spans="1:9" ht="14.4" customHeight="1" x14ac:dyDescent="0.3">
      <c r="A22" s="559"/>
      <c r="B22" s="204" t="s">
        <v>70</v>
      </c>
      <c r="C22" s="208">
        <v>193</v>
      </c>
      <c r="D22" s="345">
        <v>545</v>
      </c>
      <c r="E22" s="198">
        <f t="shared" ref="E22:E26" si="7">G29</f>
        <v>23.204609018709771</v>
      </c>
      <c r="F22" s="209">
        <f t="shared" ref="F22:F26" si="8">E22*C22</f>
        <v>4478.4895406109854</v>
      </c>
      <c r="G22" s="353"/>
      <c r="H22" s="353"/>
      <c r="I22" s="353"/>
    </row>
    <row r="23" spans="1:9" ht="14.4" customHeight="1" x14ac:dyDescent="0.3">
      <c r="A23" s="559"/>
      <c r="B23" s="204" t="s">
        <v>71</v>
      </c>
      <c r="C23" s="208">
        <v>193</v>
      </c>
      <c r="D23" s="345">
        <v>550</v>
      </c>
      <c r="E23" s="198">
        <f t="shared" si="7"/>
        <v>22.993658027630591</v>
      </c>
      <c r="F23" s="209">
        <f t="shared" si="8"/>
        <v>4437.7759993327045</v>
      </c>
      <c r="G23" s="353"/>
      <c r="H23" s="353"/>
      <c r="I23" s="353"/>
    </row>
    <row r="24" spans="1:9" ht="14.4" customHeight="1" x14ac:dyDescent="0.3">
      <c r="A24" s="559"/>
      <c r="B24" s="204" t="s">
        <v>72</v>
      </c>
      <c r="C24" s="208">
        <v>195</v>
      </c>
      <c r="D24" s="345">
        <v>590</v>
      </c>
      <c r="E24" s="198">
        <f t="shared" si="7"/>
        <v>21.434765957960721</v>
      </c>
      <c r="F24" s="209">
        <f t="shared" si="8"/>
        <v>4179.7793618023406</v>
      </c>
      <c r="G24" s="353"/>
      <c r="H24" s="353"/>
      <c r="I24" s="353"/>
    </row>
    <row r="25" spans="1:9" ht="14.4" customHeight="1" x14ac:dyDescent="0.3">
      <c r="A25" s="559"/>
      <c r="B25" s="204" t="s">
        <v>73</v>
      </c>
      <c r="C25" s="208">
        <v>196</v>
      </c>
      <c r="D25" s="345">
        <v>609</v>
      </c>
      <c r="E25" s="198">
        <f t="shared" si="7"/>
        <v>20.766029417400368</v>
      </c>
      <c r="F25" s="209">
        <f t="shared" si="8"/>
        <v>4070.141765810472</v>
      </c>
      <c r="G25" s="353"/>
      <c r="H25" s="353"/>
      <c r="I25" s="353"/>
    </row>
    <row r="26" spans="1:9" ht="15" thickBot="1" x14ac:dyDescent="0.35">
      <c r="A26" s="559"/>
      <c r="B26" s="204" t="s">
        <v>74</v>
      </c>
      <c r="C26" s="208">
        <v>197</v>
      </c>
      <c r="D26" s="345">
        <v>690</v>
      </c>
      <c r="E26" s="198">
        <f t="shared" si="7"/>
        <v>18.328278137966414</v>
      </c>
      <c r="F26" s="209">
        <f t="shared" si="8"/>
        <v>3610.6707931793835</v>
      </c>
      <c r="G26" s="353"/>
      <c r="H26" s="353"/>
      <c r="I26" s="353"/>
    </row>
    <row r="27" spans="1:9" ht="16.2" customHeight="1" thickBot="1" x14ac:dyDescent="0.35">
      <c r="A27" s="559"/>
      <c r="B27" s="338" t="s">
        <v>75</v>
      </c>
      <c r="C27" s="339" t="s">
        <v>76</v>
      </c>
      <c r="D27" s="339" t="s">
        <v>77</v>
      </c>
      <c r="E27" s="339" t="s">
        <v>78</v>
      </c>
      <c r="F27" s="340" t="s">
        <v>79</v>
      </c>
      <c r="G27" s="201" t="s">
        <v>9</v>
      </c>
      <c r="H27" s="202" t="s">
        <v>17</v>
      </c>
      <c r="I27" s="203" t="s">
        <v>80</v>
      </c>
    </row>
    <row r="28" spans="1:9" ht="14.4" customHeight="1" x14ac:dyDescent="0.3">
      <c r="A28" s="559"/>
      <c r="B28" s="341">
        <v>455</v>
      </c>
      <c r="C28" s="342">
        <v>1100</v>
      </c>
      <c r="D28" s="343">
        <v>2.1680000000000001</v>
      </c>
      <c r="E28" s="343">
        <v>0.996</v>
      </c>
      <c r="F28" s="344">
        <f>D28*E28</f>
        <v>2.1593280000000004</v>
      </c>
      <c r="G28" s="336">
        <f>(($A$4*1000)/B28)</f>
        <v>27.794531681751263</v>
      </c>
      <c r="H28" s="199">
        <f>(G28*F28+((0.05*4)*F28))+((F28*G28*10)/100)</f>
        <v>66.451127158021862</v>
      </c>
      <c r="I28" s="200">
        <f>G28*C28</f>
        <v>30573.98484992639</v>
      </c>
    </row>
    <row r="29" spans="1:9" ht="14.4" customHeight="1" x14ac:dyDescent="0.3">
      <c r="A29" s="559"/>
      <c r="B29" s="345">
        <v>545</v>
      </c>
      <c r="C29" s="194">
        <v>1170</v>
      </c>
      <c r="D29" s="195">
        <v>2.254</v>
      </c>
      <c r="E29" s="195">
        <v>1.135</v>
      </c>
      <c r="F29" s="197">
        <f>D29*E29</f>
        <v>2.55829</v>
      </c>
      <c r="G29" s="337">
        <f t="shared" ref="G29:G33" si="9">(($A$4*1000)/B29)</f>
        <v>23.204609018709771</v>
      </c>
      <c r="H29" s="199">
        <f t="shared" ref="H29:H33" si="10">(G29*F29+((0.05*4)*F29))+((F29*G29*10)/100)</f>
        <v>65.812189127122522</v>
      </c>
      <c r="I29" s="196">
        <f t="shared" ref="I29:I33" si="11">G29*C29</f>
        <v>27149.392551890433</v>
      </c>
    </row>
    <row r="30" spans="1:9" ht="14.4" customHeight="1" x14ac:dyDescent="0.3">
      <c r="A30" s="559"/>
      <c r="B30" s="345">
        <v>550</v>
      </c>
      <c r="C30" s="194">
        <v>1140</v>
      </c>
      <c r="D30" s="195">
        <v>2.1720000000000002</v>
      </c>
      <c r="E30" s="195">
        <v>1.3029999999999999</v>
      </c>
      <c r="F30" s="197">
        <f t="shared" ref="F30:F31" si="12">D30*E30</f>
        <v>2.8301159999999999</v>
      </c>
      <c r="G30" s="337">
        <f t="shared" si="9"/>
        <v>22.993658027630591</v>
      </c>
      <c r="H30" s="199">
        <f t="shared" si="10"/>
        <v>72.148214630778355</v>
      </c>
      <c r="I30" s="196">
        <f t="shared" si="11"/>
        <v>26212.770151498873</v>
      </c>
    </row>
    <row r="31" spans="1:9" ht="14.4" customHeight="1" x14ac:dyDescent="0.3">
      <c r="A31" s="559"/>
      <c r="B31" s="345">
        <v>590</v>
      </c>
      <c r="C31" s="194">
        <v>1365.55</v>
      </c>
      <c r="D31" s="195">
        <v>2.1720000000000002</v>
      </c>
      <c r="E31" s="195">
        <v>1.3029999999999999</v>
      </c>
      <c r="F31" s="197">
        <f t="shared" si="12"/>
        <v>2.8301159999999999</v>
      </c>
      <c r="G31" s="337">
        <f t="shared" si="9"/>
        <v>21.434765957960721</v>
      </c>
      <c r="H31" s="199">
        <f t="shared" si="10"/>
        <v>67.29518470326795</v>
      </c>
      <c r="I31" s="196">
        <f t="shared" si="11"/>
        <v>29270.24465389326</v>
      </c>
    </row>
    <row r="32" spans="1:9" ht="14.4" customHeight="1" x14ac:dyDescent="0.3">
      <c r="A32" s="559"/>
      <c r="B32" s="345">
        <v>609</v>
      </c>
      <c r="C32" s="194">
        <v>1550</v>
      </c>
      <c r="D32" s="195">
        <v>2.1720000000000002</v>
      </c>
      <c r="E32" s="195">
        <v>1.3029999999999999</v>
      </c>
      <c r="F32" s="197">
        <f>D32*E32</f>
        <v>2.8301159999999999</v>
      </c>
      <c r="G32" s="337">
        <f t="shared" si="9"/>
        <v>20.766029417400368</v>
      </c>
      <c r="H32" s="199">
        <f t="shared" si="10"/>
        <v>65.213322521720997</v>
      </c>
      <c r="I32" s="196">
        <f t="shared" si="11"/>
        <v>32187.345596970572</v>
      </c>
    </row>
    <row r="33" spans="1:9" ht="14.4" customHeight="1" x14ac:dyDescent="0.3">
      <c r="A33" s="559"/>
      <c r="B33" s="345">
        <v>690</v>
      </c>
      <c r="C33" s="194">
        <v>1935</v>
      </c>
      <c r="D33" s="195">
        <v>2.3839999999999999</v>
      </c>
      <c r="E33" s="195">
        <v>1.3029999999999999</v>
      </c>
      <c r="F33" s="197">
        <f t="shared" ref="F33" si="13">D33*E33</f>
        <v>3.1063519999999998</v>
      </c>
      <c r="G33" s="337">
        <f t="shared" si="9"/>
        <v>18.328278137966414</v>
      </c>
      <c r="H33" s="199">
        <f t="shared" si="10"/>
        <v>63.248762195471066</v>
      </c>
      <c r="I33" s="196">
        <f t="shared" si="11"/>
        <v>35465.218196965012</v>
      </c>
    </row>
    <row r="34" spans="1:9" x14ac:dyDescent="0.3">
      <c r="A34" s="579"/>
      <c r="B34" s="580"/>
      <c r="C34" s="580"/>
      <c r="D34" s="580"/>
      <c r="E34" s="581"/>
      <c r="F34" s="68"/>
      <c r="G34" s="68"/>
      <c r="H34" s="68"/>
      <c r="I34" s="68"/>
    </row>
    <row r="35" spans="1:9" ht="14.4" customHeight="1" x14ac:dyDescent="0.3">
      <c r="A35" s="582" t="s">
        <v>82</v>
      </c>
      <c r="B35" s="582"/>
      <c r="C35" s="582"/>
      <c r="D35" s="582"/>
      <c r="E35" s="582"/>
      <c r="F35">
        <v>1</v>
      </c>
    </row>
    <row r="36" spans="1:9" ht="14.4" customHeight="1" x14ac:dyDescent="0.3">
      <c r="A36" s="233"/>
      <c r="B36" s="583" t="s">
        <v>64</v>
      </c>
      <c r="C36" s="583"/>
      <c r="D36" s="583"/>
      <c r="E36" s="583"/>
      <c r="F36" s="583"/>
    </row>
    <row r="37" spans="1:9" ht="14.4" customHeight="1" thickBot="1" x14ac:dyDescent="0.35">
      <c r="A37" s="2" t="s">
        <v>8</v>
      </c>
      <c r="B37" s="206" t="s">
        <v>65</v>
      </c>
      <c r="C37" s="206" t="s">
        <v>13</v>
      </c>
      <c r="D37" s="207" t="s">
        <v>66</v>
      </c>
      <c r="E37" s="207" t="s">
        <v>67</v>
      </c>
      <c r="F37" s="206" t="s">
        <v>68</v>
      </c>
      <c r="G37" s="353"/>
      <c r="H37" s="353"/>
      <c r="I37" s="353"/>
    </row>
    <row r="38" spans="1:9" ht="14.4" customHeight="1" x14ac:dyDescent="0.3">
      <c r="A38" s="544">
        <f>'PLANINHA CENTRAL'!I32</f>
        <v>0</v>
      </c>
      <c r="B38" s="205" t="s">
        <v>69</v>
      </c>
      <c r="C38" s="208">
        <v>193</v>
      </c>
      <c r="D38" s="341">
        <v>455</v>
      </c>
      <c r="E38" s="198">
        <f>G45</f>
        <v>27.794531681751263</v>
      </c>
      <c r="F38" s="209">
        <f>E38*C38</f>
        <v>5364.3446145779935</v>
      </c>
      <c r="G38" s="353"/>
      <c r="H38" s="353"/>
      <c r="I38" s="353"/>
    </row>
    <row r="39" spans="1:9" ht="14.4" customHeight="1" x14ac:dyDescent="0.3">
      <c r="A39" s="545"/>
      <c r="B39" s="204" t="s">
        <v>70</v>
      </c>
      <c r="C39" s="208">
        <v>193</v>
      </c>
      <c r="D39" s="345">
        <v>545</v>
      </c>
      <c r="E39" s="198">
        <f t="shared" ref="E39:E43" si="14">G46</f>
        <v>23.204609018709771</v>
      </c>
      <c r="F39" s="209">
        <f t="shared" ref="F39:F43" si="15">E39*C39</f>
        <v>4478.4895406109854</v>
      </c>
      <c r="G39" s="353"/>
      <c r="H39" s="353"/>
      <c r="I39" s="353"/>
    </row>
    <row r="40" spans="1:9" ht="14.4" customHeight="1" x14ac:dyDescent="0.3">
      <c r="A40" s="545"/>
      <c r="B40" s="204" t="s">
        <v>71</v>
      </c>
      <c r="C40" s="208">
        <v>193</v>
      </c>
      <c r="D40" s="345">
        <v>550</v>
      </c>
      <c r="E40" s="198">
        <f t="shared" si="14"/>
        <v>22.993658027630591</v>
      </c>
      <c r="F40" s="209">
        <f t="shared" si="15"/>
        <v>4437.7759993327045</v>
      </c>
      <c r="G40" s="353"/>
      <c r="H40" s="353"/>
      <c r="I40" s="353"/>
    </row>
    <row r="41" spans="1:9" ht="14.4" customHeight="1" x14ac:dyDescent="0.3">
      <c r="A41" s="545"/>
      <c r="B41" s="204" t="s">
        <v>72</v>
      </c>
      <c r="C41" s="208">
        <v>195</v>
      </c>
      <c r="D41" s="345">
        <v>590</v>
      </c>
      <c r="E41" s="198">
        <f t="shared" si="14"/>
        <v>21.434765957960721</v>
      </c>
      <c r="F41" s="209">
        <f t="shared" si="15"/>
        <v>4179.7793618023406</v>
      </c>
      <c r="G41" s="353"/>
      <c r="H41" s="353"/>
      <c r="I41" s="353"/>
    </row>
    <row r="42" spans="1:9" ht="14.4" customHeight="1" x14ac:dyDescent="0.3">
      <c r="A42" s="545"/>
      <c r="B42" s="204" t="s">
        <v>73</v>
      </c>
      <c r="C42" s="208">
        <v>196</v>
      </c>
      <c r="D42" s="345">
        <v>609</v>
      </c>
      <c r="E42" s="198">
        <f t="shared" si="14"/>
        <v>20.766029417400368</v>
      </c>
      <c r="F42" s="209">
        <f t="shared" si="15"/>
        <v>4070.141765810472</v>
      </c>
      <c r="G42" s="353"/>
      <c r="H42" s="353"/>
      <c r="I42" s="353"/>
    </row>
    <row r="43" spans="1:9" ht="15" thickBot="1" x14ac:dyDescent="0.35">
      <c r="A43" s="545"/>
      <c r="B43" s="204" t="s">
        <v>74</v>
      </c>
      <c r="C43" s="208">
        <v>197</v>
      </c>
      <c r="D43" s="345">
        <v>690</v>
      </c>
      <c r="E43" s="198">
        <f t="shared" si="14"/>
        <v>18.328278137966414</v>
      </c>
      <c r="F43" s="209">
        <f t="shared" si="15"/>
        <v>3610.6707931793835</v>
      </c>
      <c r="G43" s="353"/>
      <c r="H43" s="353"/>
      <c r="I43" s="353"/>
    </row>
    <row r="44" spans="1:9" ht="14.4" customHeight="1" thickBot="1" x14ac:dyDescent="0.35">
      <c r="A44" s="560"/>
      <c r="B44" s="338" t="s">
        <v>75</v>
      </c>
      <c r="C44" s="339" t="s">
        <v>76</v>
      </c>
      <c r="D44" s="339" t="s">
        <v>77</v>
      </c>
      <c r="E44" s="339" t="s">
        <v>78</v>
      </c>
      <c r="F44" s="340" t="s">
        <v>79</v>
      </c>
      <c r="G44" s="201" t="s">
        <v>9</v>
      </c>
      <c r="H44" s="202" t="s">
        <v>17</v>
      </c>
      <c r="I44" s="203" t="s">
        <v>80</v>
      </c>
    </row>
    <row r="45" spans="1:9" ht="14.4" customHeight="1" x14ac:dyDescent="0.3">
      <c r="A45" s="560"/>
      <c r="B45" s="341">
        <v>455</v>
      </c>
      <c r="C45" s="342">
        <v>1100</v>
      </c>
      <c r="D45" s="343">
        <v>2.1680000000000001</v>
      </c>
      <c r="E45" s="343">
        <v>0.996</v>
      </c>
      <c r="F45" s="344">
        <f>D45*E45</f>
        <v>2.1593280000000004</v>
      </c>
      <c r="G45" s="336">
        <f>(($A$4*1000)/B45)</f>
        <v>27.794531681751263</v>
      </c>
      <c r="H45" s="199">
        <f>(G45*F45+((0.05*4)*F45))+((F45*G45*10)/100)</f>
        <v>66.451127158021862</v>
      </c>
      <c r="I45" s="200">
        <f>G45*C45</f>
        <v>30573.98484992639</v>
      </c>
    </row>
    <row r="46" spans="1:9" ht="14.4" customHeight="1" x14ac:dyDescent="0.3">
      <c r="A46" s="560"/>
      <c r="B46" s="345">
        <v>545</v>
      </c>
      <c r="C46" s="194">
        <v>1170</v>
      </c>
      <c r="D46" s="195">
        <v>2.254</v>
      </c>
      <c r="E46" s="195">
        <v>1.135</v>
      </c>
      <c r="F46" s="197">
        <f>D46*E46</f>
        <v>2.55829</v>
      </c>
      <c r="G46" s="337">
        <f t="shared" ref="G46:G50" si="16">(($A$4*1000)/B46)</f>
        <v>23.204609018709771</v>
      </c>
      <c r="H46" s="199">
        <f t="shared" ref="H46:H50" si="17">(G46*F46+((0.05*4)*F46))+((F46*G46*10)/100)</f>
        <v>65.812189127122522</v>
      </c>
      <c r="I46" s="196">
        <f t="shared" ref="I46:I50" si="18">G46*C46</f>
        <v>27149.392551890433</v>
      </c>
    </row>
    <row r="47" spans="1:9" ht="14.4" customHeight="1" x14ac:dyDescent="0.3">
      <c r="A47" s="560"/>
      <c r="B47" s="345">
        <v>550</v>
      </c>
      <c r="C47" s="194">
        <v>1140</v>
      </c>
      <c r="D47" s="195">
        <v>2.1720000000000002</v>
      </c>
      <c r="E47" s="195">
        <v>1.3029999999999999</v>
      </c>
      <c r="F47" s="197">
        <f t="shared" ref="F47:F48" si="19">D47*E47</f>
        <v>2.8301159999999999</v>
      </c>
      <c r="G47" s="337">
        <f t="shared" si="16"/>
        <v>22.993658027630591</v>
      </c>
      <c r="H47" s="199">
        <f t="shared" si="17"/>
        <v>72.148214630778355</v>
      </c>
      <c r="I47" s="196">
        <f t="shared" si="18"/>
        <v>26212.770151498873</v>
      </c>
    </row>
    <row r="48" spans="1:9" x14ac:dyDescent="0.3">
      <c r="A48" s="560"/>
      <c r="B48" s="345">
        <v>590</v>
      </c>
      <c r="C48" s="194">
        <v>1365.55</v>
      </c>
      <c r="D48" s="195">
        <v>2.1720000000000002</v>
      </c>
      <c r="E48" s="195">
        <v>1.3029999999999999</v>
      </c>
      <c r="F48" s="197">
        <f t="shared" si="19"/>
        <v>2.8301159999999999</v>
      </c>
      <c r="G48" s="337">
        <f t="shared" si="16"/>
        <v>21.434765957960721</v>
      </c>
      <c r="H48" s="199">
        <f t="shared" si="17"/>
        <v>67.29518470326795</v>
      </c>
      <c r="I48" s="196">
        <f t="shared" si="18"/>
        <v>29270.24465389326</v>
      </c>
    </row>
    <row r="49" spans="1:9" x14ac:dyDescent="0.3">
      <c r="A49" s="560"/>
      <c r="B49" s="345">
        <v>609</v>
      </c>
      <c r="C49" s="194">
        <v>1550</v>
      </c>
      <c r="D49" s="195">
        <v>2.1720000000000002</v>
      </c>
      <c r="E49" s="195">
        <v>1.3029999999999999</v>
      </c>
      <c r="F49" s="197">
        <f>D49*E49</f>
        <v>2.8301159999999999</v>
      </c>
      <c r="G49" s="337">
        <f t="shared" si="16"/>
        <v>20.766029417400368</v>
      </c>
      <c r="H49" s="199">
        <f t="shared" si="17"/>
        <v>65.213322521720997</v>
      </c>
      <c r="I49" s="196">
        <f t="shared" si="18"/>
        <v>32187.345596970572</v>
      </c>
    </row>
    <row r="50" spans="1:9" x14ac:dyDescent="0.3">
      <c r="A50" s="560"/>
      <c r="B50" s="345">
        <v>690</v>
      </c>
      <c r="C50" s="194">
        <v>1935</v>
      </c>
      <c r="D50" s="195">
        <v>2.3839999999999999</v>
      </c>
      <c r="E50" s="195">
        <v>1.3029999999999999</v>
      </c>
      <c r="F50" s="197">
        <f t="shared" ref="F50" si="20">D50*E50</f>
        <v>3.1063519999999998</v>
      </c>
      <c r="G50" s="337">
        <f t="shared" si="16"/>
        <v>18.328278137966414</v>
      </c>
      <c r="H50" s="199">
        <f t="shared" si="17"/>
        <v>63.248762195471066</v>
      </c>
      <c r="I50" s="196">
        <f t="shared" si="18"/>
        <v>35465.218196965012</v>
      </c>
    </row>
    <row r="51" spans="1:9" x14ac:dyDescent="0.3">
      <c r="A51" s="579"/>
      <c r="B51" s="580"/>
      <c r="C51" s="580"/>
      <c r="D51" s="580"/>
      <c r="E51" s="581"/>
      <c r="F51" s="68"/>
      <c r="G51" s="68"/>
      <c r="H51" s="68"/>
      <c r="I51" s="68"/>
    </row>
    <row r="52" spans="1:9" ht="21" x14ac:dyDescent="0.3">
      <c r="A52" s="582" t="s">
        <v>83</v>
      </c>
      <c r="B52" s="582"/>
      <c r="C52" s="582"/>
      <c r="D52" s="582"/>
      <c r="E52" s="582"/>
      <c r="F52">
        <v>3</v>
      </c>
    </row>
    <row r="53" spans="1:9" ht="21" x14ac:dyDescent="0.3">
      <c r="A53" s="233"/>
      <c r="B53" s="583" t="s">
        <v>64</v>
      </c>
      <c r="C53" s="583"/>
      <c r="D53" s="583"/>
      <c r="E53" s="583"/>
      <c r="F53" s="583"/>
    </row>
    <row r="54" spans="1:9" ht="15" thickBot="1" x14ac:dyDescent="0.35">
      <c r="A54" s="2" t="s">
        <v>8</v>
      </c>
      <c r="B54" s="206" t="s">
        <v>65</v>
      </c>
      <c r="C54" s="206" t="s">
        <v>13</v>
      </c>
      <c r="D54" s="207" t="s">
        <v>66</v>
      </c>
      <c r="E54" s="207" t="s">
        <v>67</v>
      </c>
      <c r="F54" s="206" t="s">
        <v>68</v>
      </c>
      <c r="G54" s="353"/>
      <c r="H54" s="353"/>
      <c r="I54" s="353"/>
    </row>
    <row r="55" spans="1:9" x14ac:dyDescent="0.3">
      <c r="A55" s="544">
        <f>'PLANINHA CENTRAL'!I46</f>
        <v>0</v>
      </c>
      <c r="B55" s="205" t="s">
        <v>69</v>
      </c>
      <c r="C55" s="208">
        <v>193</v>
      </c>
      <c r="D55" s="341">
        <v>455</v>
      </c>
      <c r="E55" s="198">
        <f>G62</f>
        <v>27.794531681751263</v>
      </c>
      <c r="F55" s="209">
        <f>E55*C55</f>
        <v>5364.3446145779935</v>
      </c>
      <c r="G55" s="353"/>
      <c r="H55" s="353"/>
      <c r="I55" s="353"/>
    </row>
    <row r="56" spans="1:9" x14ac:dyDescent="0.3">
      <c r="A56" s="545"/>
      <c r="B56" s="204" t="s">
        <v>70</v>
      </c>
      <c r="C56" s="208">
        <v>193</v>
      </c>
      <c r="D56" s="345">
        <v>545</v>
      </c>
      <c r="E56" s="198">
        <f t="shared" ref="E56:E60" si="21">G63</f>
        <v>23.204609018709771</v>
      </c>
      <c r="F56" s="209">
        <f t="shared" ref="F56:F60" si="22">E56*C56</f>
        <v>4478.4895406109854</v>
      </c>
      <c r="G56" s="353"/>
      <c r="H56" s="353"/>
      <c r="I56" s="353"/>
    </row>
    <row r="57" spans="1:9" x14ac:dyDescent="0.3">
      <c r="A57" s="545"/>
      <c r="B57" s="204" t="s">
        <v>71</v>
      </c>
      <c r="C57" s="208">
        <v>193</v>
      </c>
      <c r="D57" s="345">
        <v>550</v>
      </c>
      <c r="E57" s="198">
        <f t="shared" si="21"/>
        <v>22.993658027630591</v>
      </c>
      <c r="F57" s="209">
        <f t="shared" si="22"/>
        <v>4437.7759993327045</v>
      </c>
      <c r="G57" s="353"/>
      <c r="H57" s="353"/>
      <c r="I57" s="353"/>
    </row>
    <row r="58" spans="1:9" x14ac:dyDescent="0.3">
      <c r="A58" s="545"/>
      <c r="B58" s="204" t="s">
        <v>72</v>
      </c>
      <c r="C58" s="208">
        <v>195</v>
      </c>
      <c r="D58" s="345">
        <v>590</v>
      </c>
      <c r="E58" s="198">
        <f t="shared" si="21"/>
        <v>21.434765957960721</v>
      </c>
      <c r="F58" s="209">
        <f t="shared" si="22"/>
        <v>4179.7793618023406</v>
      </c>
      <c r="G58" s="353"/>
      <c r="H58" s="353"/>
      <c r="I58" s="353"/>
    </row>
    <row r="59" spans="1:9" ht="14.4" customHeight="1" x14ac:dyDescent="0.3">
      <c r="A59" s="545"/>
      <c r="B59" s="204" t="s">
        <v>73</v>
      </c>
      <c r="C59" s="208">
        <v>196</v>
      </c>
      <c r="D59" s="345">
        <v>609</v>
      </c>
      <c r="E59" s="198">
        <f t="shared" si="21"/>
        <v>20.766029417400368</v>
      </c>
      <c r="F59" s="209">
        <f t="shared" si="22"/>
        <v>4070.141765810472</v>
      </c>
      <c r="G59" s="353"/>
      <c r="H59" s="353"/>
      <c r="I59" s="353"/>
    </row>
    <row r="60" spans="1:9" ht="14.4" customHeight="1" thickBot="1" x14ac:dyDescent="0.35">
      <c r="A60" s="545"/>
      <c r="B60" s="204" t="s">
        <v>74</v>
      </c>
      <c r="C60" s="208">
        <v>197</v>
      </c>
      <c r="D60" s="345">
        <v>690</v>
      </c>
      <c r="E60" s="198">
        <f t="shared" si="21"/>
        <v>18.328278137966414</v>
      </c>
      <c r="F60" s="209">
        <f t="shared" si="22"/>
        <v>3610.6707931793835</v>
      </c>
      <c r="G60" s="353"/>
      <c r="H60" s="353"/>
      <c r="I60" s="353"/>
    </row>
    <row r="61" spans="1:9" ht="14.4" customHeight="1" thickBot="1" x14ac:dyDescent="0.35">
      <c r="A61" s="560"/>
      <c r="B61" s="338" t="s">
        <v>75</v>
      </c>
      <c r="C61" s="339" t="s">
        <v>76</v>
      </c>
      <c r="D61" s="339" t="s">
        <v>77</v>
      </c>
      <c r="E61" s="339" t="s">
        <v>78</v>
      </c>
      <c r="F61" s="340" t="s">
        <v>79</v>
      </c>
      <c r="G61" s="201" t="s">
        <v>9</v>
      </c>
      <c r="H61" s="202" t="s">
        <v>17</v>
      </c>
      <c r="I61" s="203" t="s">
        <v>80</v>
      </c>
    </row>
    <row r="62" spans="1:9" ht="14.4" customHeight="1" x14ac:dyDescent="0.3">
      <c r="A62" s="560"/>
      <c r="B62" s="341">
        <v>455</v>
      </c>
      <c r="C62" s="342">
        <v>1100</v>
      </c>
      <c r="D62" s="343">
        <v>2.1680000000000001</v>
      </c>
      <c r="E62" s="343">
        <v>0.996</v>
      </c>
      <c r="F62" s="344">
        <f>D62*E62</f>
        <v>2.1593280000000004</v>
      </c>
      <c r="G62" s="336">
        <f>(($A$4*1000)/B62)</f>
        <v>27.794531681751263</v>
      </c>
      <c r="H62" s="199">
        <f>(G62*F62+((0.05*4)*F62))+((F62*G62*10)/100)</f>
        <v>66.451127158021862</v>
      </c>
      <c r="I62" s="200">
        <f>G62*C62</f>
        <v>30573.98484992639</v>
      </c>
    </row>
    <row r="63" spans="1:9" x14ac:dyDescent="0.3">
      <c r="A63" s="560"/>
      <c r="B63" s="345">
        <v>545</v>
      </c>
      <c r="C63" s="194">
        <v>1170</v>
      </c>
      <c r="D63" s="195">
        <v>2.254</v>
      </c>
      <c r="E63" s="195">
        <v>1.135</v>
      </c>
      <c r="F63" s="197">
        <f>D63*E63</f>
        <v>2.55829</v>
      </c>
      <c r="G63" s="337">
        <f t="shared" ref="G63:G67" si="23">(($A$4*1000)/B63)</f>
        <v>23.204609018709771</v>
      </c>
      <c r="H63" s="199">
        <f t="shared" ref="H63:H67" si="24">(G63*F63+((0.05*4)*F63))+((F63*G63*10)/100)</f>
        <v>65.812189127122522</v>
      </c>
      <c r="I63" s="196">
        <f t="shared" ref="I63:I67" si="25">G63*C63</f>
        <v>27149.392551890433</v>
      </c>
    </row>
    <row r="64" spans="1:9" x14ac:dyDescent="0.3">
      <c r="A64" s="560"/>
      <c r="B64" s="345">
        <v>550</v>
      </c>
      <c r="C64" s="194">
        <v>1140</v>
      </c>
      <c r="D64" s="195">
        <v>2.1720000000000002</v>
      </c>
      <c r="E64" s="195">
        <v>1.3029999999999999</v>
      </c>
      <c r="F64" s="197">
        <f t="shared" ref="F64:F65" si="26">D64*E64</f>
        <v>2.8301159999999999</v>
      </c>
      <c r="G64" s="337">
        <f t="shared" si="23"/>
        <v>22.993658027630591</v>
      </c>
      <c r="H64" s="199">
        <f t="shared" si="24"/>
        <v>72.148214630778355</v>
      </c>
      <c r="I64" s="196">
        <f t="shared" si="25"/>
        <v>26212.770151498873</v>
      </c>
    </row>
    <row r="65" spans="1:9" x14ac:dyDescent="0.3">
      <c r="A65" s="560"/>
      <c r="B65" s="345">
        <v>590</v>
      </c>
      <c r="C65" s="194">
        <v>1365.55</v>
      </c>
      <c r="D65" s="195">
        <v>2.1720000000000002</v>
      </c>
      <c r="E65" s="195">
        <v>1.3029999999999999</v>
      </c>
      <c r="F65" s="197">
        <f t="shared" si="26"/>
        <v>2.8301159999999999</v>
      </c>
      <c r="G65" s="337">
        <f t="shared" si="23"/>
        <v>21.434765957960721</v>
      </c>
      <c r="H65" s="199">
        <f t="shared" si="24"/>
        <v>67.29518470326795</v>
      </c>
      <c r="I65" s="196">
        <f t="shared" si="25"/>
        <v>29270.24465389326</v>
      </c>
    </row>
    <row r="66" spans="1:9" ht="14.4" customHeight="1" x14ac:dyDescent="0.3">
      <c r="A66" s="560"/>
      <c r="B66" s="345">
        <v>609</v>
      </c>
      <c r="C66" s="194">
        <v>1550</v>
      </c>
      <c r="D66" s="195">
        <v>2.1720000000000002</v>
      </c>
      <c r="E66" s="195">
        <v>1.3029999999999999</v>
      </c>
      <c r="F66" s="197">
        <f>D66*E66</f>
        <v>2.8301159999999999</v>
      </c>
      <c r="G66" s="337">
        <f t="shared" si="23"/>
        <v>20.766029417400368</v>
      </c>
      <c r="H66" s="199">
        <f t="shared" si="24"/>
        <v>65.213322521720997</v>
      </c>
      <c r="I66" s="196">
        <f t="shared" si="25"/>
        <v>32187.345596970572</v>
      </c>
    </row>
    <row r="67" spans="1:9" ht="14.4" customHeight="1" x14ac:dyDescent="0.3">
      <c r="A67" s="560"/>
      <c r="B67" s="345">
        <v>690</v>
      </c>
      <c r="C67" s="194">
        <v>1935</v>
      </c>
      <c r="D67" s="195">
        <v>2.3839999999999999</v>
      </c>
      <c r="E67" s="195">
        <v>1.3029999999999999</v>
      </c>
      <c r="F67" s="197">
        <f t="shared" ref="F67" si="27">D67*E67</f>
        <v>3.1063519999999998</v>
      </c>
      <c r="G67" s="337">
        <f t="shared" si="23"/>
        <v>18.328278137966414</v>
      </c>
      <c r="H67" s="199">
        <f t="shared" si="24"/>
        <v>63.248762195471066</v>
      </c>
      <c r="I67" s="196">
        <f t="shared" si="25"/>
        <v>35465.218196965012</v>
      </c>
    </row>
    <row r="68" spans="1:9" ht="14.4" customHeight="1" x14ac:dyDescent="0.3">
      <c r="A68" s="579"/>
      <c r="B68" s="580"/>
      <c r="C68" s="580"/>
      <c r="D68" s="580"/>
      <c r="E68" s="581"/>
      <c r="F68" s="68"/>
      <c r="G68" s="68"/>
      <c r="H68" s="68"/>
      <c r="I68" s="68"/>
    </row>
    <row r="69" spans="1:9" ht="14.4" customHeight="1" x14ac:dyDescent="0.3">
      <c r="A69" s="582" t="s">
        <v>84</v>
      </c>
      <c r="B69" s="582"/>
      <c r="C69" s="582"/>
      <c r="D69" s="582"/>
      <c r="E69" s="582"/>
      <c r="F69">
        <v>4</v>
      </c>
    </row>
    <row r="70" spans="1:9" ht="14.4" customHeight="1" x14ac:dyDescent="0.3">
      <c r="A70" s="233"/>
      <c r="B70" s="583" t="s">
        <v>64</v>
      </c>
      <c r="C70" s="583"/>
      <c r="D70" s="583"/>
      <c r="E70" s="583"/>
      <c r="F70" s="583"/>
    </row>
    <row r="71" spans="1:9" ht="14.4" customHeight="1" thickBot="1" x14ac:dyDescent="0.35">
      <c r="A71" s="2" t="s">
        <v>8</v>
      </c>
      <c r="B71" s="206" t="s">
        <v>65</v>
      </c>
      <c r="C71" s="206" t="s">
        <v>13</v>
      </c>
      <c r="D71" s="207" t="s">
        <v>66</v>
      </c>
      <c r="E71" s="207" t="s">
        <v>67</v>
      </c>
      <c r="F71" s="206" t="s">
        <v>68</v>
      </c>
      <c r="G71" s="353"/>
      <c r="H71" s="353"/>
      <c r="I71" s="353"/>
    </row>
    <row r="72" spans="1:9" ht="14.4" customHeight="1" x14ac:dyDescent="0.3">
      <c r="A72" s="544">
        <f>'PLANINHA CENTRAL'!I60</f>
        <v>0</v>
      </c>
      <c r="B72" s="205" t="s">
        <v>69</v>
      </c>
      <c r="C72" s="208">
        <v>193</v>
      </c>
      <c r="D72" s="341">
        <v>455</v>
      </c>
      <c r="E72" s="198">
        <f>G79</f>
        <v>27.794531681751263</v>
      </c>
      <c r="F72" s="209">
        <f>E72*C72</f>
        <v>5364.3446145779935</v>
      </c>
      <c r="G72" s="353"/>
      <c r="H72" s="353"/>
      <c r="I72" s="353"/>
    </row>
    <row r="73" spans="1:9" x14ac:dyDescent="0.3">
      <c r="A73" s="545"/>
      <c r="B73" s="204" t="s">
        <v>70</v>
      </c>
      <c r="C73" s="208">
        <v>193</v>
      </c>
      <c r="D73" s="345">
        <v>545</v>
      </c>
      <c r="E73" s="198">
        <f t="shared" ref="E73:E77" si="28">G80</f>
        <v>23.204609018709771</v>
      </c>
      <c r="F73" s="209">
        <f t="shared" ref="F73:F77" si="29">E73*C73</f>
        <v>4478.4895406109854</v>
      </c>
      <c r="G73" s="353"/>
      <c r="H73" s="353"/>
      <c r="I73" s="353"/>
    </row>
    <row r="74" spans="1:9" ht="14.4" customHeight="1" x14ac:dyDescent="0.3">
      <c r="A74" s="545"/>
      <c r="B74" s="204" t="s">
        <v>71</v>
      </c>
      <c r="C74" s="208">
        <v>193</v>
      </c>
      <c r="D74" s="345">
        <v>550</v>
      </c>
      <c r="E74" s="198">
        <f t="shared" si="28"/>
        <v>22.993658027630591</v>
      </c>
      <c r="F74" s="209">
        <f t="shared" si="29"/>
        <v>4437.7759993327045</v>
      </c>
      <c r="G74" s="353"/>
      <c r="H74" s="353"/>
      <c r="I74" s="353"/>
    </row>
    <row r="75" spans="1:9" ht="14.4" customHeight="1" x14ac:dyDescent="0.3">
      <c r="A75" s="545"/>
      <c r="B75" s="204" t="s">
        <v>72</v>
      </c>
      <c r="C75" s="208">
        <v>195</v>
      </c>
      <c r="D75" s="345">
        <v>590</v>
      </c>
      <c r="E75" s="198">
        <f t="shared" si="28"/>
        <v>21.434765957960721</v>
      </c>
      <c r="F75" s="209">
        <f t="shared" si="29"/>
        <v>4179.7793618023406</v>
      </c>
      <c r="G75" s="353"/>
      <c r="H75" s="353"/>
      <c r="I75" s="353"/>
    </row>
    <row r="76" spans="1:9" ht="14.4" customHeight="1" x14ac:dyDescent="0.3">
      <c r="A76" s="545"/>
      <c r="B76" s="204" t="s">
        <v>73</v>
      </c>
      <c r="C76" s="208">
        <v>196</v>
      </c>
      <c r="D76" s="345">
        <v>609</v>
      </c>
      <c r="E76" s="198">
        <f t="shared" si="28"/>
        <v>20.766029417400368</v>
      </c>
      <c r="F76" s="209">
        <f t="shared" si="29"/>
        <v>4070.141765810472</v>
      </c>
      <c r="G76" s="353"/>
      <c r="H76" s="353"/>
      <c r="I76" s="353"/>
    </row>
    <row r="77" spans="1:9" ht="14.4" customHeight="1" thickBot="1" x14ac:dyDescent="0.35">
      <c r="A77" s="545"/>
      <c r="B77" s="204" t="s">
        <v>74</v>
      </c>
      <c r="C77" s="208">
        <v>197</v>
      </c>
      <c r="D77" s="345">
        <v>690</v>
      </c>
      <c r="E77" s="198">
        <f t="shared" si="28"/>
        <v>18.328278137966414</v>
      </c>
      <c r="F77" s="209">
        <f t="shared" si="29"/>
        <v>3610.6707931793835</v>
      </c>
      <c r="G77" s="353"/>
      <c r="H77" s="353"/>
      <c r="I77" s="353"/>
    </row>
    <row r="78" spans="1:9" ht="16.2" thickBot="1" x14ac:dyDescent="0.35">
      <c r="A78" s="560"/>
      <c r="B78" s="338" t="s">
        <v>75</v>
      </c>
      <c r="C78" s="339" t="s">
        <v>76</v>
      </c>
      <c r="D78" s="339" t="s">
        <v>77</v>
      </c>
      <c r="E78" s="339" t="s">
        <v>78</v>
      </c>
      <c r="F78" s="340" t="s">
        <v>79</v>
      </c>
      <c r="G78" s="201" t="s">
        <v>9</v>
      </c>
      <c r="H78" s="202" t="s">
        <v>17</v>
      </c>
      <c r="I78" s="203" t="s">
        <v>80</v>
      </c>
    </row>
    <row r="79" spans="1:9" x14ac:dyDescent="0.3">
      <c r="A79" s="560"/>
      <c r="B79" s="341">
        <v>455</v>
      </c>
      <c r="C79" s="342">
        <v>1100</v>
      </c>
      <c r="D79" s="343">
        <v>2.1680000000000001</v>
      </c>
      <c r="E79" s="343">
        <v>0.996</v>
      </c>
      <c r="F79" s="344">
        <f>D79*E79</f>
        <v>2.1593280000000004</v>
      </c>
      <c r="G79" s="336">
        <f>(($A$4*1000)/B79)</f>
        <v>27.794531681751263</v>
      </c>
      <c r="H79" s="199">
        <f>(G79*F79+((0.05*4)*F79))+((F79*G79*10)/100)</f>
        <v>66.451127158021862</v>
      </c>
      <c r="I79" s="200">
        <f>G79*C79</f>
        <v>30573.98484992639</v>
      </c>
    </row>
    <row r="80" spans="1:9" x14ac:dyDescent="0.3">
      <c r="A80" s="560"/>
      <c r="B80" s="345">
        <v>545</v>
      </c>
      <c r="C80" s="194">
        <v>1170</v>
      </c>
      <c r="D80" s="195">
        <v>2.254</v>
      </c>
      <c r="E80" s="195">
        <v>1.135</v>
      </c>
      <c r="F80" s="197">
        <f>D80*E80</f>
        <v>2.55829</v>
      </c>
      <c r="G80" s="337">
        <f t="shared" ref="G80:G84" si="30">(($A$4*1000)/B80)</f>
        <v>23.204609018709771</v>
      </c>
      <c r="H80" s="199">
        <f t="shared" ref="H80:H84" si="31">(G80*F80+((0.05*4)*F80))+((F80*G80*10)/100)</f>
        <v>65.812189127122522</v>
      </c>
      <c r="I80" s="196">
        <f t="shared" ref="I80:I84" si="32">G80*C80</f>
        <v>27149.392551890433</v>
      </c>
    </row>
    <row r="81" spans="1:9" x14ac:dyDescent="0.3">
      <c r="A81" s="560"/>
      <c r="B81" s="345">
        <v>550</v>
      </c>
      <c r="C81" s="194">
        <v>1140</v>
      </c>
      <c r="D81" s="195">
        <v>2.1720000000000002</v>
      </c>
      <c r="E81" s="195">
        <v>1.3029999999999999</v>
      </c>
      <c r="F81" s="197">
        <f t="shared" ref="F81:F82" si="33">D81*E81</f>
        <v>2.8301159999999999</v>
      </c>
      <c r="G81" s="337">
        <f t="shared" si="30"/>
        <v>22.993658027630591</v>
      </c>
      <c r="H81" s="199">
        <f t="shared" si="31"/>
        <v>72.148214630778355</v>
      </c>
      <c r="I81" s="196">
        <f t="shared" si="32"/>
        <v>26212.770151498873</v>
      </c>
    </row>
    <row r="82" spans="1:9" x14ac:dyDescent="0.3">
      <c r="A82" s="560"/>
      <c r="B82" s="345">
        <v>590</v>
      </c>
      <c r="C82" s="194">
        <v>1365.55</v>
      </c>
      <c r="D82" s="195">
        <v>2.1720000000000002</v>
      </c>
      <c r="E82" s="195">
        <v>1.3029999999999999</v>
      </c>
      <c r="F82" s="197">
        <f t="shared" si="33"/>
        <v>2.8301159999999999</v>
      </c>
      <c r="G82" s="337">
        <f t="shared" si="30"/>
        <v>21.434765957960721</v>
      </c>
      <c r="H82" s="199">
        <f t="shared" si="31"/>
        <v>67.29518470326795</v>
      </c>
      <c r="I82" s="196">
        <f t="shared" si="32"/>
        <v>29270.24465389326</v>
      </c>
    </row>
    <row r="83" spans="1:9" x14ac:dyDescent="0.3">
      <c r="A83" s="560"/>
      <c r="B83" s="345">
        <v>609</v>
      </c>
      <c r="C83" s="194">
        <v>1550</v>
      </c>
      <c r="D83" s="195">
        <v>2.1720000000000002</v>
      </c>
      <c r="E83" s="195">
        <v>1.3029999999999999</v>
      </c>
      <c r="F83" s="197">
        <f>D83*E83</f>
        <v>2.8301159999999999</v>
      </c>
      <c r="G83" s="337">
        <f t="shared" si="30"/>
        <v>20.766029417400368</v>
      </c>
      <c r="H83" s="199">
        <f t="shared" si="31"/>
        <v>65.213322521720997</v>
      </c>
      <c r="I83" s="196">
        <f t="shared" si="32"/>
        <v>32187.345596970572</v>
      </c>
    </row>
    <row r="84" spans="1:9" x14ac:dyDescent="0.3">
      <c r="A84" s="560"/>
      <c r="B84" s="345">
        <v>690</v>
      </c>
      <c r="C84" s="194">
        <v>1935</v>
      </c>
      <c r="D84" s="195">
        <v>2.3839999999999999</v>
      </c>
      <c r="E84" s="195">
        <v>1.3029999999999999</v>
      </c>
      <c r="F84" s="197">
        <f t="shared" ref="F84" si="34">D84*E84</f>
        <v>3.1063519999999998</v>
      </c>
      <c r="G84" s="337">
        <f t="shared" si="30"/>
        <v>18.328278137966414</v>
      </c>
      <c r="H84" s="199">
        <f t="shared" si="31"/>
        <v>63.248762195471066</v>
      </c>
      <c r="I84" s="196">
        <f t="shared" si="32"/>
        <v>35465.218196965012</v>
      </c>
    </row>
    <row r="85" spans="1:9" x14ac:dyDescent="0.3">
      <c r="A85" s="579"/>
      <c r="B85" s="580"/>
      <c r="C85" s="580"/>
      <c r="D85" s="580"/>
      <c r="E85" s="581"/>
      <c r="F85" s="68"/>
      <c r="G85" s="68"/>
      <c r="H85" s="68"/>
      <c r="I85" s="68"/>
    </row>
  </sheetData>
  <mergeCells count="20">
    <mergeCell ref="A85:E85"/>
    <mergeCell ref="A55:A67"/>
    <mergeCell ref="A68:E68"/>
    <mergeCell ref="A69:E69"/>
    <mergeCell ref="B70:F70"/>
    <mergeCell ref="A72:A84"/>
    <mergeCell ref="B36:F36"/>
    <mergeCell ref="A38:A50"/>
    <mergeCell ref="A51:E51"/>
    <mergeCell ref="A52:E52"/>
    <mergeCell ref="B53:F53"/>
    <mergeCell ref="A17:E17"/>
    <mergeCell ref="A21:A33"/>
    <mergeCell ref="A34:E34"/>
    <mergeCell ref="A35:E35"/>
    <mergeCell ref="A1:E1"/>
    <mergeCell ref="A18:E18"/>
    <mergeCell ref="A4:A16"/>
    <mergeCell ref="B2:F2"/>
    <mergeCell ref="B19:F19"/>
  </mergeCells>
  <phoneticPr fontId="3" type="noConversion"/>
  <dataValidations count="1">
    <dataValidation type="list" allowBlank="1" showInputMessage="1" showErrorMessage="1" sqref="E55:E60 E4:E9 E21:E26 E38:E43 E72:E77" xr:uid="{492BB830-94A4-4829-8E3F-BBC100C76C92}">
      <formula1>$E$4:$E$9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3C1F26-9711-448C-A10F-8869B87B29DB}">
          <x14:formula1>
            <xm:f>('PLANINHA CENTRAL'!$J$60:$J$62)</xm:f>
          </x14:formula1>
          <xm:sqref>G11:G16 G62:G67 G28:G33 G45:G50 G79:G84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0F05-8C91-4987-B6A7-CD252C809746}">
  <dimension ref="A1:L99"/>
  <sheetViews>
    <sheetView showGridLines="0" workbookViewId="0">
      <selection activeCell="I15" sqref="I15"/>
    </sheetView>
  </sheetViews>
  <sheetFormatPr defaultRowHeight="14.4" x14ac:dyDescent="0.3"/>
  <cols>
    <col min="1" max="1" width="32.109375" bestFit="1" customWidth="1"/>
    <col min="3" max="3" width="11" customWidth="1"/>
    <col min="4" max="4" width="16" customWidth="1"/>
    <col min="5" max="5" width="13.33203125" customWidth="1"/>
    <col min="6" max="6" width="19.109375" customWidth="1"/>
    <col min="7" max="7" width="15.88671875" customWidth="1"/>
    <col min="8" max="8" width="20.88671875" customWidth="1"/>
    <col min="9" max="9" width="17.33203125" customWidth="1"/>
    <col min="11" max="11" width="16.44140625" customWidth="1"/>
    <col min="12" max="12" width="10.33203125" bestFit="1" customWidth="1"/>
  </cols>
  <sheetData>
    <row r="1" spans="1:12" ht="18.600000000000001" customHeight="1" thickBot="1" x14ac:dyDescent="0.4">
      <c r="A1" s="286" t="s">
        <v>99</v>
      </c>
      <c r="B1" s="285"/>
      <c r="C1" s="623" t="str">
        <f>D21</f>
        <v>Geração de energia</v>
      </c>
      <c r="D1" s="624"/>
      <c r="E1" s="624"/>
      <c r="F1" s="624"/>
      <c r="G1" s="624"/>
      <c r="H1" s="624"/>
      <c r="I1" s="625"/>
      <c r="J1" s="604" t="s">
        <v>100</v>
      </c>
      <c r="K1" s="605"/>
      <c r="L1" s="136"/>
    </row>
    <row r="2" spans="1:12" ht="18" customHeight="1" thickBot="1" x14ac:dyDescent="0.35">
      <c r="A2" s="287">
        <v>1</v>
      </c>
      <c r="B2" s="285"/>
      <c r="C2" s="626"/>
      <c r="D2" s="627"/>
      <c r="E2" s="627"/>
      <c r="F2" s="627"/>
      <c r="G2" s="627"/>
      <c r="H2" s="627"/>
      <c r="I2" s="628"/>
      <c r="J2" s="611">
        <v>1</v>
      </c>
      <c r="K2" s="612"/>
    </row>
    <row r="3" spans="1:12" ht="15.6" customHeight="1" x14ac:dyDescent="0.3">
      <c r="A3" s="288" t="s">
        <v>101</v>
      </c>
      <c r="B3" s="285"/>
      <c r="C3" s="626"/>
      <c r="D3" s="627"/>
      <c r="E3" s="627"/>
      <c r="F3" s="627"/>
      <c r="G3" s="627"/>
      <c r="H3" s="627"/>
      <c r="I3" s="628"/>
      <c r="J3" s="613"/>
      <c r="K3" s="614"/>
    </row>
    <row r="4" spans="1:12" ht="15" customHeight="1" thickBot="1" x14ac:dyDescent="0.35">
      <c r="A4" s="289">
        <f ca="1">TODAY()</f>
        <v>44837</v>
      </c>
      <c r="B4" s="285"/>
      <c r="C4" s="629"/>
      <c r="D4" s="630"/>
      <c r="E4" s="630"/>
      <c r="F4" s="630"/>
      <c r="G4" s="630"/>
      <c r="H4" s="630"/>
      <c r="I4" s="631"/>
      <c r="J4" s="615"/>
      <c r="K4" s="616"/>
    </row>
    <row r="5" spans="1:12" ht="40.200000000000003" thickBot="1" x14ac:dyDescent="0.35">
      <c r="A5" s="290">
        <v>1.1499999999999999</v>
      </c>
      <c r="B5" s="285"/>
      <c r="C5" s="316" t="s">
        <v>466</v>
      </c>
      <c r="D5" s="326" t="s">
        <v>102</v>
      </c>
      <c r="E5" s="316" t="s">
        <v>103</v>
      </c>
      <c r="F5" s="316" t="s">
        <v>463</v>
      </c>
      <c r="G5" s="316" t="s">
        <v>464</v>
      </c>
      <c r="H5" s="316" t="s">
        <v>465</v>
      </c>
      <c r="I5" s="348" t="s">
        <v>461</v>
      </c>
      <c r="J5" s="606" t="s">
        <v>462</v>
      </c>
      <c r="K5" s="607"/>
    </row>
    <row r="6" spans="1:12" ht="16.2" customHeight="1" thickBot="1" x14ac:dyDescent="0.35">
      <c r="A6" s="355" t="s">
        <v>3</v>
      </c>
      <c r="C6" s="321">
        <f>'PLANINHA CENTRAL'!A4</f>
        <v>44256</v>
      </c>
      <c r="D6" s="322">
        <f>'PLANINHA CENTRAL'!B4-$A$9</f>
        <v>1440</v>
      </c>
      <c r="E6" s="323">
        <f>'PLANINHA CENTRAL'!G11</f>
        <v>1500</v>
      </c>
      <c r="F6" s="323">
        <f>E6-D6</f>
        <v>60</v>
      </c>
      <c r="G6" s="324">
        <f t="shared" ref="G6:G17" si="0">E6*$A$5</f>
        <v>1724.9999999999998</v>
      </c>
      <c r="H6" s="325">
        <f>A5*A9+(A15*A9)</f>
        <v>69</v>
      </c>
      <c r="I6" s="325">
        <f>G6-H6</f>
        <v>1655.9999999999998</v>
      </c>
      <c r="J6" s="617">
        <f>G18-H18</f>
        <v>19871.999999999996</v>
      </c>
      <c r="K6" s="618"/>
    </row>
    <row r="7" spans="1:12" ht="15.6" customHeight="1" thickBot="1" x14ac:dyDescent="0.35">
      <c r="A7" s="291">
        <v>40</v>
      </c>
      <c r="C7" s="12">
        <f>'PLANINHA CENTRAL'!A5</f>
        <v>44287</v>
      </c>
      <c r="D7" s="320">
        <f>'PLANINHA CENTRAL'!B5-$A$9</f>
        <v>1440</v>
      </c>
      <c r="E7" s="317">
        <f>E6</f>
        <v>1500</v>
      </c>
      <c r="F7" s="317">
        <f t="shared" ref="F7:F17" si="1">E7-D7</f>
        <v>60</v>
      </c>
      <c r="G7" s="318">
        <f t="shared" si="0"/>
        <v>1724.9999999999998</v>
      </c>
      <c r="H7" s="319">
        <f>H6</f>
        <v>69</v>
      </c>
      <c r="I7" s="319">
        <f>I6</f>
        <v>1655.9999999999998</v>
      </c>
      <c r="J7" s="619"/>
      <c r="K7" s="620"/>
    </row>
    <row r="8" spans="1:12" ht="15.6" customHeight="1" thickBot="1" x14ac:dyDescent="0.35">
      <c r="A8" s="356" t="s">
        <v>14</v>
      </c>
      <c r="C8" s="12">
        <f>'PLANINHA CENTRAL'!A6</f>
        <v>44317</v>
      </c>
      <c r="D8" s="320">
        <f>'PLANINHA CENTRAL'!B6-$A$9</f>
        <v>1440</v>
      </c>
      <c r="E8" s="317">
        <f t="shared" ref="E8:E17" si="2">E7</f>
        <v>1500</v>
      </c>
      <c r="F8" s="317">
        <f>E8-D8</f>
        <v>60</v>
      </c>
      <c r="G8" s="318">
        <f t="shared" si="0"/>
        <v>1724.9999999999998</v>
      </c>
      <c r="H8" s="319">
        <f t="shared" ref="H8:I17" si="3">H7</f>
        <v>69</v>
      </c>
      <c r="I8" s="319">
        <f t="shared" si="3"/>
        <v>1655.9999999999998</v>
      </c>
      <c r="J8" s="619"/>
      <c r="K8" s="620"/>
    </row>
    <row r="9" spans="1:12" ht="15.6" customHeight="1" thickBot="1" x14ac:dyDescent="0.35">
      <c r="A9" s="291">
        <v>60</v>
      </c>
      <c r="C9" s="12">
        <f>'PLANINHA CENTRAL'!A7</f>
        <v>44348</v>
      </c>
      <c r="D9" s="320">
        <f>'PLANINHA CENTRAL'!B7-$A$9</f>
        <v>1440</v>
      </c>
      <c r="E9" s="317">
        <f t="shared" si="2"/>
        <v>1500</v>
      </c>
      <c r="F9" s="317">
        <f t="shared" si="1"/>
        <v>60</v>
      </c>
      <c r="G9" s="318">
        <f t="shared" si="0"/>
        <v>1724.9999999999998</v>
      </c>
      <c r="H9" s="319">
        <f t="shared" si="3"/>
        <v>69</v>
      </c>
      <c r="I9" s="319">
        <f t="shared" si="3"/>
        <v>1655.9999999999998</v>
      </c>
      <c r="J9" s="619"/>
      <c r="K9" s="620"/>
    </row>
    <row r="10" spans="1:12" ht="15.6" customHeight="1" thickBot="1" x14ac:dyDescent="0.35">
      <c r="A10" s="357" t="s">
        <v>20</v>
      </c>
      <c r="C10" s="12">
        <f>'PLANINHA CENTRAL'!A8</f>
        <v>44378</v>
      </c>
      <c r="D10" s="320">
        <f>'PLANINHA CENTRAL'!B8-$A$9</f>
        <v>1440</v>
      </c>
      <c r="E10" s="317">
        <f t="shared" si="2"/>
        <v>1500</v>
      </c>
      <c r="F10" s="317">
        <f t="shared" si="1"/>
        <v>60</v>
      </c>
      <c r="G10" s="318">
        <f t="shared" si="0"/>
        <v>1724.9999999999998</v>
      </c>
      <c r="H10" s="319">
        <f t="shared" si="3"/>
        <v>69</v>
      </c>
      <c r="I10" s="319">
        <f t="shared" si="3"/>
        <v>1655.9999999999998</v>
      </c>
      <c r="J10" s="619"/>
      <c r="K10" s="620"/>
    </row>
    <row r="11" spans="1:12" ht="15.6" customHeight="1" thickBot="1" x14ac:dyDescent="0.35">
      <c r="A11" s="291">
        <v>110</v>
      </c>
      <c r="C11" s="12">
        <f>'PLANINHA CENTRAL'!A9</f>
        <v>44409</v>
      </c>
      <c r="D11" s="320">
        <f>'PLANINHA CENTRAL'!B9-$A$9</f>
        <v>1440</v>
      </c>
      <c r="E11" s="317">
        <f t="shared" si="2"/>
        <v>1500</v>
      </c>
      <c r="F11" s="317">
        <f>E11-D11</f>
        <v>60</v>
      </c>
      <c r="G11" s="318">
        <f t="shared" si="0"/>
        <v>1724.9999999999998</v>
      </c>
      <c r="H11" s="319">
        <f t="shared" si="3"/>
        <v>69</v>
      </c>
      <c r="I11" s="319">
        <f t="shared" si="3"/>
        <v>1655.9999999999998</v>
      </c>
      <c r="J11" s="619"/>
      <c r="K11" s="620"/>
    </row>
    <row r="12" spans="1:12" ht="15.6" customHeight="1" thickBot="1" x14ac:dyDescent="0.35">
      <c r="A12" s="358" t="s">
        <v>378</v>
      </c>
      <c r="C12" s="12">
        <f>'PLANINHA CENTRAL'!A10</f>
        <v>44440</v>
      </c>
      <c r="D12" s="320">
        <f>'PLANINHA CENTRAL'!B10-$A$9</f>
        <v>1440</v>
      </c>
      <c r="E12" s="317">
        <f>E11</f>
        <v>1500</v>
      </c>
      <c r="F12" s="317">
        <f t="shared" si="1"/>
        <v>60</v>
      </c>
      <c r="G12" s="318">
        <f t="shared" si="0"/>
        <v>1724.9999999999998</v>
      </c>
      <c r="H12" s="319">
        <f t="shared" si="3"/>
        <v>69</v>
      </c>
      <c r="I12" s="319">
        <f t="shared" si="3"/>
        <v>1655.9999999999998</v>
      </c>
      <c r="J12" s="619"/>
      <c r="K12" s="620"/>
    </row>
    <row r="13" spans="1:12" ht="15.6" customHeight="1" thickBot="1" x14ac:dyDescent="0.35">
      <c r="A13" s="354">
        <v>0.23300000000000001</v>
      </c>
      <c r="C13" s="12">
        <f>'PLANINHA CENTRAL'!A11</f>
        <v>44470</v>
      </c>
      <c r="D13" s="320">
        <f>'PLANINHA CENTRAL'!B11-$A$9</f>
        <v>1440</v>
      </c>
      <c r="E13" s="317">
        <f t="shared" si="2"/>
        <v>1500</v>
      </c>
      <c r="F13" s="317">
        <f t="shared" si="1"/>
        <v>60</v>
      </c>
      <c r="G13" s="318">
        <f t="shared" si="0"/>
        <v>1724.9999999999998</v>
      </c>
      <c r="H13" s="319">
        <f t="shared" si="3"/>
        <v>69</v>
      </c>
      <c r="I13" s="319">
        <f t="shared" si="3"/>
        <v>1655.9999999999998</v>
      </c>
      <c r="J13" s="619"/>
      <c r="K13" s="620"/>
    </row>
    <row r="14" spans="1:12" ht="15.6" customHeight="1" thickBot="1" x14ac:dyDescent="0.35">
      <c r="A14" s="359" t="s">
        <v>468</v>
      </c>
      <c r="C14" s="12">
        <f>'PLANINHA CENTRAL'!A12</f>
        <v>44501</v>
      </c>
      <c r="D14" s="320">
        <f>'PLANINHA CENTRAL'!B12-$A$9</f>
        <v>1440</v>
      </c>
      <c r="E14" s="317">
        <f t="shared" si="2"/>
        <v>1500</v>
      </c>
      <c r="F14" s="317">
        <f t="shared" si="1"/>
        <v>60</v>
      </c>
      <c r="G14" s="318">
        <f t="shared" si="0"/>
        <v>1724.9999999999998</v>
      </c>
      <c r="H14" s="319">
        <f t="shared" si="3"/>
        <v>69</v>
      </c>
      <c r="I14" s="319">
        <f t="shared" si="3"/>
        <v>1655.9999999999998</v>
      </c>
      <c r="J14" s="619"/>
      <c r="K14" s="620"/>
    </row>
    <row r="15" spans="1:12" ht="15.6" customHeight="1" thickBot="1" x14ac:dyDescent="0.35">
      <c r="A15" s="360">
        <v>0</v>
      </c>
      <c r="C15" s="12">
        <f>'PLANINHA CENTRAL'!A13</f>
        <v>44531</v>
      </c>
      <c r="D15" s="320">
        <f>'PLANINHA CENTRAL'!B13-$A$9</f>
        <v>1440</v>
      </c>
      <c r="E15" s="317">
        <f t="shared" si="2"/>
        <v>1500</v>
      </c>
      <c r="F15" s="317">
        <f t="shared" si="1"/>
        <v>60</v>
      </c>
      <c r="G15" s="318">
        <f t="shared" si="0"/>
        <v>1724.9999999999998</v>
      </c>
      <c r="H15" s="319">
        <f t="shared" si="3"/>
        <v>69</v>
      </c>
      <c r="I15" s="319">
        <f t="shared" si="3"/>
        <v>1655.9999999999998</v>
      </c>
      <c r="J15" s="619"/>
      <c r="K15" s="620"/>
    </row>
    <row r="16" spans="1:12" ht="15.6" customHeight="1" thickBot="1" x14ac:dyDescent="0.35">
      <c r="C16" s="12">
        <f>'PLANINHA CENTRAL'!A14</f>
        <v>44562</v>
      </c>
      <c r="D16" s="320">
        <f>'PLANINHA CENTRAL'!B14-$A$9</f>
        <v>1440</v>
      </c>
      <c r="E16" s="317">
        <f t="shared" si="2"/>
        <v>1500</v>
      </c>
      <c r="F16" s="317">
        <f t="shared" si="1"/>
        <v>60</v>
      </c>
      <c r="G16" s="318">
        <f t="shared" si="0"/>
        <v>1724.9999999999998</v>
      </c>
      <c r="H16" s="319">
        <f t="shared" si="3"/>
        <v>69</v>
      </c>
      <c r="I16" s="319">
        <f t="shared" si="3"/>
        <v>1655.9999999999998</v>
      </c>
      <c r="J16" s="619"/>
      <c r="K16" s="620"/>
    </row>
    <row r="17" spans="1:11" ht="15.6" customHeight="1" thickBot="1" x14ac:dyDescent="0.35">
      <c r="A17" s="284"/>
      <c r="C17" s="12">
        <f>'PLANINHA CENTRAL'!A15</f>
        <v>44593</v>
      </c>
      <c r="D17" s="320">
        <f>'PLANINHA CENTRAL'!B15-$A$9</f>
        <v>1440</v>
      </c>
      <c r="E17" s="317">
        <f t="shared" si="2"/>
        <v>1500</v>
      </c>
      <c r="F17" s="317">
        <f t="shared" si="1"/>
        <v>60</v>
      </c>
      <c r="G17" s="318">
        <f t="shared" si="0"/>
        <v>1724.9999999999998</v>
      </c>
      <c r="H17" s="319">
        <f t="shared" si="3"/>
        <v>69</v>
      </c>
      <c r="I17" s="319">
        <f t="shared" si="3"/>
        <v>1655.9999999999998</v>
      </c>
      <c r="J17" s="619"/>
      <c r="K17" s="620"/>
    </row>
    <row r="18" spans="1:11" ht="15" customHeight="1" thickBot="1" x14ac:dyDescent="0.35">
      <c r="A18" s="284"/>
      <c r="C18" s="591" t="s">
        <v>109</v>
      </c>
      <c r="D18" s="634">
        <f>SUM(D6:D17)</f>
        <v>17280</v>
      </c>
      <c r="E18" s="633">
        <f>SUM(E6:E17)</f>
        <v>18000</v>
      </c>
      <c r="F18" s="608">
        <f>SUM(F6:F17)</f>
        <v>720</v>
      </c>
      <c r="G18" s="636">
        <f>SUM(G6:G17)</f>
        <v>20699.999999999996</v>
      </c>
      <c r="H18" s="610">
        <f>SUM(H6:H17)</f>
        <v>828</v>
      </c>
      <c r="I18" s="632"/>
      <c r="J18" s="619"/>
      <c r="K18" s="620"/>
    </row>
    <row r="19" spans="1:11" ht="15" customHeight="1" thickBot="1" x14ac:dyDescent="0.35">
      <c r="C19" s="591"/>
      <c r="D19" s="635"/>
      <c r="E19" s="633"/>
      <c r="F19" s="609"/>
      <c r="G19" s="636"/>
      <c r="H19" s="610"/>
      <c r="I19" s="632"/>
      <c r="J19" s="621"/>
      <c r="K19" s="622"/>
    </row>
    <row r="20" spans="1:11" s="115" customFormat="1" ht="15" thickBot="1" x14ac:dyDescent="0.35"/>
    <row r="21" spans="1:11" ht="18" x14ac:dyDescent="0.35">
      <c r="A21" s="113" t="s">
        <v>99</v>
      </c>
      <c r="D21" s="584" t="s">
        <v>110</v>
      </c>
      <c r="E21" s="584"/>
      <c r="F21" s="584"/>
      <c r="G21" s="584"/>
      <c r="H21" s="584"/>
      <c r="I21" s="584"/>
      <c r="J21" s="597" t="s">
        <v>100</v>
      </c>
      <c r="K21" s="598"/>
    </row>
    <row r="22" spans="1:11" ht="18" x14ac:dyDescent="0.3">
      <c r="A22" s="114">
        <v>2</v>
      </c>
      <c r="D22" s="584"/>
      <c r="E22" s="584"/>
      <c r="F22" s="584"/>
      <c r="G22" s="584"/>
      <c r="H22" s="584"/>
      <c r="I22" s="584"/>
      <c r="J22" s="599">
        <f>J2+1</f>
        <v>2</v>
      </c>
      <c r="K22" s="600"/>
    </row>
    <row r="23" spans="1:11" ht="15.6" x14ac:dyDescent="0.3">
      <c r="A23" s="112" t="s">
        <v>101</v>
      </c>
      <c r="D23" s="584"/>
      <c r="E23" s="584"/>
      <c r="F23" s="584"/>
      <c r="G23" s="584"/>
      <c r="H23" s="584"/>
      <c r="I23" s="584"/>
      <c r="J23" s="601"/>
      <c r="K23" s="602"/>
    </row>
    <row r="24" spans="1:11" x14ac:dyDescent="0.3">
      <c r="A24" s="103">
        <f ca="1">TODAY()</f>
        <v>44837</v>
      </c>
      <c r="D24" s="584"/>
      <c r="E24" s="584"/>
      <c r="F24" s="584"/>
      <c r="G24" s="584"/>
      <c r="H24" s="584"/>
      <c r="I24" s="584"/>
    </row>
    <row r="25" spans="1:11" ht="39.6" x14ac:dyDescent="0.3">
      <c r="A25" s="104">
        <f>'PLANINHA CENTRAL'!$F$5</f>
        <v>1.1499999999999999</v>
      </c>
      <c r="C25" s="11"/>
      <c r="D25" s="16" t="s">
        <v>102</v>
      </c>
      <c r="E25" s="16" t="s">
        <v>103</v>
      </c>
      <c r="F25" s="16" t="s">
        <v>104</v>
      </c>
      <c r="G25" s="16" t="s">
        <v>105</v>
      </c>
      <c r="H25" s="16" t="s">
        <v>106</v>
      </c>
      <c r="I25" s="110" t="s">
        <v>107</v>
      </c>
      <c r="J25" s="585" t="s">
        <v>108</v>
      </c>
      <c r="K25" s="586"/>
    </row>
    <row r="26" spans="1:11" ht="15.6" x14ac:dyDescent="0.3">
      <c r="A26" s="93" t="s">
        <v>3</v>
      </c>
      <c r="C26" s="12" t="e">
        <f>'PLANINHA CENTRAL'!#REF!</f>
        <v>#REF!</v>
      </c>
      <c r="D26" s="108">
        <f>'PLANINHA CENTRAL'!B18-$A$31</f>
        <v>1450</v>
      </c>
      <c r="E26" s="13">
        <f>'PLANINHA CENTRAL'!G25</f>
        <v>1500</v>
      </c>
      <c r="F26" s="13">
        <f>E26-D26</f>
        <v>50</v>
      </c>
      <c r="G26" s="13">
        <f>F26</f>
        <v>50</v>
      </c>
      <c r="H26" s="116">
        <f t="shared" ref="H26:H37" si="4">D26*$A$5</f>
        <v>1667.4999999999998</v>
      </c>
      <c r="I26" s="117">
        <f t="shared" ref="I26:I37" si="5">$A$11*$A$5</f>
        <v>126.49999999999999</v>
      </c>
      <c r="J26" s="587">
        <f>H38-I38</f>
        <v>18491.999999999996</v>
      </c>
      <c r="K26" s="588"/>
    </row>
    <row r="27" spans="1:11" ht="15.6" x14ac:dyDescent="0.3">
      <c r="A27" s="520">
        <v>30</v>
      </c>
      <c r="C27" s="12" t="e">
        <f>'PLANINHA CENTRAL'!#REF!</f>
        <v>#REF!</v>
      </c>
      <c r="D27" s="108">
        <f>'PLANINHA CENTRAL'!B19-$A$31</f>
        <v>1450</v>
      </c>
      <c r="E27" s="13">
        <f>E26</f>
        <v>1500</v>
      </c>
      <c r="F27" s="13">
        <f t="shared" ref="F27:F37" si="6">E27-D27</f>
        <v>50</v>
      </c>
      <c r="G27" s="13">
        <f>G26+F27</f>
        <v>100</v>
      </c>
      <c r="H27" s="116">
        <f t="shared" si="4"/>
        <v>1667.4999999999998</v>
      </c>
      <c r="I27" s="117">
        <f t="shared" si="5"/>
        <v>126.49999999999999</v>
      </c>
      <c r="J27" s="587"/>
      <c r="K27" s="588"/>
    </row>
    <row r="28" spans="1:11" ht="15.6" x14ac:dyDescent="0.3">
      <c r="A28" s="520"/>
      <c r="C28" s="12">
        <f>'PLANINHA CENTRAL'!A20</f>
        <v>44317</v>
      </c>
      <c r="D28" s="108">
        <f>'PLANINHA CENTRAL'!B20-$A$31</f>
        <v>1450</v>
      </c>
      <c r="E28" s="13">
        <f t="shared" ref="E28:E37" si="7">E27</f>
        <v>1500</v>
      </c>
      <c r="F28" s="13">
        <f t="shared" si="6"/>
        <v>50</v>
      </c>
      <c r="G28" s="13">
        <f t="shared" ref="G28:G37" si="8">G27+F28</f>
        <v>150</v>
      </c>
      <c r="H28" s="116">
        <f t="shared" si="4"/>
        <v>1667.4999999999998</v>
      </c>
      <c r="I28" s="117">
        <f t="shared" si="5"/>
        <v>126.49999999999999</v>
      </c>
      <c r="J28" s="587"/>
      <c r="K28" s="588"/>
    </row>
    <row r="29" spans="1:11" ht="15.6" x14ac:dyDescent="0.3">
      <c r="A29" s="520"/>
      <c r="C29" s="12">
        <f>'PLANINHA CENTRAL'!A21</f>
        <v>44348</v>
      </c>
      <c r="D29" s="108">
        <f>'PLANINHA CENTRAL'!B21-$A$31</f>
        <v>1450</v>
      </c>
      <c r="E29" s="13">
        <f t="shared" si="7"/>
        <v>1500</v>
      </c>
      <c r="F29" s="13">
        <f t="shared" si="6"/>
        <v>50</v>
      </c>
      <c r="G29" s="13">
        <f t="shared" si="8"/>
        <v>200</v>
      </c>
      <c r="H29" s="116">
        <f t="shared" si="4"/>
        <v>1667.4999999999998</v>
      </c>
      <c r="I29" s="117">
        <f t="shared" si="5"/>
        <v>126.49999999999999</v>
      </c>
      <c r="J29" s="587"/>
      <c r="K29" s="588"/>
    </row>
    <row r="30" spans="1:11" ht="15.6" x14ac:dyDescent="0.3">
      <c r="A30" s="98" t="s">
        <v>14</v>
      </c>
      <c r="C30" s="12">
        <f>'PLANINHA CENTRAL'!A22</f>
        <v>44378</v>
      </c>
      <c r="D30" s="108">
        <f>'PLANINHA CENTRAL'!B22-$A$31</f>
        <v>1450</v>
      </c>
      <c r="E30" s="13">
        <f t="shared" si="7"/>
        <v>1500</v>
      </c>
      <c r="F30" s="13">
        <f t="shared" si="6"/>
        <v>50</v>
      </c>
      <c r="G30" s="13">
        <f t="shared" si="8"/>
        <v>250</v>
      </c>
      <c r="H30" s="116">
        <f t="shared" si="4"/>
        <v>1667.4999999999998</v>
      </c>
      <c r="I30" s="117">
        <f t="shared" si="5"/>
        <v>126.49999999999999</v>
      </c>
      <c r="J30" s="587"/>
      <c r="K30" s="588"/>
    </row>
    <row r="31" spans="1:11" ht="15.6" x14ac:dyDescent="0.3">
      <c r="A31" s="520">
        <v>50</v>
      </c>
      <c r="C31" s="12">
        <f>'PLANINHA CENTRAL'!A23</f>
        <v>44409</v>
      </c>
      <c r="D31" s="108">
        <f>'PLANINHA CENTRAL'!B23-$A$31</f>
        <v>1450</v>
      </c>
      <c r="E31" s="13">
        <f t="shared" si="7"/>
        <v>1500</v>
      </c>
      <c r="F31" s="13">
        <f t="shared" si="6"/>
        <v>50</v>
      </c>
      <c r="G31" s="13">
        <f t="shared" si="8"/>
        <v>300</v>
      </c>
      <c r="H31" s="116">
        <f t="shared" si="4"/>
        <v>1667.4999999999998</v>
      </c>
      <c r="I31" s="117">
        <f t="shared" si="5"/>
        <v>126.49999999999999</v>
      </c>
      <c r="J31" s="587"/>
      <c r="K31" s="588"/>
    </row>
    <row r="32" spans="1:11" ht="15.6" x14ac:dyDescent="0.3">
      <c r="A32" s="520"/>
      <c r="C32" s="12">
        <f>'PLANINHA CENTRAL'!A24</f>
        <v>44440</v>
      </c>
      <c r="D32" s="108">
        <f>'PLANINHA CENTRAL'!B24-$A$31</f>
        <v>1450</v>
      </c>
      <c r="E32" s="13">
        <f>E31</f>
        <v>1500</v>
      </c>
      <c r="F32" s="13">
        <f t="shared" si="6"/>
        <v>50</v>
      </c>
      <c r="G32" s="13">
        <f t="shared" si="8"/>
        <v>350</v>
      </c>
      <c r="H32" s="116">
        <f t="shared" si="4"/>
        <v>1667.4999999999998</v>
      </c>
      <c r="I32" s="117">
        <f t="shared" si="5"/>
        <v>126.49999999999999</v>
      </c>
      <c r="J32" s="587"/>
      <c r="K32" s="588"/>
    </row>
    <row r="33" spans="1:11" ht="15.6" x14ac:dyDescent="0.3">
      <c r="A33" s="520"/>
      <c r="C33" s="12">
        <f>'PLANINHA CENTRAL'!A25</f>
        <v>44470</v>
      </c>
      <c r="D33" s="108">
        <f>'PLANINHA CENTRAL'!B25-$A$31</f>
        <v>1450</v>
      </c>
      <c r="E33" s="13">
        <f t="shared" si="7"/>
        <v>1500</v>
      </c>
      <c r="F33" s="13">
        <f t="shared" si="6"/>
        <v>50</v>
      </c>
      <c r="G33" s="13">
        <f t="shared" si="8"/>
        <v>400</v>
      </c>
      <c r="H33" s="116">
        <f t="shared" si="4"/>
        <v>1667.4999999999998</v>
      </c>
      <c r="I33" s="117">
        <f t="shared" si="5"/>
        <v>126.49999999999999</v>
      </c>
      <c r="J33" s="587"/>
      <c r="K33" s="588"/>
    </row>
    <row r="34" spans="1:11" ht="15.6" x14ac:dyDescent="0.3">
      <c r="A34" s="520"/>
      <c r="C34" s="12">
        <f>'PLANINHA CENTRAL'!A26</f>
        <v>44501</v>
      </c>
      <c r="D34" s="108">
        <f>'PLANINHA CENTRAL'!B26-$A$31</f>
        <v>1450</v>
      </c>
      <c r="E34" s="13">
        <f t="shared" si="7"/>
        <v>1500</v>
      </c>
      <c r="F34" s="13">
        <f t="shared" si="6"/>
        <v>50</v>
      </c>
      <c r="G34" s="13">
        <f t="shared" si="8"/>
        <v>450</v>
      </c>
      <c r="H34" s="116">
        <f t="shared" si="4"/>
        <v>1667.4999999999998</v>
      </c>
      <c r="I34" s="117">
        <f t="shared" si="5"/>
        <v>126.49999999999999</v>
      </c>
      <c r="J34" s="587"/>
      <c r="K34" s="588"/>
    </row>
    <row r="35" spans="1:11" ht="15.6" x14ac:dyDescent="0.3">
      <c r="A35" s="95" t="s">
        <v>20</v>
      </c>
      <c r="C35" s="12">
        <f>'PLANINHA CENTRAL'!A19</f>
        <v>44287</v>
      </c>
      <c r="D35" s="108">
        <f>'PLANINHA CENTRAL'!B27-$A$31</f>
        <v>1450</v>
      </c>
      <c r="E35" s="13">
        <f t="shared" si="7"/>
        <v>1500</v>
      </c>
      <c r="F35" s="13">
        <f t="shared" si="6"/>
        <v>50</v>
      </c>
      <c r="G35" s="13">
        <f t="shared" si="8"/>
        <v>500</v>
      </c>
      <c r="H35" s="116">
        <f t="shared" si="4"/>
        <v>1667.4999999999998</v>
      </c>
      <c r="I35" s="117">
        <f t="shared" si="5"/>
        <v>126.49999999999999</v>
      </c>
      <c r="J35" s="587"/>
      <c r="K35" s="588"/>
    </row>
    <row r="36" spans="1:11" ht="15.6" x14ac:dyDescent="0.3">
      <c r="A36" s="520">
        <v>100</v>
      </c>
      <c r="C36" s="12">
        <f>'PLANINHA CENTRAL'!A18</f>
        <v>44256</v>
      </c>
      <c r="D36" s="108">
        <f>'PLANINHA CENTRAL'!B28-$A$31</f>
        <v>1450</v>
      </c>
      <c r="E36" s="13">
        <f t="shared" si="7"/>
        <v>1500</v>
      </c>
      <c r="F36" s="13">
        <f t="shared" si="6"/>
        <v>50</v>
      </c>
      <c r="G36" s="13">
        <f t="shared" si="8"/>
        <v>550</v>
      </c>
      <c r="H36" s="116">
        <f t="shared" si="4"/>
        <v>1667.4999999999998</v>
      </c>
      <c r="I36" s="117">
        <f t="shared" si="5"/>
        <v>126.49999999999999</v>
      </c>
      <c r="J36" s="587"/>
      <c r="K36" s="588"/>
    </row>
    <row r="37" spans="1:11" ht="15.6" x14ac:dyDescent="0.3">
      <c r="A37" s="520"/>
      <c r="C37" s="12">
        <f>'PLANINHA CENTRAL'!A29</f>
        <v>44593</v>
      </c>
      <c r="D37" s="108">
        <f>'PLANINHA CENTRAL'!B29-$A$31</f>
        <v>1450</v>
      </c>
      <c r="E37" s="13">
        <f t="shared" si="7"/>
        <v>1500</v>
      </c>
      <c r="F37" s="13">
        <f t="shared" si="6"/>
        <v>50</v>
      </c>
      <c r="G37" s="13">
        <f t="shared" si="8"/>
        <v>600</v>
      </c>
      <c r="H37" s="116">
        <f t="shared" si="4"/>
        <v>1667.4999999999998</v>
      </c>
      <c r="I37" s="117">
        <f t="shared" si="5"/>
        <v>126.49999999999999</v>
      </c>
      <c r="J37" s="589"/>
      <c r="K37" s="590"/>
    </row>
    <row r="38" spans="1:11" x14ac:dyDescent="0.3">
      <c r="A38" s="520"/>
      <c r="C38" s="591" t="s">
        <v>109</v>
      </c>
      <c r="D38" s="592">
        <f>SUM(D26:D37)</f>
        <v>17400</v>
      </c>
      <c r="E38" s="592">
        <f>SUM(E26:E37)</f>
        <v>18000</v>
      </c>
      <c r="F38" s="594">
        <f>SUM(F26:F37)</f>
        <v>600</v>
      </c>
      <c r="G38" s="594">
        <f>G37</f>
        <v>600</v>
      </c>
      <c r="H38" s="603">
        <f>SUM(H26:H37)</f>
        <v>20009.999999999996</v>
      </c>
      <c r="I38" s="603">
        <f>SUM(I26:I37)</f>
        <v>1517.9999999999998</v>
      </c>
    </row>
    <row r="39" spans="1:11" x14ac:dyDescent="0.3">
      <c r="C39" s="591"/>
      <c r="D39" s="593"/>
      <c r="E39" s="592"/>
      <c r="F39" s="595"/>
      <c r="G39" s="595"/>
      <c r="H39" s="603"/>
      <c r="I39" s="603"/>
    </row>
    <row r="40" spans="1:11" s="115" customFormat="1" x14ac:dyDescent="0.3"/>
    <row r="41" spans="1:11" ht="18.75" customHeight="1" x14ac:dyDescent="0.35">
      <c r="A41" s="113" t="s">
        <v>99</v>
      </c>
      <c r="D41" s="584" t="s">
        <v>110</v>
      </c>
      <c r="E41" s="584"/>
      <c r="F41" s="584"/>
      <c r="G41" s="584"/>
      <c r="H41" s="584"/>
      <c r="I41" s="584"/>
      <c r="J41" s="597" t="s">
        <v>100</v>
      </c>
      <c r="K41" s="598"/>
    </row>
    <row r="42" spans="1:11" ht="18.75" customHeight="1" x14ac:dyDescent="0.3">
      <c r="A42" s="114">
        <v>3</v>
      </c>
      <c r="D42" s="584"/>
      <c r="E42" s="584"/>
      <c r="F42" s="584"/>
      <c r="G42" s="584"/>
      <c r="H42" s="584"/>
      <c r="I42" s="584"/>
      <c r="J42" s="599">
        <f>J22+1</f>
        <v>3</v>
      </c>
      <c r="K42" s="600"/>
    </row>
    <row r="43" spans="1:11" ht="15.6" x14ac:dyDescent="0.3">
      <c r="A43" s="112" t="s">
        <v>101</v>
      </c>
      <c r="D43" s="584"/>
      <c r="E43" s="584"/>
      <c r="F43" s="584"/>
      <c r="G43" s="584"/>
      <c r="H43" s="584"/>
      <c r="I43" s="584"/>
      <c r="J43" s="601"/>
      <c r="K43" s="602"/>
    </row>
    <row r="44" spans="1:11" x14ac:dyDescent="0.3">
      <c r="A44" s="103">
        <f ca="1">TODAY()</f>
        <v>44837</v>
      </c>
      <c r="D44" s="584"/>
      <c r="E44" s="584"/>
      <c r="F44" s="584"/>
      <c r="G44" s="584"/>
      <c r="H44" s="584"/>
      <c r="I44" s="584"/>
    </row>
    <row r="45" spans="1:11" ht="39.6" x14ac:dyDescent="0.3">
      <c r="A45" s="104">
        <f>'PLANINHA CENTRAL'!$F$5</f>
        <v>1.1499999999999999</v>
      </c>
      <c r="C45" s="11"/>
      <c r="D45" s="16" t="s">
        <v>102</v>
      </c>
      <c r="E45" s="16" t="s">
        <v>103</v>
      </c>
      <c r="F45" s="16" t="s">
        <v>104</v>
      </c>
      <c r="G45" s="16" t="s">
        <v>105</v>
      </c>
      <c r="H45" s="16" t="s">
        <v>106</v>
      </c>
      <c r="I45" s="110" t="s">
        <v>107</v>
      </c>
      <c r="J45" s="585" t="s">
        <v>108</v>
      </c>
      <c r="K45" s="586"/>
    </row>
    <row r="46" spans="1:11" ht="15.6" x14ac:dyDescent="0.3">
      <c r="A46" s="93" t="s">
        <v>3</v>
      </c>
      <c r="C46" s="12">
        <f>'PLANINHA CENTRAL'!A46</f>
        <v>44197</v>
      </c>
      <c r="D46" s="108">
        <f>'PLANINHA CENTRAL'!B32-$A$51</f>
        <v>-50</v>
      </c>
      <c r="E46" s="13">
        <f>'PLANINHA CENTRAL'!G39</f>
        <v>0</v>
      </c>
      <c r="F46" s="13">
        <f>E46-D46</f>
        <v>50</v>
      </c>
      <c r="G46" s="13">
        <f>F46</f>
        <v>50</v>
      </c>
      <c r="H46" s="116">
        <f t="shared" ref="H46:H57" si="9">D46*$A$5</f>
        <v>-57.499999999999993</v>
      </c>
      <c r="I46" s="117">
        <f>$A$56*$A$45</f>
        <v>114.99999999999999</v>
      </c>
      <c r="J46" s="587">
        <f>H58-I58</f>
        <v>-1437.4999999999998</v>
      </c>
      <c r="K46" s="588"/>
    </row>
    <row r="47" spans="1:11" ht="15.6" x14ac:dyDescent="0.3">
      <c r="A47" s="520">
        <v>30</v>
      </c>
      <c r="C47" s="12">
        <f>'PLANINHA CENTRAL'!A47</f>
        <v>44228</v>
      </c>
      <c r="D47" s="108">
        <f>'PLANINHA CENTRAL'!B33-$A$51</f>
        <v>-50</v>
      </c>
      <c r="E47" s="13">
        <f>E46</f>
        <v>0</v>
      </c>
      <c r="F47" s="13">
        <f t="shared" ref="F47" si="10">E47-D47</f>
        <v>50</v>
      </c>
      <c r="G47" s="13">
        <f>G46+F47</f>
        <v>100</v>
      </c>
      <c r="H47" s="116">
        <f t="shared" si="9"/>
        <v>-57.499999999999993</v>
      </c>
      <c r="I47" s="117">
        <f t="shared" ref="I47:I57" si="11">$A$51*$A$45</f>
        <v>57.499999999999993</v>
      </c>
      <c r="J47" s="587"/>
      <c r="K47" s="588"/>
    </row>
    <row r="48" spans="1:11" ht="15.6" x14ac:dyDescent="0.3">
      <c r="A48" s="520"/>
      <c r="C48" s="12">
        <f>'PLANINHA CENTRAL'!A48</f>
        <v>44256</v>
      </c>
      <c r="D48" s="108">
        <f>'PLANINHA CENTRAL'!B34-$A$51</f>
        <v>-50</v>
      </c>
      <c r="E48" s="13">
        <f t="shared" ref="E48:E57" si="12">E47</f>
        <v>0</v>
      </c>
      <c r="F48" s="13">
        <f>E48-D48</f>
        <v>50</v>
      </c>
      <c r="G48" s="13">
        <f t="shared" ref="G48:G57" si="13">G47+F48</f>
        <v>150</v>
      </c>
      <c r="H48" s="116">
        <f t="shared" si="9"/>
        <v>-57.499999999999993</v>
      </c>
      <c r="I48" s="117">
        <f t="shared" si="11"/>
        <v>57.499999999999993</v>
      </c>
      <c r="J48" s="587"/>
      <c r="K48" s="588"/>
    </row>
    <row r="49" spans="1:11" ht="15.6" x14ac:dyDescent="0.3">
      <c r="A49" s="520"/>
      <c r="C49" s="12">
        <f>'PLANINHA CENTRAL'!A49</f>
        <v>44287</v>
      </c>
      <c r="D49" s="108">
        <f>'PLANINHA CENTRAL'!B35-$A$51</f>
        <v>-50</v>
      </c>
      <c r="E49" s="13">
        <f t="shared" si="12"/>
        <v>0</v>
      </c>
      <c r="F49" s="13">
        <f t="shared" ref="F49:F50" si="14">E49-D49</f>
        <v>50</v>
      </c>
      <c r="G49" s="13">
        <f t="shared" si="13"/>
        <v>200</v>
      </c>
      <c r="H49" s="116">
        <f t="shared" si="9"/>
        <v>-57.499999999999993</v>
      </c>
      <c r="I49" s="117">
        <f t="shared" si="11"/>
        <v>57.499999999999993</v>
      </c>
      <c r="J49" s="587"/>
      <c r="K49" s="588"/>
    </row>
    <row r="50" spans="1:11" ht="15.6" x14ac:dyDescent="0.3">
      <c r="A50" s="98" t="s">
        <v>14</v>
      </c>
      <c r="C50" s="12">
        <f>'PLANINHA CENTRAL'!A50</f>
        <v>44317</v>
      </c>
      <c r="D50" s="108">
        <f>'PLANINHA CENTRAL'!B36-$A$51</f>
        <v>-50</v>
      </c>
      <c r="E50" s="13">
        <f t="shared" si="12"/>
        <v>0</v>
      </c>
      <c r="F50" s="13">
        <f t="shared" si="14"/>
        <v>50</v>
      </c>
      <c r="G50" s="13">
        <f t="shared" si="13"/>
        <v>250</v>
      </c>
      <c r="H50" s="116">
        <f t="shared" si="9"/>
        <v>-57.499999999999993</v>
      </c>
      <c r="I50" s="117">
        <f t="shared" si="11"/>
        <v>57.499999999999993</v>
      </c>
      <c r="J50" s="587"/>
      <c r="K50" s="588"/>
    </row>
    <row r="51" spans="1:11" ht="15.6" x14ac:dyDescent="0.3">
      <c r="A51" s="520">
        <v>50</v>
      </c>
      <c r="C51" s="12">
        <f>'PLANINHA CENTRAL'!A51</f>
        <v>44348</v>
      </c>
      <c r="D51" s="108">
        <f>'PLANINHA CENTRAL'!B37-$A$51</f>
        <v>-50</v>
      </c>
      <c r="E51" s="13">
        <f t="shared" si="12"/>
        <v>0</v>
      </c>
      <c r="F51" s="13">
        <f>E51-D51</f>
        <v>50</v>
      </c>
      <c r="G51" s="13">
        <f t="shared" si="13"/>
        <v>300</v>
      </c>
      <c r="H51" s="116">
        <f t="shared" si="9"/>
        <v>-57.499999999999993</v>
      </c>
      <c r="I51" s="117">
        <f t="shared" si="11"/>
        <v>57.499999999999993</v>
      </c>
      <c r="J51" s="587"/>
      <c r="K51" s="588"/>
    </row>
    <row r="52" spans="1:11" ht="15.6" x14ac:dyDescent="0.3">
      <c r="A52" s="520"/>
      <c r="C52" s="12">
        <f>'PLANINHA CENTRAL'!A52</f>
        <v>44378</v>
      </c>
      <c r="D52" s="108">
        <f>'PLANINHA CENTRAL'!B38-$A$51</f>
        <v>-50</v>
      </c>
      <c r="E52" s="13">
        <f>E51</f>
        <v>0</v>
      </c>
      <c r="F52" s="13">
        <f t="shared" ref="F52:F57" si="15">E52-D52</f>
        <v>50</v>
      </c>
      <c r="G52" s="13">
        <f t="shared" si="13"/>
        <v>350</v>
      </c>
      <c r="H52" s="116">
        <f t="shared" si="9"/>
        <v>-57.499999999999993</v>
      </c>
      <c r="I52" s="117">
        <f t="shared" si="11"/>
        <v>57.499999999999993</v>
      </c>
      <c r="J52" s="587"/>
      <c r="K52" s="588"/>
    </row>
    <row r="53" spans="1:11" ht="15.6" x14ac:dyDescent="0.3">
      <c r="A53" s="520"/>
      <c r="C53" s="12">
        <f>'PLANINHA CENTRAL'!A53</f>
        <v>44409</v>
      </c>
      <c r="D53" s="108">
        <f>'PLANINHA CENTRAL'!B39-$A$51</f>
        <v>-50</v>
      </c>
      <c r="E53" s="13">
        <f t="shared" si="12"/>
        <v>0</v>
      </c>
      <c r="F53" s="13">
        <f t="shared" si="15"/>
        <v>50</v>
      </c>
      <c r="G53" s="13">
        <f t="shared" si="13"/>
        <v>400</v>
      </c>
      <c r="H53" s="116">
        <f t="shared" si="9"/>
        <v>-57.499999999999993</v>
      </c>
      <c r="I53" s="117">
        <f t="shared" si="11"/>
        <v>57.499999999999993</v>
      </c>
      <c r="J53" s="587"/>
      <c r="K53" s="588"/>
    </row>
    <row r="54" spans="1:11" ht="15.6" x14ac:dyDescent="0.3">
      <c r="A54" s="520"/>
      <c r="C54" s="12">
        <f>'PLANINHA CENTRAL'!A54</f>
        <v>44440</v>
      </c>
      <c r="D54" s="108">
        <f>'PLANINHA CENTRAL'!B40-$A$51</f>
        <v>-50</v>
      </c>
      <c r="E54" s="13">
        <f t="shared" si="12"/>
        <v>0</v>
      </c>
      <c r="F54" s="13">
        <f t="shared" si="15"/>
        <v>50</v>
      </c>
      <c r="G54" s="13">
        <f t="shared" si="13"/>
        <v>450</v>
      </c>
      <c r="H54" s="116">
        <f t="shared" si="9"/>
        <v>-57.499999999999993</v>
      </c>
      <c r="I54" s="117">
        <f t="shared" si="11"/>
        <v>57.499999999999993</v>
      </c>
      <c r="J54" s="587"/>
      <c r="K54" s="588"/>
    </row>
    <row r="55" spans="1:11" ht="15.6" x14ac:dyDescent="0.3">
      <c r="A55" s="95" t="s">
        <v>20</v>
      </c>
      <c r="C55" s="12">
        <f>'PLANINHA CENTRAL'!A55</f>
        <v>44470</v>
      </c>
      <c r="D55" s="108">
        <f>'PLANINHA CENTRAL'!B41-$A$51</f>
        <v>-50</v>
      </c>
      <c r="E55" s="13">
        <f t="shared" si="12"/>
        <v>0</v>
      </c>
      <c r="F55" s="13">
        <f t="shared" si="15"/>
        <v>50</v>
      </c>
      <c r="G55" s="13">
        <f t="shared" si="13"/>
        <v>500</v>
      </c>
      <c r="H55" s="116">
        <f t="shared" si="9"/>
        <v>-57.499999999999993</v>
      </c>
      <c r="I55" s="117">
        <f t="shared" si="11"/>
        <v>57.499999999999993</v>
      </c>
      <c r="J55" s="587"/>
      <c r="K55" s="588"/>
    </row>
    <row r="56" spans="1:11" ht="15.6" x14ac:dyDescent="0.3">
      <c r="A56" s="520">
        <v>100</v>
      </c>
      <c r="C56" s="12">
        <f>'PLANINHA CENTRAL'!A56</f>
        <v>44501</v>
      </c>
      <c r="D56" s="108">
        <f>'PLANINHA CENTRAL'!B42-$A$51</f>
        <v>-50</v>
      </c>
      <c r="E56" s="13">
        <f t="shared" si="12"/>
        <v>0</v>
      </c>
      <c r="F56" s="13">
        <f t="shared" si="15"/>
        <v>50</v>
      </c>
      <c r="G56" s="13">
        <f t="shared" si="13"/>
        <v>550</v>
      </c>
      <c r="H56" s="116">
        <f t="shared" si="9"/>
        <v>-57.499999999999993</v>
      </c>
      <c r="I56" s="117">
        <f t="shared" si="11"/>
        <v>57.499999999999993</v>
      </c>
      <c r="J56" s="587"/>
      <c r="K56" s="588"/>
    </row>
    <row r="57" spans="1:11" ht="15.6" x14ac:dyDescent="0.3">
      <c r="A57" s="520"/>
      <c r="C57" s="12">
        <f>'PLANINHA CENTRAL'!A57</f>
        <v>44531</v>
      </c>
      <c r="D57" s="108">
        <f>'PLANINHA CENTRAL'!B43-$A$51</f>
        <v>-50</v>
      </c>
      <c r="E57" s="13">
        <f t="shared" si="12"/>
        <v>0</v>
      </c>
      <c r="F57" s="13">
        <f t="shared" si="15"/>
        <v>50</v>
      </c>
      <c r="G57" s="13">
        <f t="shared" si="13"/>
        <v>600</v>
      </c>
      <c r="H57" s="116">
        <f t="shared" si="9"/>
        <v>-57.499999999999993</v>
      </c>
      <c r="I57" s="117">
        <f t="shared" si="11"/>
        <v>57.499999999999993</v>
      </c>
      <c r="J57" s="589"/>
      <c r="K57" s="590"/>
    </row>
    <row r="58" spans="1:11" x14ac:dyDescent="0.3">
      <c r="A58" s="520"/>
      <c r="C58" s="591" t="s">
        <v>109</v>
      </c>
      <c r="D58" s="592">
        <f>SUM(D46:D57)</f>
        <v>-600</v>
      </c>
      <c r="E58" s="592">
        <f>SUM(E46:E57)</f>
        <v>0</v>
      </c>
      <c r="F58" s="594">
        <f>SUM(F46:F57)</f>
        <v>600</v>
      </c>
      <c r="G58" s="594">
        <f>G57</f>
        <v>600</v>
      </c>
      <c r="H58" s="603">
        <f>SUM(H46:H57)</f>
        <v>-689.99999999999989</v>
      </c>
      <c r="I58" s="603">
        <f>SUM(I46:I57)</f>
        <v>747.49999999999989</v>
      </c>
    </row>
    <row r="59" spans="1:11" x14ac:dyDescent="0.3">
      <c r="C59" s="591"/>
      <c r="D59" s="593"/>
      <c r="E59" s="592"/>
      <c r="F59" s="595"/>
      <c r="G59" s="595"/>
      <c r="H59" s="603"/>
      <c r="I59" s="603"/>
    </row>
    <row r="60" spans="1:11" s="115" customFormat="1" x14ac:dyDescent="0.3"/>
    <row r="61" spans="1:11" ht="18" x14ac:dyDescent="0.35">
      <c r="A61" s="113" t="s">
        <v>99</v>
      </c>
      <c r="D61" s="584" t="s">
        <v>110</v>
      </c>
      <c r="E61" s="584"/>
      <c r="F61" s="584"/>
      <c r="G61" s="584"/>
      <c r="H61" s="584"/>
      <c r="I61" s="584"/>
      <c r="J61" s="597" t="s">
        <v>100</v>
      </c>
      <c r="K61" s="598"/>
    </row>
    <row r="62" spans="1:11" ht="18" x14ac:dyDescent="0.3">
      <c r="A62" s="114">
        <v>4</v>
      </c>
      <c r="D62" s="584"/>
      <c r="E62" s="584"/>
      <c r="F62" s="584"/>
      <c r="G62" s="584"/>
      <c r="H62" s="584"/>
      <c r="I62" s="584"/>
      <c r="J62" s="599">
        <f>J42+1</f>
        <v>4</v>
      </c>
      <c r="K62" s="600"/>
    </row>
    <row r="63" spans="1:11" ht="15.6" x14ac:dyDescent="0.3">
      <c r="A63" s="112" t="s">
        <v>101</v>
      </c>
      <c r="D63" s="584"/>
      <c r="E63" s="584"/>
      <c r="F63" s="584"/>
      <c r="G63" s="584"/>
      <c r="H63" s="584"/>
      <c r="I63" s="584"/>
      <c r="J63" s="601"/>
      <c r="K63" s="602"/>
    </row>
    <row r="64" spans="1:11" x14ac:dyDescent="0.3">
      <c r="A64" s="103">
        <f ca="1">TODAY()</f>
        <v>44837</v>
      </c>
      <c r="D64" s="584"/>
      <c r="E64" s="584"/>
      <c r="F64" s="584"/>
      <c r="G64" s="584"/>
      <c r="H64" s="584"/>
      <c r="I64" s="584"/>
    </row>
    <row r="65" spans="1:11" ht="39.6" x14ac:dyDescent="0.3">
      <c r="A65" s="104">
        <f>'PLANINHA CENTRAL'!$F$5</f>
        <v>1.1499999999999999</v>
      </c>
      <c r="C65" s="11"/>
      <c r="D65" s="16" t="s">
        <v>102</v>
      </c>
      <c r="E65" s="16" t="s">
        <v>103</v>
      </c>
      <c r="F65" s="16" t="s">
        <v>104</v>
      </c>
      <c r="G65" s="16" t="s">
        <v>105</v>
      </c>
      <c r="H65" s="16" t="s">
        <v>106</v>
      </c>
      <c r="I65" s="110" t="s">
        <v>107</v>
      </c>
      <c r="J65" s="585" t="s">
        <v>108</v>
      </c>
      <c r="K65" s="586"/>
    </row>
    <row r="66" spans="1:11" ht="15.6" x14ac:dyDescent="0.3">
      <c r="A66" s="93" t="s">
        <v>3</v>
      </c>
      <c r="C66" s="12">
        <f>'PLANINHA CENTRAL'!A46</f>
        <v>44197</v>
      </c>
      <c r="D66" s="108">
        <f>'PLANINHA CENTRAL'!B46-$A$71</f>
        <v>-50</v>
      </c>
      <c r="E66" s="13">
        <f>'PLANINHA CENTRAL'!G53</f>
        <v>0</v>
      </c>
      <c r="F66" s="13">
        <f>E66-D66</f>
        <v>50</v>
      </c>
      <c r="G66" s="13">
        <f>F66</f>
        <v>50</v>
      </c>
      <c r="H66" s="116">
        <f t="shared" ref="H66:H77" si="16">D66*$A$5</f>
        <v>-57.499999999999993</v>
      </c>
      <c r="I66" s="117">
        <f t="shared" ref="I66:I71" si="17">100*$A$5</f>
        <v>114.99999999999999</v>
      </c>
      <c r="J66" s="587">
        <f>H78-I78</f>
        <v>-1667.4999999999998</v>
      </c>
      <c r="K66" s="588"/>
    </row>
    <row r="67" spans="1:11" ht="15.6" x14ac:dyDescent="0.3">
      <c r="A67" s="520">
        <v>30</v>
      </c>
      <c r="C67" s="12">
        <f>'PLANINHA CENTRAL'!A47</f>
        <v>44228</v>
      </c>
      <c r="D67" s="108">
        <f>'PLANINHA CENTRAL'!B47-$A$71</f>
        <v>-50</v>
      </c>
      <c r="E67" s="13">
        <f>E66</f>
        <v>0</v>
      </c>
      <c r="F67" s="13">
        <f t="shared" ref="F67:F77" si="18">E67-D67</f>
        <v>50</v>
      </c>
      <c r="G67" s="13">
        <f>G66+F67</f>
        <v>100</v>
      </c>
      <c r="H67" s="116">
        <f t="shared" si="16"/>
        <v>-57.499999999999993</v>
      </c>
      <c r="I67" s="117">
        <f t="shared" si="17"/>
        <v>114.99999999999999</v>
      </c>
      <c r="J67" s="587"/>
      <c r="K67" s="588"/>
    </row>
    <row r="68" spans="1:11" ht="15.6" x14ac:dyDescent="0.3">
      <c r="A68" s="520"/>
      <c r="C68" s="12">
        <f>'PLANINHA CENTRAL'!A48</f>
        <v>44256</v>
      </c>
      <c r="D68" s="108">
        <f>'PLANINHA CENTRAL'!B48-$A$71</f>
        <v>-50</v>
      </c>
      <c r="E68" s="13">
        <f t="shared" ref="E68:E77" si="19">E67</f>
        <v>0</v>
      </c>
      <c r="F68" s="13">
        <f t="shared" si="18"/>
        <v>50</v>
      </c>
      <c r="G68" s="13">
        <f t="shared" ref="G68:G77" si="20">G67+F68</f>
        <v>150</v>
      </c>
      <c r="H68" s="116">
        <f t="shared" si="16"/>
        <v>-57.499999999999993</v>
      </c>
      <c r="I68" s="117">
        <f t="shared" si="17"/>
        <v>114.99999999999999</v>
      </c>
      <c r="J68" s="587"/>
      <c r="K68" s="588"/>
    </row>
    <row r="69" spans="1:11" ht="15.6" x14ac:dyDescent="0.3">
      <c r="A69" s="520"/>
      <c r="C69" s="12">
        <f>'PLANINHA CENTRAL'!A49</f>
        <v>44287</v>
      </c>
      <c r="D69" s="108">
        <f>'PLANINHA CENTRAL'!B49-$A$71</f>
        <v>-50</v>
      </c>
      <c r="E69" s="13">
        <f t="shared" si="19"/>
        <v>0</v>
      </c>
      <c r="F69" s="13">
        <f t="shared" si="18"/>
        <v>50</v>
      </c>
      <c r="G69" s="13">
        <f t="shared" si="20"/>
        <v>200</v>
      </c>
      <c r="H69" s="116">
        <f t="shared" si="16"/>
        <v>-57.499999999999993</v>
      </c>
      <c r="I69" s="117">
        <f t="shared" si="17"/>
        <v>114.99999999999999</v>
      </c>
      <c r="J69" s="587"/>
      <c r="K69" s="588"/>
    </row>
    <row r="70" spans="1:11" ht="15.6" x14ac:dyDescent="0.3">
      <c r="A70" s="98" t="s">
        <v>14</v>
      </c>
      <c r="C70" s="12">
        <f>'PLANINHA CENTRAL'!A50</f>
        <v>44317</v>
      </c>
      <c r="D70" s="108">
        <f>'PLANINHA CENTRAL'!B50-$A$71</f>
        <v>-50</v>
      </c>
      <c r="E70" s="13">
        <f t="shared" si="19"/>
        <v>0</v>
      </c>
      <c r="F70" s="13">
        <f t="shared" si="18"/>
        <v>50</v>
      </c>
      <c r="G70" s="13">
        <f t="shared" si="20"/>
        <v>250</v>
      </c>
      <c r="H70" s="116">
        <f t="shared" si="16"/>
        <v>-57.499999999999993</v>
      </c>
      <c r="I70" s="117">
        <f t="shared" si="17"/>
        <v>114.99999999999999</v>
      </c>
      <c r="J70" s="587"/>
      <c r="K70" s="588"/>
    </row>
    <row r="71" spans="1:11" ht="15.6" x14ac:dyDescent="0.3">
      <c r="A71" s="520">
        <v>50</v>
      </c>
      <c r="C71" s="12">
        <f>'PLANINHA CENTRAL'!A51</f>
        <v>44348</v>
      </c>
      <c r="D71" s="108">
        <f>'PLANINHA CENTRAL'!B51-$A$71</f>
        <v>-50</v>
      </c>
      <c r="E71" s="13">
        <f t="shared" si="19"/>
        <v>0</v>
      </c>
      <c r="F71" s="13">
        <f t="shared" si="18"/>
        <v>50</v>
      </c>
      <c r="G71" s="13">
        <f t="shared" si="20"/>
        <v>300</v>
      </c>
      <c r="H71" s="116">
        <f t="shared" si="16"/>
        <v>-57.499999999999993</v>
      </c>
      <c r="I71" s="117">
        <f t="shared" si="17"/>
        <v>114.99999999999999</v>
      </c>
      <c r="J71" s="587"/>
      <c r="K71" s="588"/>
    </row>
    <row r="72" spans="1:11" ht="15.6" x14ac:dyDescent="0.3">
      <c r="A72" s="520"/>
      <c r="C72" s="12">
        <f>'PLANINHA CENTRAL'!A52</f>
        <v>44378</v>
      </c>
      <c r="D72" s="108">
        <f>'PLANINHA CENTRAL'!B52-$A$71</f>
        <v>-50</v>
      </c>
      <c r="E72" s="13">
        <f>E71</f>
        <v>0</v>
      </c>
      <c r="F72" s="13">
        <f t="shared" si="18"/>
        <v>50</v>
      </c>
      <c r="G72" s="13">
        <f t="shared" si="20"/>
        <v>350</v>
      </c>
      <c r="H72" s="116">
        <f t="shared" si="16"/>
        <v>-57.499999999999993</v>
      </c>
      <c r="I72" s="117">
        <f>100*$A$5+((G72*-1)*A65)</f>
        <v>-287.49999999999994</v>
      </c>
      <c r="J72" s="587"/>
      <c r="K72" s="588"/>
    </row>
    <row r="73" spans="1:11" ht="15.6" x14ac:dyDescent="0.3">
      <c r="A73" s="520"/>
      <c r="C73" s="12">
        <f>'PLANINHA CENTRAL'!A53</f>
        <v>44409</v>
      </c>
      <c r="D73" s="108">
        <f>'PLANINHA CENTRAL'!B53-$A$71</f>
        <v>-50</v>
      </c>
      <c r="E73" s="13">
        <f t="shared" si="19"/>
        <v>0</v>
      </c>
      <c r="F73" s="13">
        <f t="shared" si="18"/>
        <v>50</v>
      </c>
      <c r="G73" s="13">
        <f t="shared" si="20"/>
        <v>400</v>
      </c>
      <c r="H73" s="116">
        <f t="shared" si="16"/>
        <v>-57.499999999999993</v>
      </c>
      <c r="I73" s="117">
        <f>100*$A$5</f>
        <v>114.99999999999999</v>
      </c>
      <c r="J73" s="587"/>
      <c r="K73" s="588"/>
    </row>
    <row r="74" spans="1:11" ht="15.6" x14ac:dyDescent="0.3">
      <c r="A74" s="520"/>
      <c r="C74" s="12">
        <f>'PLANINHA CENTRAL'!A54</f>
        <v>44440</v>
      </c>
      <c r="D74" s="108">
        <f>'PLANINHA CENTRAL'!B54-$A$71</f>
        <v>-50</v>
      </c>
      <c r="E74" s="13">
        <f t="shared" si="19"/>
        <v>0</v>
      </c>
      <c r="F74" s="13">
        <f t="shared" si="18"/>
        <v>50</v>
      </c>
      <c r="G74" s="13">
        <f t="shared" si="20"/>
        <v>450</v>
      </c>
      <c r="H74" s="116">
        <f t="shared" si="16"/>
        <v>-57.499999999999993</v>
      </c>
      <c r="I74" s="117">
        <f>100*$A$5</f>
        <v>114.99999999999999</v>
      </c>
      <c r="J74" s="587"/>
      <c r="K74" s="588"/>
    </row>
    <row r="75" spans="1:11" ht="15.6" x14ac:dyDescent="0.3">
      <c r="A75" s="95" t="s">
        <v>20</v>
      </c>
      <c r="C75" s="12">
        <f>'PLANINHA CENTRAL'!A55</f>
        <v>44470</v>
      </c>
      <c r="D75" s="108">
        <f>'PLANINHA CENTRAL'!B55-$A$71</f>
        <v>-50</v>
      </c>
      <c r="E75" s="13">
        <f t="shared" si="19"/>
        <v>0</v>
      </c>
      <c r="F75" s="13">
        <f t="shared" si="18"/>
        <v>50</v>
      </c>
      <c r="G75" s="13">
        <f t="shared" si="20"/>
        <v>500</v>
      </c>
      <c r="H75" s="116">
        <f t="shared" si="16"/>
        <v>-57.499999999999993</v>
      </c>
      <c r="I75" s="117">
        <f>100*$A$5</f>
        <v>114.99999999999999</v>
      </c>
      <c r="J75" s="587"/>
      <c r="K75" s="588"/>
    </row>
    <row r="76" spans="1:11" ht="15.6" x14ac:dyDescent="0.3">
      <c r="A76" s="520">
        <v>100</v>
      </c>
      <c r="C76" s="12">
        <f>'PLANINHA CENTRAL'!A56</f>
        <v>44501</v>
      </c>
      <c r="D76" s="108">
        <f>'PLANINHA CENTRAL'!B56-$A$71</f>
        <v>-50</v>
      </c>
      <c r="E76" s="13">
        <f t="shared" si="19"/>
        <v>0</v>
      </c>
      <c r="F76" s="13">
        <f t="shared" si="18"/>
        <v>50</v>
      </c>
      <c r="G76" s="13">
        <f t="shared" si="20"/>
        <v>550</v>
      </c>
      <c r="H76" s="116">
        <f t="shared" si="16"/>
        <v>-57.499999999999993</v>
      </c>
      <c r="I76" s="117">
        <f>100*$A$5</f>
        <v>114.99999999999999</v>
      </c>
      <c r="J76" s="587"/>
      <c r="K76" s="588"/>
    </row>
    <row r="77" spans="1:11" ht="15.6" x14ac:dyDescent="0.3">
      <c r="A77" s="520"/>
      <c r="C77" s="12">
        <f>'PLANINHA CENTRAL'!A57</f>
        <v>44531</v>
      </c>
      <c r="D77" s="108">
        <f>'PLANINHA CENTRAL'!B57-$A$71</f>
        <v>-50</v>
      </c>
      <c r="E77" s="13">
        <f t="shared" si="19"/>
        <v>0</v>
      </c>
      <c r="F77" s="13">
        <f t="shared" si="18"/>
        <v>50</v>
      </c>
      <c r="G77" s="13">
        <f t="shared" si="20"/>
        <v>600</v>
      </c>
      <c r="H77" s="116">
        <f t="shared" si="16"/>
        <v>-57.499999999999993</v>
      </c>
      <c r="I77" s="117">
        <f>100*$A$5</f>
        <v>114.99999999999999</v>
      </c>
      <c r="J77" s="589"/>
      <c r="K77" s="590"/>
    </row>
    <row r="78" spans="1:11" x14ac:dyDescent="0.3">
      <c r="A78" s="520"/>
      <c r="C78" s="591" t="s">
        <v>109</v>
      </c>
      <c r="D78" s="592">
        <f>SUM(D66:D77)</f>
        <v>-600</v>
      </c>
      <c r="E78" s="592">
        <f>SUM(E66:E77)</f>
        <v>0</v>
      </c>
      <c r="F78" s="594">
        <f>SUM(F66:F77)</f>
        <v>600</v>
      </c>
      <c r="G78" s="594">
        <f>G77</f>
        <v>600</v>
      </c>
      <c r="H78" s="603">
        <f>SUM(H66:H77)</f>
        <v>-689.99999999999989</v>
      </c>
      <c r="I78" s="603">
        <f>SUM(I66:I77)</f>
        <v>977.49999999999989</v>
      </c>
    </row>
    <row r="79" spans="1:11" x14ac:dyDescent="0.3">
      <c r="C79" s="591"/>
      <c r="D79" s="593"/>
      <c r="E79" s="592"/>
      <c r="F79" s="595"/>
      <c r="G79" s="595"/>
      <c r="H79" s="603"/>
      <c r="I79" s="603"/>
    </row>
    <row r="80" spans="1:11" s="115" customFormat="1" x14ac:dyDescent="0.3"/>
    <row r="81" spans="1:11" ht="18" x14ac:dyDescent="0.35">
      <c r="A81" s="113" t="s">
        <v>99</v>
      </c>
      <c r="D81" s="584" t="s">
        <v>110</v>
      </c>
      <c r="E81" s="584"/>
      <c r="F81" s="584"/>
      <c r="G81" s="584"/>
      <c r="H81" s="584"/>
      <c r="I81" s="584"/>
      <c r="J81" s="597" t="s">
        <v>100</v>
      </c>
      <c r="K81" s="598"/>
    </row>
    <row r="82" spans="1:11" ht="18" x14ac:dyDescent="0.3">
      <c r="A82" s="114">
        <v>5</v>
      </c>
      <c r="D82" s="584"/>
      <c r="E82" s="584"/>
      <c r="F82" s="584"/>
      <c r="G82" s="584"/>
      <c r="H82" s="584"/>
      <c r="I82" s="584"/>
      <c r="J82" s="599">
        <f>J62+1</f>
        <v>5</v>
      </c>
      <c r="K82" s="600"/>
    </row>
    <row r="83" spans="1:11" ht="15.6" x14ac:dyDescent="0.3">
      <c r="A83" s="112" t="s">
        <v>101</v>
      </c>
      <c r="D83" s="584"/>
      <c r="E83" s="584"/>
      <c r="F83" s="584"/>
      <c r="G83" s="584"/>
      <c r="H83" s="584"/>
      <c r="I83" s="584"/>
      <c r="J83" s="601"/>
      <c r="K83" s="602"/>
    </row>
    <row r="84" spans="1:11" x14ac:dyDescent="0.3">
      <c r="A84" s="103">
        <f ca="1">TODAY()</f>
        <v>44837</v>
      </c>
      <c r="D84" s="584"/>
      <c r="E84" s="584"/>
      <c r="F84" s="584"/>
      <c r="G84" s="584"/>
      <c r="H84" s="584"/>
      <c r="I84" s="584"/>
    </row>
    <row r="85" spans="1:11" ht="39.6" x14ac:dyDescent="0.3">
      <c r="A85" s="104">
        <f>'PLANINHA CENTRAL'!$F$5</f>
        <v>1.1499999999999999</v>
      </c>
      <c r="C85" s="11"/>
      <c r="D85" s="16" t="s">
        <v>102</v>
      </c>
      <c r="E85" s="16" t="s">
        <v>103</v>
      </c>
      <c r="F85" s="16" t="s">
        <v>104</v>
      </c>
      <c r="G85" s="16" t="s">
        <v>105</v>
      </c>
      <c r="H85" s="16" t="s">
        <v>106</v>
      </c>
      <c r="I85" s="110" t="s">
        <v>107</v>
      </c>
      <c r="J85" s="585" t="s">
        <v>108</v>
      </c>
      <c r="K85" s="586"/>
    </row>
    <row r="86" spans="1:11" ht="15.6" x14ac:dyDescent="0.3">
      <c r="A86" s="93" t="s">
        <v>3</v>
      </c>
      <c r="C86" s="12">
        <f>'PLANINHA CENTRAL'!A84</f>
        <v>0</v>
      </c>
      <c r="D86" s="105">
        <f>'PLANINHA CENTRAL'!B84-$A$11</f>
        <v>-110</v>
      </c>
      <c r="E86" s="106">
        <f>'PLANINHA CENTRAL'!G91</f>
        <v>0</v>
      </c>
      <c r="F86" s="106">
        <f>E86-D86</f>
        <v>110</v>
      </c>
      <c r="G86" s="106">
        <f>F86</f>
        <v>110</v>
      </c>
      <c r="H86" s="107">
        <f t="shared" ref="H86:H97" si="21">D86*$A$5</f>
        <v>-126.49999999999999</v>
      </c>
      <c r="I86" s="111">
        <f>(100*$A$5)+((F86*-1)*$A$5)</f>
        <v>-11.5</v>
      </c>
      <c r="J86" s="587">
        <f>H98-I98</f>
        <v>-2771.4999999999995</v>
      </c>
      <c r="K86" s="588"/>
    </row>
    <row r="87" spans="1:11" ht="15.6" x14ac:dyDescent="0.3">
      <c r="A87" s="520">
        <v>30</v>
      </c>
      <c r="C87" s="12">
        <f>'PLANINHA CENTRAL'!A85</f>
        <v>0</v>
      </c>
      <c r="D87" s="14">
        <f>'PLANINHA CENTRAL'!B85-$A$11</f>
        <v>-110</v>
      </c>
      <c r="E87" s="15">
        <f>E86</f>
        <v>0</v>
      </c>
      <c r="F87" s="15">
        <f t="shared" ref="F87" si="22">E87-D87</f>
        <v>110</v>
      </c>
      <c r="G87" s="15">
        <f>F87</f>
        <v>110</v>
      </c>
      <c r="H87" s="17">
        <f t="shared" si="21"/>
        <v>-126.49999999999999</v>
      </c>
      <c r="I87" s="111">
        <f t="shared" ref="I87:I97" si="23">100*$A$5</f>
        <v>114.99999999999999</v>
      </c>
      <c r="J87" s="587"/>
      <c r="K87" s="588"/>
    </row>
    <row r="88" spans="1:11" ht="15.6" x14ac:dyDescent="0.3">
      <c r="A88" s="520"/>
      <c r="C88" s="12">
        <f>'PLANINHA CENTRAL'!A86</f>
        <v>0</v>
      </c>
      <c r="D88" s="108">
        <f>'PLANINHA CENTRAL'!B86-$A$11</f>
        <v>-110</v>
      </c>
      <c r="E88" s="13">
        <f t="shared" ref="E88:E97" si="24">E87</f>
        <v>0</v>
      </c>
      <c r="F88" s="13">
        <f>E88-D88</f>
        <v>110</v>
      </c>
      <c r="G88" s="13">
        <f>F87+F88</f>
        <v>220</v>
      </c>
      <c r="H88" s="109">
        <f t="shared" si="21"/>
        <v>-126.49999999999999</v>
      </c>
      <c r="I88" s="111">
        <f t="shared" si="23"/>
        <v>114.99999999999999</v>
      </c>
      <c r="J88" s="587"/>
      <c r="K88" s="588"/>
    </row>
    <row r="89" spans="1:11" ht="15.6" x14ac:dyDescent="0.3">
      <c r="A89" s="520"/>
      <c r="C89" s="12">
        <f>'PLANINHA CENTRAL'!A87</f>
        <v>0</v>
      </c>
      <c r="D89" s="14">
        <f>'PLANINHA CENTRAL'!B87-$A$11</f>
        <v>-110</v>
      </c>
      <c r="E89" s="15">
        <f t="shared" si="24"/>
        <v>0</v>
      </c>
      <c r="F89" s="15">
        <f t="shared" ref="F89:F90" si="25">E89-D89</f>
        <v>110</v>
      </c>
      <c r="G89" s="15">
        <f>G88+F89</f>
        <v>330</v>
      </c>
      <c r="H89" s="17">
        <f t="shared" si="21"/>
        <v>-126.49999999999999</v>
      </c>
      <c r="I89" s="111">
        <f t="shared" si="23"/>
        <v>114.99999999999999</v>
      </c>
      <c r="J89" s="587"/>
      <c r="K89" s="588"/>
    </row>
    <row r="90" spans="1:11" ht="15.6" x14ac:dyDescent="0.3">
      <c r="A90" s="98" t="s">
        <v>14</v>
      </c>
      <c r="C90" s="12">
        <f>'PLANINHA CENTRAL'!A88</f>
        <v>0</v>
      </c>
      <c r="D90" s="108">
        <f>'PLANINHA CENTRAL'!B88-$A$11</f>
        <v>-110</v>
      </c>
      <c r="E90" s="13">
        <f t="shared" si="24"/>
        <v>0</v>
      </c>
      <c r="F90" s="13">
        <f t="shared" si="25"/>
        <v>110</v>
      </c>
      <c r="G90" s="15">
        <f>G89+F90</f>
        <v>440</v>
      </c>
      <c r="H90" s="109">
        <f t="shared" si="21"/>
        <v>-126.49999999999999</v>
      </c>
      <c r="I90" s="111">
        <f t="shared" si="23"/>
        <v>114.99999999999999</v>
      </c>
      <c r="J90" s="587"/>
      <c r="K90" s="588"/>
    </row>
    <row r="91" spans="1:11" ht="15.6" x14ac:dyDescent="0.3">
      <c r="A91" s="520">
        <v>50</v>
      </c>
      <c r="C91" s="12">
        <f>'PLANINHA CENTRAL'!A89</f>
        <v>0</v>
      </c>
      <c r="D91" s="14">
        <f>'PLANINHA CENTRAL'!B89-$A$11</f>
        <v>-110</v>
      </c>
      <c r="E91" s="15">
        <f t="shared" si="24"/>
        <v>0</v>
      </c>
      <c r="F91" s="15">
        <f>E91-D91</f>
        <v>110</v>
      </c>
      <c r="G91" s="15">
        <f t="shared" ref="G91:G97" si="26">G90+F91</f>
        <v>550</v>
      </c>
      <c r="H91" s="17">
        <f t="shared" si="21"/>
        <v>-126.49999999999999</v>
      </c>
      <c r="I91" s="111">
        <f t="shared" si="23"/>
        <v>114.99999999999999</v>
      </c>
      <c r="J91" s="587"/>
      <c r="K91" s="588"/>
    </row>
    <row r="92" spans="1:11" ht="15.6" x14ac:dyDescent="0.3">
      <c r="A92" s="520"/>
      <c r="C92" s="12">
        <f>'PLANINHA CENTRAL'!A90</f>
        <v>0</v>
      </c>
      <c r="D92" s="108">
        <f>'PLANINHA CENTRAL'!B90-$A$11</f>
        <v>-110</v>
      </c>
      <c r="E92" s="13">
        <f>E91</f>
        <v>0</v>
      </c>
      <c r="F92" s="13">
        <f t="shared" ref="F92:F97" si="27">E92-D92</f>
        <v>110</v>
      </c>
      <c r="G92" s="15">
        <f t="shared" si="26"/>
        <v>660</v>
      </c>
      <c r="H92" s="109">
        <f t="shared" si="21"/>
        <v>-126.49999999999999</v>
      </c>
      <c r="I92" s="111">
        <f t="shared" si="23"/>
        <v>114.99999999999999</v>
      </c>
      <c r="J92" s="587"/>
      <c r="K92" s="588"/>
    </row>
    <row r="93" spans="1:11" ht="15.6" x14ac:dyDescent="0.3">
      <c r="A93" s="520"/>
      <c r="C93" s="12">
        <f>'PLANINHA CENTRAL'!A91</f>
        <v>0</v>
      </c>
      <c r="D93" s="14">
        <f>'PLANINHA CENTRAL'!B91-$A$11</f>
        <v>-110</v>
      </c>
      <c r="E93" s="15">
        <f t="shared" si="24"/>
        <v>0</v>
      </c>
      <c r="F93" s="15">
        <f t="shared" si="27"/>
        <v>110</v>
      </c>
      <c r="G93" s="15">
        <f t="shared" si="26"/>
        <v>770</v>
      </c>
      <c r="H93" s="17">
        <f t="shared" si="21"/>
        <v>-126.49999999999999</v>
      </c>
      <c r="I93" s="111">
        <f t="shared" si="23"/>
        <v>114.99999999999999</v>
      </c>
      <c r="J93" s="587"/>
      <c r="K93" s="588"/>
    </row>
    <row r="94" spans="1:11" ht="15.6" x14ac:dyDescent="0.3">
      <c r="A94" s="520"/>
      <c r="C94" s="12">
        <f>'PLANINHA CENTRAL'!A92</f>
        <v>0</v>
      </c>
      <c r="D94" s="108">
        <f>'PLANINHA CENTRAL'!B92-$A$11</f>
        <v>-110</v>
      </c>
      <c r="E94" s="13">
        <f t="shared" si="24"/>
        <v>0</v>
      </c>
      <c r="F94" s="13">
        <f t="shared" si="27"/>
        <v>110</v>
      </c>
      <c r="G94" s="15">
        <f t="shared" si="26"/>
        <v>880</v>
      </c>
      <c r="H94" s="109">
        <f t="shared" si="21"/>
        <v>-126.49999999999999</v>
      </c>
      <c r="I94" s="111">
        <f t="shared" si="23"/>
        <v>114.99999999999999</v>
      </c>
      <c r="J94" s="587"/>
      <c r="K94" s="588"/>
    </row>
    <row r="95" spans="1:11" ht="15.6" x14ac:dyDescent="0.3">
      <c r="A95" s="95" t="s">
        <v>20</v>
      </c>
      <c r="C95" s="12">
        <f>'PLANINHA CENTRAL'!A93</f>
        <v>0</v>
      </c>
      <c r="D95" s="105">
        <f>'PLANINHA CENTRAL'!B93-$A$11</f>
        <v>-110</v>
      </c>
      <c r="E95" s="106">
        <f t="shared" si="24"/>
        <v>0</v>
      </c>
      <c r="F95" s="106">
        <f t="shared" si="27"/>
        <v>110</v>
      </c>
      <c r="G95" s="106">
        <f t="shared" si="26"/>
        <v>990</v>
      </c>
      <c r="H95" s="107">
        <f t="shared" si="21"/>
        <v>-126.49999999999999</v>
      </c>
      <c r="I95" s="111">
        <f t="shared" si="23"/>
        <v>114.99999999999999</v>
      </c>
      <c r="J95" s="587"/>
      <c r="K95" s="588"/>
    </row>
    <row r="96" spans="1:11" ht="15.6" x14ac:dyDescent="0.3">
      <c r="A96" s="520">
        <v>100</v>
      </c>
      <c r="C96" s="12">
        <f>'PLANINHA CENTRAL'!A94</f>
        <v>0</v>
      </c>
      <c r="D96" s="105">
        <f>'PLANINHA CENTRAL'!B94-$A$11</f>
        <v>-110</v>
      </c>
      <c r="E96" s="106">
        <f t="shared" si="24"/>
        <v>0</v>
      </c>
      <c r="F96" s="106">
        <f t="shared" si="27"/>
        <v>110</v>
      </c>
      <c r="G96" s="106">
        <f t="shared" si="26"/>
        <v>1100</v>
      </c>
      <c r="H96" s="107">
        <f t="shared" si="21"/>
        <v>-126.49999999999999</v>
      </c>
      <c r="I96" s="111">
        <f t="shared" si="23"/>
        <v>114.99999999999999</v>
      </c>
      <c r="J96" s="587"/>
      <c r="K96" s="588"/>
    </row>
    <row r="97" spans="1:11" ht="15.6" x14ac:dyDescent="0.3">
      <c r="A97" s="520"/>
      <c r="C97" s="12">
        <f>'PLANINHA CENTRAL'!A95</f>
        <v>0</v>
      </c>
      <c r="D97" s="105">
        <f>'PLANINHA CENTRAL'!B95-$A$11</f>
        <v>-110</v>
      </c>
      <c r="E97" s="106">
        <f t="shared" si="24"/>
        <v>0</v>
      </c>
      <c r="F97" s="106">
        <f t="shared" si="27"/>
        <v>110</v>
      </c>
      <c r="G97" s="106">
        <f t="shared" si="26"/>
        <v>1210</v>
      </c>
      <c r="H97" s="107">
        <f t="shared" si="21"/>
        <v>-126.49999999999999</v>
      </c>
      <c r="I97" s="111">
        <f t="shared" si="23"/>
        <v>114.99999999999999</v>
      </c>
      <c r="J97" s="589"/>
      <c r="K97" s="590"/>
    </row>
    <row r="98" spans="1:11" x14ac:dyDescent="0.3">
      <c r="A98" s="520"/>
      <c r="C98" s="591" t="s">
        <v>109</v>
      </c>
      <c r="D98" s="592">
        <f>SUM(D86:D97)</f>
        <v>-1320</v>
      </c>
      <c r="E98" s="592">
        <f>SUM(E86:E97)</f>
        <v>0</v>
      </c>
      <c r="F98" s="594">
        <f>SUM(F86:F97)</f>
        <v>1320</v>
      </c>
      <c r="G98" s="594">
        <f>G97</f>
        <v>1210</v>
      </c>
      <c r="H98" s="592">
        <f>SUM(H86:H97)</f>
        <v>-1517.9999999999998</v>
      </c>
      <c r="I98" s="596">
        <f>SUM(I86:I97)</f>
        <v>1253.4999999999998</v>
      </c>
    </row>
    <row r="99" spans="1:11" x14ac:dyDescent="0.3">
      <c r="C99" s="591"/>
      <c r="D99" s="593"/>
      <c r="E99" s="592"/>
      <c r="F99" s="595"/>
      <c r="G99" s="595"/>
      <c r="H99" s="592"/>
      <c r="I99" s="596"/>
    </row>
  </sheetData>
  <mergeCells count="72">
    <mergeCell ref="J1:K1"/>
    <mergeCell ref="J5:K5"/>
    <mergeCell ref="D21:I24"/>
    <mergeCell ref="J25:K25"/>
    <mergeCell ref="F18:F19"/>
    <mergeCell ref="H18:H19"/>
    <mergeCell ref="J2:K4"/>
    <mergeCell ref="J6:K19"/>
    <mergeCell ref="J21:K21"/>
    <mergeCell ref="J22:K23"/>
    <mergeCell ref="C1:I4"/>
    <mergeCell ref="I18:I19"/>
    <mergeCell ref="C18:C19"/>
    <mergeCell ref="E18:E19"/>
    <mergeCell ref="D18:D19"/>
    <mergeCell ref="G18:G19"/>
    <mergeCell ref="J26:K37"/>
    <mergeCell ref="A27:A29"/>
    <mergeCell ref="A31:A34"/>
    <mergeCell ref="A36:A38"/>
    <mergeCell ref="C38:C39"/>
    <mergeCell ref="D38:D39"/>
    <mergeCell ref="E38:E39"/>
    <mergeCell ref="F38:F39"/>
    <mergeCell ref="G38:G39"/>
    <mergeCell ref="H38:H39"/>
    <mergeCell ref="I38:I39"/>
    <mergeCell ref="A47:A49"/>
    <mergeCell ref="A51:A54"/>
    <mergeCell ref="A56:A58"/>
    <mergeCell ref="C58:C59"/>
    <mergeCell ref="D58:D59"/>
    <mergeCell ref="J41:K41"/>
    <mergeCell ref="J42:K43"/>
    <mergeCell ref="D61:I64"/>
    <mergeCell ref="J65:K65"/>
    <mergeCell ref="J66:K77"/>
    <mergeCell ref="J61:K61"/>
    <mergeCell ref="J62:K63"/>
    <mergeCell ref="J45:K45"/>
    <mergeCell ref="J46:K57"/>
    <mergeCell ref="E58:E59"/>
    <mergeCell ref="F58:F59"/>
    <mergeCell ref="G58:G59"/>
    <mergeCell ref="H58:H59"/>
    <mergeCell ref="I58:I59"/>
    <mergeCell ref="D41:I44"/>
    <mergeCell ref="A67:A69"/>
    <mergeCell ref="A71:A74"/>
    <mergeCell ref="A76:A78"/>
    <mergeCell ref="C78:C79"/>
    <mergeCell ref="D78:D79"/>
    <mergeCell ref="E78:E79"/>
    <mergeCell ref="F78:F79"/>
    <mergeCell ref="G78:G79"/>
    <mergeCell ref="H78:H79"/>
    <mergeCell ref="I78:I79"/>
    <mergeCell ref="D81:I84"/>
    <mergeCell ref="J85:K85"/>
    <mergeCell ref="J86:K97"/>
    <mergeCell ref="A87:A89"/>
    <mergeCell ref="A91:A94"/>
    <mergeCell ref="A96:A98"/>
    <mergeCell ref="C98:C99"/>
    <mergeCell ref="D98:D99"/>
    <mergeCell ref="E98:E99"/>
    <mergeCell ref="F98:F99"/>
    <mergeCell ref="G98:G99"/>
    <mergeCell ref="H98:H99"/>
    <mergeCell ref="I98:I99"/>
    <mergeCell ref="J81:K81"/>
    <mergeCell ref="J82:K83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F214-DBCC-466C-9AB3-C540FCBE3340}">
  <dimension ref="A1:H144"/>
  <sheetViews>
    <sheetView showGridLines="0" zoomScale="70" zoomScaleNormal="70" workbookViewId="0">
      <selection activeCell="J17" sqref="J17"/>
    </sheetView>
  </sheetViews>
  <sheetFormatPr defaultColWidth="9.109375" defaultRowHeight="14.4" x14ac:dyDescent="0.3"/>
  <cols>
    <col min="1" max="1" width="23.44140625" customWidth="1"/>
    <col min="2" max="2" width="16.44140625" bestFit="1" customWidth="1"/>
    <col min="4" max="4" width="45.5546875" bestFit="1" customWidth="1"/>
    <col min="5" max="5" width="41" bestFit="1" customWidth="1"/>
    <col min="6" max="6" width="40.33203125" bestFit="1" customWidth="1"/>
    <col min="7" max="7" width="26.88671875" bestFit="1" customWidth="1"/>
    <col min="8" max="8" width="22.6640625" bestFit="1" customWidth="1"/>
  </cols>
  <sheetData>
    <row r="1" spans="1:8" ht="27.6" x14ac:dyDescent="0.65">
      <c r="B1" s="637" t="s">
        <v>85</v>
      </c>
      <c r="C1" s="637"/>
      <c r="D1" s="637"/>
      <c r="E1" s="637"/>
      <c r="F1" s="637"/>
      <c r="G1" s="637"/>
      <c r="H1" s="637"/>
    </row>
    <row r="2" spans="1:8" ht="17.399999999999999" x14ac:dyDescent="0.3">
      <c r="A2" s="449">
        <v>1</v>
      </c>
      <c r="B2" s="22" t="s">
        <v>86</v>
      </c>
      <c r="C2" s="22" t="s">
        <v>87</v>
      </c>
      <c r="D2" s="22" t="s">
        <v>88</v>
      </c>
      <c r="E2" s="22" t="s">
        <v>89</v>
      </c>
      <c r="F2" s="22" t="s">
        <v>90</v>
      </c>
      <c r="G2" s="22" t="s">
        <v>91</v>
      </c>
      <c r="H2" s="22" t="s">
        <v>92</v>
      </c>
    </row>
    <row r="3" spans="1:8" x14ac:dyDescent="0.3">
      <c r="A3" s="18"/>
      <c r="B3" s="448" t="str">
        <f>IF(F3&lt;$A$2,"INVESTIMENTO","LUCRO")</f>
        <v>INVESTIMENTO</v>
      </c>
      <c r="C3" s="444">
        <v>0</v>
      </c>
      <c r="D3" s="445">
        <v>0</v>
      </c>
      <c r="E3" s="446">
        <v>0</v>
      </c>
      <c r="F3" s="446">
        <f>-1*VALORES!K3</f>
        <v>-65707.147802562962</v>
      </c>
      <c r="G3" s="446">
        <f>VALORES!K3</f>
        <v>65707.147802562962</v>
      </c>
      <c r="H3" s="446">
        <f>G3</f>
        <v>65707.147802562962</v>
      </c>
    </row>
    <row r="4" spans="1:8" x14ac:dyDescent="0.3">
      <c r="A4" s="18"/>
      <c r="B4" s="448" t="str">
        <f t="shared" ref="B4:B28" si="0">IF(F4&lt;$A$2,"INVESTIMENTO","LUCRO")</f>
        <v>INVESTIMENTO</v>
      </c>
      <c r="C4" s="444">
        <v>1</v>
      </c>
      <c r="D4" s="447">
        <v>0.72</v>
      </c>
      <c r="E4" s="446">
        <f>'GERAÇÃO DE ENERGIA'!J6</f>
        <v>19871.999999999996</v>
      </c>
      <c r="F4" s="446">
        <f>F3+E4</f>
        <v>-45835.147802562962</v>
      </c>
      <c r="G4" s="446">
        <f>(((G3*2.66)/100)+G3)</f>
        <v>67454.957934111138</v>
      </c>
      <c r="H4" s="446">
        <f>(((G3*1.4)/100)+G3)</f>
        <v>66627.047871798844</v>
      </c>
    </row>
    <row r="5" spans="1:8" x14ac:dyDescent="0.3">
      <c r="A5" s="18"/>
      <c r="B5" s="448" t="str">
        <f t="shared" si="0"/>
        <v>INVESTIMENTO</v>
      </c>
      <c r="C5" s="444">
        <v>2</v>
      </c>
      <c r="D5" s="447">
        <f>D4+0.03</f>
        <v>0.75</v>
      </c>
      <c r="E5" s="446">
        <f>((($E$4*0.8)/100)-E4)*-1</f>
        <v>19713.023999999998</v>
      </c>
      <c r="F5" s="446">
        <f t="shared" ref="F5:F28" si="1">F4+E5</f>
        <v>-26122.123802562965</v>
      </c>
      <c r="G5" s="446">
        <f>(((G4*2.66)/100)+G4)</f>
        <v>69249.259815158497</v>
      </c>
      <c r="H5" s="446">
        <f>(((H4*2.66)/100)+H4)</f>
        <v>68399.327345188693</v>
      </c>
    </row>
    <row r="6" spans="1:8" x14ac:dyDescent="0.3">
      <c r="B6" s="448" t="str">
        <f t="shared" si="0"/>
        <v>INVESTIMENTO</v>
      </c>
      <c r="C6" s="444">
        <v>3</v>
      </c>
      <c r="D6" s="447">
        <f t="shared" ref="D6:D28" si="2">D5+0.03</f>
        <v>0.78</v>
      </c>
      <c r="E6" s="446">
        <f t="shared" ref="E6:E28" si="3">((($E$4*0.8)/100)-E5)*-1</f>
        <v>19554.047999999999</v>
      </c>
      <c r="F6" s="446">
        <f t="shared" si="1"/>
        <v>-6568.0758025629657</v>
      </c>
      <c r="G6" s="446">
        <f t="shared" ref="G6:G28" si="4">(((G5*2.66)/100)+G5)</f>
        <v>71091.290126241714</v>
      </c>
      <c r="H6" s="446">
        <f t="shared" ref="H6:H28" si="5">(((H5*2.66)/100)+H5)</f>
        <v>70218.749452570715</v>
      </c>
    </row>
    <row r="7" spans="1:8" x14ac:dyDescent="0.3">
      <c r="B7" s="448" t="str">
        <f t="shared" si="0"/>
        <v>LUCRO</v>
      </c>
      <c r="C7" s="444">
        <v>4</v>
      </c>
      <c r="D7" s="447">
        <f t="shared" si="2"/>
        <v>0.81</v>
      </c>
      <c r="E7" s="446">
        <f t="shared" si="3"/>
        <v>19395.072</v>
      </c>
      <c r="F7" s="446">
        <f t="shared" si="1"/>
        <v>12826.996197437034</v>
      </c>
      <c r="G7" s="446">
        <f t="shared" si="4"/>
        <v>72982.318443599739</v>
      </c>
      <c r="H7" s="446">
        <f t="shared" si="5"/>
        <v>72086.5681880091</v>
      </c>
    </row>
    <row r="8" spans="1:8" x14ac:dyDescent="0.3">
      <c r="B8" s="448" t="str">
        <f t="shared" si="0"/>
        <v>LUCRO</v>
      </c>
      <c r="C8" s="444">
        <v>5</v>
      </c>
      <c r="D8" s="447">
        <f t="shared" si="2"/>
        <v>0.84000000000000008</v>
      </c>
      <c r="E8" s="446">
        <f t="shared" si="3"/>
        <v>19236.096000000001</v>
      </c>
      <c r="F8" s="446">
        <f t="shared" si="1"/>
        <v>32063.092197437036</v>
      </c>
      <c r="G8" s="446">
        <f t="shared" si="4"/>
        <v>74923.648114199488</v>
      </c>
      <c r="H8" s="446">
        <f t="shared" si="5"/>
        <v>74004.070901810148</v>
      </c>
    </row>
    <row r="9" spans="1:8" x14ac:dyDescent="0.3">
      <c r="B9" s="448" t="str">
        <f t="shared" si="0"/>
        <v>LUCRO</v>
      </c>
      <c r="C9" s="444">
        <v>6</v>
      </c>
      <c r="D9" s="447">
        <f t="shared" si="2"/>
        <v>0.87000000000000011</v>
      </c>
      <c r="E9" s="446">
        <f t="shared" si="3"/>
        <v>19077.120000000003</v>
      </c>
      <c r="F9" s="446">
        <f t="shared" si="1"/>
        <v>51140.212197437038</v>
      </c>
      <c r="G9" s="446">
        <f t="shared" si="4"/>
        <v>76916.617154037202</v>
      </c>
      <c r="H9" s="446">
        <f t="shared" si="5"/>
        <v>75972.579187798299</v>
      </c>
    </row>
    <row r="10" spans="1:8" x14ac:dyDescent="0.3">
      <c r="B10" s="448" t="str">
        <f t="shared" si="0"/>
        <v>LUCRO</v>
      </c>
      <c r="C10" s="349">
        <v>7</v>
      </c>
      <c r="D10" s="23">
        <f t="shared" si="2"/>
        <v>0.90000000000000013</v>
      </c>
      <c r="E10" s="350">
        <f t="shared" si="3"/>
        <v>18918.144000000004</v>
      </c>
      <c r="F10" s="350">
        <f t="shared" si="1"/>
        <v>70058.356197437039</v>
      </c>
      <c r="G10" s="350">
        <f t="shared" si="4"/>
        <v>78962.599170334594</v>
      </c>
      <c r="H10" s="350">
        <f t="shared" si="5"/>
        <v>77993.44979419373</v>
      </c>
    </row>
    <row r="11" spans="1:8" x14ac:dyDescent="0.3">
      <c r="B11" s="448" t="str">
        <f t="shared" si="0"/>
        <v>LUCRO</v>
      </c>
      <c r="C11" s="349">
        <v>8</v>
      </c>
      <c r="D11" s="23">
        <f t="shared" si="2"/>
        <v>0.93000000000000016</v>
      </c>
      <c r="E11" s="350">
        <f t="shared" si="3"/>
        <v>18759.168000000005</v>
      </c>
      <c r="F11" s="350">
        <f t="shared" si="1"/>
        <v>88817.524197437044</v>
      </c>
      <c r="G11" s="350">
        <f t="shared" si="4"/>
        <v>81063.004308265488</v>
      </c>
      <c r="H11" s="350">
        <f t="shared" si="5"/>
        <v>80068.075558719283</v>
      </c>
    </row>
    <row r="12" spans="1:8" x14ac:dyDescent="0.3">
      <c r="B12" s="448" t="str">
        <f t="shared" si="0"/>
        <v>LUCRO</v>
      </c>
      <c r="C12" s="349">
        <v>9</v>
      </c>
      <c r="D12" s="23">
        <f t="shared" si="2"/>
        <v>0.96000000000000019</v>
      </c>
      <c r="E12" s="350">
        <f t="shared" si="3"/>
        <v>18600.192000000006</v>
      </c>
      <c r="F12" s="350">
        <f t="shared" si="1"/>
        <v>107417.71619743705</v>
      </c>
      <c r="G12" s="350">
        <f t="shared" si="4"/>
        <v>83219.280222865345</v>
      </c>
      <c r="H12" s="350">
        <f t="shared" si="5"/>
        <v>82197.88636858121</v>
      </c>
    </row>
    <row r="13" spans="1:8" x14ac:dyDescent="0.3">
      <c r="B13" s="448" t="str">
        <f t="shared" si="0"/>
        <v>LUCRO</v>
      </c>
      <c r="C13" s="349">
        <v>10</v>
      </c>
      <c r="D13" s="23">
        <f t="shared" si="2"/>
        <v>0.99000000000000021</v>
      </c>
      <c r="E13" s="350">
        <f t="shared" si="3"/>
        <v>18441.216000000008</v>
      </c>
      <c r="F13" s="350">
        <f t="shared" si="1"/>
        <v>125858.93219743707</v>
      </c>
      <c r="G13" s="350">
        <f t="shared" si="4"/>
        <v>85432.913076793557</v>
      </c>
      <c r="H13" s="350">
        <f t="shared" si="5"/>
        <v>84384.350145985474</v>
      </c>
    </row>
    <row r="14" spans="1:8" x14ac:dyDescent="0.3">
      <c r="B14" s="448" t="str">
        <f t="shared" si="0"/>
        <v>LUCRO</v>
      </c>
      <c r="C14" s="349">
        <v>11</v>
      </c>
      <c r="D14" s="23">
        <f t="shared" si="2"/>
        <v>1.0200000000000002</v>
      </c>
      <c r="E14" s="350">
        <f t="shared" si="3"/>
        <v>18282.240000000009</v>
      </c>
      <c r="F14" s="350">
        <f t="shared" si="1"/>
        <v>144141.17219743709</v>
      </c>
      <c r="G14" s="350">
        <f t="shared" si="4"/>
        <v>87705.42856463627</v>
      </c>
      <c r="H14" s="350">
        <f t="shared" si="5"/>
        <v>86628.973859868682</v>
      </c>
    </row>
    <row r="15" spans="1:8" x14ac:dyDescent="0.3">
      <c r="B15" s="448" t="str">
        <f t="shared" si="0"/>
        <v>LUCRO</v>
      </c>
      <c r="C15" s="349">
        <v>12</v>
      </c>
      <c r="D15" s="23">
        <f t="shared" si="2"/>
        <v>1.0500000000000003</v>
      </c>
      <c r="E15" s="350">
        <f t="shared" si="3"/>
        <v>18123.26400000001</v>
      </c>
      <c r="F15" s="350">
        <f t="shared" si="1"/>
        <v>162264.43619743711</v>
      </c>
      <c r="G15" s="350">
        <f t="shared" si="4"/>
        <v>90038.39296445559</v>
      </c>
      <c r="H15" s="350">
        <f t="shared" si="5"/>
        <v>88933.304564541191</v>
      </c>
    </row>
    <row r="16" spans="1:8" x14ac:dyDescent="0.3">
      <c r="B16" s="448" t="str">
        <f t="shared" si="0"/>
        <v>LUCRO</v>
      </c>
      <c r="C16" s="349">
        <v>13</v>
      </c>
      <c r="D16" s="23">
        <f t="shared" si="2"/>
        <v>1.0800000000000003</v>
      </c>
      <c r="E16" s="350">
        <f t="shared" si="3"/>
        <v>17964.288000000011</v>
      </c>
      <c r="F16" s="350">
        <f t="shared" si="1"/>
        <v>180228.72419743711</v>
      </c>
      <c r="G16" s="350">
        <f t="shared" si="4"/>
        <v>92433.414217310114</v>
      </c>
      <c r="H16" s="350">
        <f t="shared" si="5"/>
        <v>91298.930465957994</v>
      </c>
    </row>
    <row r="17" spans="2:8" x14ac:dyDescent="0.3">
      <c r="B17" s="448" t="str">
        <f t="shared" si="0"/>
        <v>LUCRO</v>
      </c>
      <c r="C17" s="349">
        <v>14</v>
      </c>
      <c r="D17" s="23">
        <f t="shared" si="2"/>
        <v>1.1100000000000003</v>
      </c>
      <c r="E17" s="350">
        <f t="shared" si="3"/>
        <v>17805.312000000013</v>
      </c>
      <c r="F17" s="350">
        <f t="shared" si="1"/>
        <v>198034.03619743712</v>
      </c>
      <c r="G17" s="350">
        <f t="shared" si="4"/>
        <v>94892.143035490561</v>
      </c>
      <c r="H17" s="350">
        <f t="shared" si="5"/>
        <v>93727.482016352471</v>
      </c>
    </row>
    <row r="18" spans="2:8" x14ac:dyDescent="0.3">
      <c r="B18" s="448" t="str">
        <f t="shared" si="0"/>
        <v>LUCRO</v>
      </c>
      <c r="C18" s="349">
        <v>15</v>
      </c>
      <c r="D18" s="23">
        <f t="shared" si="2"/>
        <v>1.1400000000000003</v>
      </c>
      <c r="E18" s="350">
        <f t="shared" si="3"/>
        <v>17646.336000000014</v>
      </c>
      <c r="F18" s="350">
        <f t="shared" si="1"/>
        <v>215680.37219743713</v>
      </c>
      <c r="G18" s="350">
        <f t="shared" si="4"/>
        <v>97416.27404023461</v>
      </c>
      <c r="H18" s="350">
        <f t="shared" si="5"/>
        <v>96220.633037987442</v>
      </c>
    </row>
    <row r="19" spans="2:8" x14ac:dyDescent="0.3">
      <c r="B19" s="448" t="str">
        <f t="shared" si="0"/>
        <v>LUCRO</v>
      </c>
      <c r="C19" s="349">
        <v>16</v>
      </c>
      <c r="D19" s="23">
        <f t="shared" si="2"/>
        <v>1.1700000000000004</v>
      </c>
      <c r="E19" s="350">
        <f t="shared" si="3"/>
        <v>17487.360000000015</v>
      </c>
      <c r="F19" s="350">
        <f t="shared" si="1"/>
        <v>233167.73219743714</v>
      </c>
      <c r="G19" s="350">
        <f t="shared" si="4"/>
        <v>100007.54692970485</v>
      </c>
      <c r="H19" s="350">
        <f t="shared" si="5"/>
        <v>98780.101876797911</v>
      </c>
    </row>
    <row r="20" spans="2:8" x14ac:dyDescent="0.3">
      <c r="B20" s="448" t="str">
        <f t="shared" si="0"/>
        <v>LUCRO</v>
      </c>
      <c r="C20" s="349">
        <v>17</v>
      </c>
      <c r="D20" s="23">
        <f t="shared" si="2"/>
        <v>1.2000000000000004</v>
      </c>
      <c r="E20" s="350">
        <f t="shared" si="3"/>
        <v>17328.384000000016</v>
      </c>
      <c r="F20" s="350">
        <f t="shared" si="1"/>
        <v>250496.11619743716</v>
      </c>
      <c r="G20" s="350">
        <f t="shared" si="4"/>
        <v>102667.747678035</v>
      </c>
      <c r="H20" s="350">
        <f t="shared" si="5"/>
        <v>101407.65258672074</v>
      </c>
    </row>
    <row r="21" spans="2:8" x14ac:dyDescent="0.3">
      <c r="B21" s="448" t="str">
        <f t="shared" si="0"/>
        <v>LUCRO</v>
      </c>
      <c r="C21" s="349">
        <v>18</v>
      </c>
      <c r="D21" s="23">
        <f t="shared" si="2"/>
        <v>1.2300000000000004</v>
      </c>
      <c r="E21" s="350">
        <f t="shared" si="3"/>
        <v>17169.408000000018</v>
      </c>
      <c r="F21" s="350">
        <f t="shared" si="1"/>
        <v>267665.52419743716</v>
      </c>
      <c r="G21" s="350">
        <f t="shared" si="4"/>
        <v>105398.70976627072</v>
      </c>
      <c r="H21" s="350">
        <f t="shared" si="5"/>
        <v>104105.09614552751</v>
      </c>
    </row>
    <row r="22" spans="2:8" x14ac:dyDescent="0.3">
      <c r="B22" s="448" t="str">
        <f t="shared" si="0"/>
        <v>LUCRO</v>
      </c>
      <c r="C22" s="349">
        <v>19</v>
      </c>
      <c r="D22" s="23">
        <f t="shared" si="2"/>
        <v>1.2600000000000005</v>
      </c>
      <c r="E22" s="350">
        <f t="shared" si="3"/>
        <v>17010.432000000019</v>
      </c>
      <c r="F22" s="350">
        <f t="shared" si="1"/>
        <v>284675.95619743719</v>
      </c>
      <c r="G22" s="350">
        <f t="shared" si="4"/>
        <v>108202.31544605353</v>
      </c>
      <c r="H22" s="350">
        <f t="shared" si="5"/>
        <v>106874.29170299854</v>
      </c>
    </row>
    <row r="23" spans="2:8" x14ac:dyDescent="0.3">
      <c r="B23" s="448" t="str">
        <f t="shared" si="0"/>
        <v>LUCRO</v>
      </c>
      <c r="C23" s="349">
        <v>20</v>
      </c>
      <c r="D23" s="23">
        <f t="shared" si="2"/>
        <v>1.2900000000000005</v>
      </c>
      <c r="E23" s="350">
        <f t="shared" si="3"/>
        <v>16851.45600000002</v>
      </c>
      <c r="F23" s="350">
        <f t="shared" si="1"/>
        <v>301527.4121974372</v>
      </c>
      <c r="G23" s="350">
        <f t="shared" si="4"/>
        <v>111080.49703691855</v>
      </c>
      <c r="H23" s="350">
        <f t="shared" si="5"/>
        <v>109717.1478622983</v>
      </c>
    </row>
    <row r="24" spans="2:8" x14ac:dyDescent="0.3">
      <c r="B24" s="448" t="str">
        <f t="shared" si="0"/>
        <v>LUCRO</v>
      </c>
      <c r="C24" s="349">
        <v>21</v>
      </c>
      <c r="D24" s="23">
        <f t="shared" si="2"/>
        <v>1.3200000000000005</v>
      </c>
      <c r="E24" s="350">
        <f t="shared" si="3"/>
        <v>16692.480000000021</v>
      </c>
      <c r="F24" s="350">
        <f t="shared" si="1"/>
        <v>318219.89219743724</v>
      </c>
      <c r="G24" s="350">
        <f t="shared" si="4"/>
        <v>114035.23825810058</v>
      </c>
      <c r="H24" s="350">
        <f t="shared" si="5"/>
        <v>112635.62399543544</v>
      </c>
    </row>
    <row r="25" spans="2:8" x14ac:dyDescent="0.3">
      <c r="B25" s="448" t="str">
        <f t="shared" si="0"/>
        <v>LUCRO</v>
      </c>
      <c r="C25" s="349">
        <v>22</v>
      </c>
      <c r="D25" s="23">
        <f t="shared" si="2"/>
        <v>1.3500000000000005</v>
      </c>
      <c r="E25" s="350">
        <f t="shared" si="3"/>
        <v>16533.504000000023</v>
      </c>
      <c r="F25" s="350">
        <f t="shared" si="1"/>
        <v>334753.39619743725</v>
      </c>
      <c r="G25" s="350">
        <f t="shared" si="4"/>
        <v>117068.57559576606</v>
      </c>
      <c r="H25" s="350">
        <f t="shared" si="5"/>
        <v>115631.73159371402</v>
      </c>
    </row>
    <row r="26" spans="2:8" x14ac:dyDescent="0.3">
      <c r="B26" s="448" t="str">
        <f t="shared" si="0"/>
        <v>LUCRO</v>
      </c>
      <c r="C26" s="349">
        <v>23</v>
      </c>
      <c r="D26" s="23">
        <f t="shared" si="2"/>
        <v>1.3800000000000006</v>
      </c>
      <c r="E26" s="350">
        <f t="shared" si="3"/>
        <v>16374.528000000022</v>
      </c>
      <c r="F26" s="350">
        <f t="shared" si="1"/>
        <v>351127.9241974373</v>
      </c>
      <c r="G26" s="350">
        <f t="shared" si="4"/>
        <v>120182.59970661343</v>
      </c>
      <c r="H26" s="350">
        <f t="shared" si="5"/>
        <v>118707.53565410682</v>
      </c>
    </row>
    <row r="27" spans="2:8" x14ac:dyDescent="0.3">
      <c r="B27" s="448" t="str">
        <f t="shared" si="0"/>
        <v>LUCRO</v>
      </c>
      <c r="C27" s="349">
        <v>24</v>
      </c>
      <c r="D27" s="23">
        <f t="shared" si="2"/>
        <v>1.4100000000000006</v>
      </c>
      <c r="E27" s="350">
        <f t="shared" si="3"/>
        <v>16215.552000000022</v>
      </c>
      <c r="F27" s="350">
        <f t="shared" si="1"/>
        <v>367343.47619743733</v>
      </c>
      <c r="G27" s="350">
        <f t="shared" si="4"/>
        <v>123379.45685880935</v>
      </c>
      <c r="H27" s="350">
        <f t="shared" si="5"/>
        <v>121865.15610250607</v>
      </c>
    </row>
    <row r="28" spans="2:8" x14ac:dyDescent="0.3">
      <c r="B28" s="448" t="str">
        <f t="shared" si="0"/>
        <v>LUCRO</v>
      </c>
      <c r="C28" s="349">
        <v>25</v>
      </c>
      <c r="D28" s="23">
        <f t="shared" si="2"/>
        <v>1.4400000000000006</v>
      </c>
      <c r="E28" s="350">
        <f t="shared" si="3"/>
        <v>16056.576000000021</v>
      </c>
      <c r="F28" s="350">
        <f t="shared" si="1"/>
        <v>383400.05219743733</v>
      </c>
      <c r="G28" s="350">
        <f t="shared" si="4"/>
        <v>126661.35041125368</v>
      </c>
      <c r="H28" s="350">
        <f t="shared" si="5"/>
        <v>125106.76925483273</v>
      </c>
    </row>
    <row r="29" spans="2:8" s="115" customFormat="1" x14ac:dyDescent="0.3"/>
    <row r="30" spans="2:8" ht="27.6" x14ac:dyDescent="0.65">
      <c r="B30" s="637" t="s">
        <v>95</v>
      </c>
      <c r="C30" s="637"/>
      <c r="D30" s="637"/>
      <c r="E30" s="637"/>
      <c r="F30" s="637"/>
      <c r="G30" s="637"/>
      <c r="H30" s="637"/>
    </row>
    <row r="31" spans="2:8" ht="17.399999999999999" x14ac:dyDescent="0.3">
      <c r="B31" s="22" t="s">
        <v>86</v>
      </c>
      <c r="C31" s="22" t="s">
        <v>87</v>
      </c>
      <c r="D31" s="22" t="s">
        <v>88</v>
      </c>
      <c r="E31" s="22" t="s">
        <v>89</v>
      </c>
      <c r="F31" s="22" t="s">
        <v>90</v>
      </c>
      <c r="G31" s="22" t="s">
        <v>91</v>
      </c>
      <c r="H31" s="22" t="s">
        <v>92</v>
      </c>
    </row>
    <row r="32" spans="2:8" x14ac:dyDescent="0.3">
      <c r="B32" s="20" t="s">
        <v>93</v>
      </c>
      <c r="C32" s="21">
        <v>0</v>
      </c>
      <c r="D32" s="24">
        <v>0</v>
      </c>
      <c r="E32" s="24">
        <v>0</v>
      </c>
      <c r="F32" s="21">
        <f>-1*VALORES!J7</f>
        <v>-55366.810703350457</v>
      </c>
      <c r="G32" s="24">
        <f>VALORES!I32</f>
        <v>0</v>
      </c>
      <c r="H32" s="24">
        <f>G32</f>
        <v>0</v>
      </c>
    </row>
    <row r="33" spans="2:8" x14ac:dyDescent="0.3">
      <c r="B33" s="20" t="s">
        <v>93</v>
      </c>
      <c r="C33" s="21">
        <v>1</v>
      </c>
      <c r="D33" s="21">
        <v>0.72</v>
      </c>
      <c r="E33" s="21">
        <f>'GERAÇÃO DE ENERGIA'!H38</f>
        <v>20009.999999999996</v>
      </c>
      <c r="F33" s="21">
        <f>F32+E33</f>
        <v>-35356.810703350464</v>
      </c>
      <c r="G33" s="21">
        <f>(((G32*2.66)/100)+G32)</f>
        <v>0</v>
      </c>
      <c r="H33" s="21">
        <f>(((G32*1.4)/100)+G32)</f>
        <v>0</v>
      </c>
    </row>
    <row r="34" spans="2:8" x14ac:dyDescent="0.3">
      <c r="B34" s="20" t="s">
        <v>93</v>
      </c>
      <c r="C34" s="21">
        <v>2</v>
      </c>
      <c r="D34" s="21">
        <f>D33+0.03</f>
        <v>0.75</v>
      </c>
      <c r="E34" s="21">
        <f>((($E$4*0.8)/100)-E33)*-1</f>
        <v>19851.023999999998</v>
      </c>
      <c r="F34" s="21">
        <f t="shared" ref="F34:F57" si="6">F33+E34</f>
        <v>-15505.786703350466</v>
      </c>
      <c r="G34" s="21">
        <f>(((G33*2.66)/100)+G33)</f>
        <v>0</v>
      </c>
      <c r="H34" s="21">
        <f>(((H33*2.66)/100)+H33)</f>
        <v>0</v>
      </c>
    </row>
    <row r="35" spans="2:8" x14ac:dyDescent="0.3">
      <c r="B35" s="20" t="s">
        <v>93</v>
      </c>
      <c r="C35" s="21">
        <v>3</v>
      </c>
      <c r="D35" s="21">
        <f t="shared" ref="D35:D57" si="7">D34+0.03</f>
        <v>0.78</v>
      </c>
      <c r="E35" s="21">
        <f t="shared" ref="E35:E57" si="8">((($E$4*0.8)/100)-E34)*-1</f>
        <v>19692.047999999999</v>
      </c>
      <c r="F35" s="21">
        <f t="shared" si="6"/>
        <v>4186.2612966495326</v>
      </c>
      <c r="G35" s="21">
        <f t="shared" ref="G35:H50" si="9">(((G34*2.66)/100)+G34)</f>
        <v>0</v>
      </c>
      <c r="H35" s="21">
        <f t="shared" si="9"/>
        <v>0</v>
      </c>
    </row>
    <row r="36" spans="2:8" x14ac:dyDescent="0.3">
      <c r="B36" s="20" t="s">
        <v>93</v>
      </c>
      <c r="C36" s="21">
        <v>4</v>
      </c>
      <c r="D36" s="21">
        <f t="shared" si="7"/>
        <v>0.81</v>
      </c>
      <c r="E36" s="21">
        <f t="shared" si="8"/>
        <v>19533.072</v>
      </c>
      <c r="F36" s="21">
        <f t="shared" si="6"/>
        <v>23719.333296649533</v>
      </c>
      <c r="G36" s="21">
        <f t="shared" si="9"/>
        <v>0</v>
      </c>
      <c r="H36" s="21">
        <f t="shared" si="9"/>
        <v>0</v>
      </c>
    </row>
    <row r="37" spans="2:8" x14ac:dyDescent="0.3">
      <c r="B37" s="19" t="s">
        <v>94</v>
      </c>
      <c r="C37" s="23">
        <v>5</v>
      </c>
      <c r="D37" s="23">
        <f t="shared" si="7"/>
        <v>0.84000000000000008</v>
      </c>
      <c r="E37" s="23">
        <f t="shared" si="8"/>
        <v>19374.096000000001</v>
      </c>
      <c r="F37" s="23">
        <f t="shared" si="6"/>
        <v>43093.429296649534</v>
      </c>
      <c r="G37" s="23">
        <f t="shared" si="9"/>
        <v>0</v>
      </c>
      <c r="H37" s="23">
        <f t="shared" si="9"/>
        <v>0</v>
      </c>
    </row>
    <row r="38" spans="2:8" x14ac:dyDescent="0.3">
      <c r="B38" s="19" t="s">
        <v>94</v>
      </c>
      <c r="C38" s="23">
        <v>6</v>
      </c>
      <c r="D38" s="23">
        <f t="shared" si="7"/>
        <v>0.87000000000000011</v>
      </c>
      <c r="E38" s="23">
        <f t="shared" si="8"/>
        <v>19215.120000000003</v>
      </c>
      <c r="F38" s="23">
        <f t="shared" si="6"/>
        <v>62308.549296649537</v>
      </c>
      <c r="G38" s="23">
        <f t="shared" si="9"/>
        <v>0</v>
      </c>
      <c r="H38" s="23">
        <f t="shared" si="9"/>
        <v>0</v>
      </c>
    </row>
    <row r="39" spans="2:8" x14ac:dyDescent="0.3">
      <c r="B39" s="19" t="s">
        <v>94</v>
      </c>
      <c r="C39" s="23">
        <v>7</v>
      </c>
      <c r="D39" s="23">
        <f t="shared" si="7"/>
        <v>0.90000000000000013</v>
      </c>
      <c r="E39" s="23">
        <f t="shared" si="8"/>
        <v>19056.144000000004</v>
      </c>
      <c r="F39" s="23">
        <f t="shared" si="6"/>
        <v>81364.693296649537</v>
      </c>
      <c r="G39" s="23">
        <f t="shared" si="9"/>
        <v>0</v>
      </c>
      <c r="H39" s="23">
        <f t="shared" si="9"/>
        <v>0</v>
      </c>
    </row>
    <row r="40" spans="2:8" x14ac:dyDescent="0.3">
      <c r="B40" s="19" t="s">
        <v>94</v>
      </c>
      <c r="C40" s="23">
        <v>8</v>
      </c>
      <c r="D40" s="23">
        <f t="shared" si="7"/>
        <v>0.93000000000000016</v>
      </c>
      <c r="E40" s="23">
        <f t="shared" si="8"/>
        <v>18897.168000000005</v>
      </c>
      <c r="F40" s="23">
        <f t="shared" si="6"/>
        <v>100261.86129664954</v>
      </c>
      <c r="G40" s="23">
        <f t="shared" si="9"/>
        <v>0</v>
      </c>
      <c r="H40" s="23">
        <f t="shared" si="9"/>
        <v>0</v>
      </c>
    </row>
    <row r="41" spans="2:8" x14ac:dyDescent="0.3">
      <c r="B41" s="19" t="s">
        <v>94</v>
      </c>
      <c r="C41" s="23">
        <v>9</v>
      </c>
      <c r="D41" s="23">
        <f t="shared" si="7"/>
        <v>0.96000000000000019</v>
      </c>
      <c r="E41" s="23">
        <f t="shared" si="8"/>
        <v>18738.192000000006</v>
      </c>
      <c r="F41" s="23">
        <f t="shared" si="6"/>
        <v>119000.05329664955</v>
      </c>
      <c r="G41" s="23">
        <f t="shared" si="9"/>
        <v>0</v>
      </c>
      <c r="H41" s="23">
        <f t="shared" si="9"/>
        <v>0</v>
      </c>
    </row>
    <row r="42" spans="2:8" x14ac:dyDescent="0.3">
      <c r="B42" s="19" t="s">
        <v>94</v>
      </c>
      <c r="C42" s="23">
        <v>10</v>
      </c>
      <c r="D42" s="23">
        <f t="shared" si="7"/>
        <v>0.99000000000000021</v>
      </c>
      <c r="E42" s="23">
        <f t="shared" si="8"/>
        <v>18579.216000000008</v>
      </c>
      <c r="F42" s="23">
        <f t="shared" si="6"/>
        <v>137579.26929664955</v>
      </c>
      <c r="G42" s="23">
        <f t="shared" si="9"/>
        <v>0</v>
      </c>
      <c r="H42" s="23">
        <f t="shared" si="9"/>
        <v>0</v>
      </c>
    </row>
    <row r="43" spans="2:8" x14ac:dyDescent="0.3">
      <c r="B43" s="19" t="s">
        <v>94</v>
      </c>
      <c r="C43" s="23">
        <v>11</v>
      </c>
      <c r="D43" s="23">
        <f t="shared" si="7"/>
        <v>1.0200000000000002</v>
      </c>
      <c r="E43" s="23">
        <f t="shared" si="8"/>
        <v>18420.240000000009</v>
      </c>
      <c r="F43" s="23">
        <f t="shared" si="6"/>
        <v>155999.50929664957</v>
      </c>
      <c r="G43" s="23">
        <f t="shared" si="9"/>
        <v>0</v>
      </c>
      <c r="H43" s="23">
        <f t="shared" si="9"/>
        <v>0</v>
      </c>
    </row>
    <row r="44" spans="2:8" x14ac:dyDescent="0.3">
      <c r="B44" s="19" t="s">
        <v>94</v>
      </c>
      <c r="C44" s="23">
        <v>12</v>
      </c>
      <c r="D44" s="23">
        <f t="shared" si="7"/>
        <v>1.0500000000000003</v>
      </c>
      <c r="E44" s="23">
        <f t="shared" si="8"/>
        <v>18261.26400000001</v>
      </c>
      <c r="F44" s="23">
        <f t="shared" si="6"/>
        <v>174260.77329664957</v>
      </c>
      <c r="G44" s="23">
        <f t="shared" si="9"/>
        <v>0</v>
      </c>
      <c r="H44" s="23">
        <f t="shared" si="9"/>
        <v>0</v>
      </c>
    </row>
    <row r="45" spans="2:8" x14ac:dyDescent="0.3">
      <c r="B45" s="19" t="s">
        <v>94</v>
      </c>
      <c r="C45" s="23">
        <v>13</v>
      </c>
      <c r="D45" s="23">
        <f t="shared" si="7"/>
        <v>1.0800000000000003</v>
      </c>
      <c r="E45" s="23">
        <f t="shared" si="8"/>
        <v>18102.288000000011</v>
      </c>
      <c r="F45" s="23">
        <f t="shared" si="6"/>
        <v>192363.06129664957</v>
      </c>
      <c r="G45" s="23">
        <f t="shared" si="9"/>
        <v>0</v>
      </c>
      <c r="H45" s="23">
        <f t="shared" si="9"/>
        <v>0</v>
      </c>
    </row>
    <row r="46" spans="2:8" x14ac:dyDescent="0.3">
      <c r="B46" s="19" t="s">
        <v>94</v>
      </c>
      <c r="C46" s="23">
        <v>14</v>
      </c>
      <c r="D46" s="23">
        <f t="shared" si="7"/>
        <v>1.1100000000000003</v>
      </c>
      <c r="E46" s="23">
        <f t="shared" si="8"/>
        <v>17943.312000000013</v>
      </c>
      <c r="F46" s="23">
        <f t="shared" si="6"/>
        <v>210306.37329664957</v>
      </c>
      <c r="G46" s="23">
        <f t="shared" si="9"/>
        <v>0</v>
      </c>
      <c r="H46" s="23">
        <f t="shared" si="9"/>
        <v>0</v>
      </c>
    </row>
    <row r="47" spans="2:8" x14ac:dyDescent="0.3">
      <c r="B47" s="19" t="s">
        <v>94</v>
      </c>
      <c r="C47" s="23">
        <v>15</v>
      </c>
      <c r="D47" s="23">
        <f t="shared" si="7"/>
        <v>1.1400000000000003</v>
      </c>
      <c r="E47" s="23">
        <f t="shared" si="8"/>
        <v>17784.336000000014</v>
      </c>
      <c r="F47" s="23">
        <f t="shared" si="6"/>
        <v>228090.70929664958</v>
      </c>
      <c r="G47" s="23">
        <f t="shared" si="9"/>
        <v>0</v>
      </c>
      <c r="H47" s="23">
        <f t="shared" si="9"/>
        <v>0</v>
      </c>
    </row>
    <row r="48" spans="2:8" x14ac:dyDescent="0.3">
      <c r="B48" s="19" t="s">
        <v>94</v>
      </c>
      <c r="C48" s="23">
        <v>16</v>
      </c>
      <c r="D48" s="23">
        <f t="shared" si="7"/>
        <v>1.1700000000000004</v>
      </c>
      <c r="E48" s="23">
        <f t="shared" si="8"/>
        <v>17625.360000000015</v>
      </c>
      <c r="F48" s="23">
        <f t="shared" si="6"/>
        <v>245716.0692966496</v>
      </c>
      <c r="G48" s="23">
        <f t="shared" si="9"/>
        <v>0</v>
      </c>
      <c r="H48" s="23">
        <f t="shared" si="9"/>
        <v>0</v>
      </c>
    </row>
    <row r="49" spans="2:8" x14ac:dyDescent="0.3">
      <c r="B49" s="19" t="s">
        <v>94</v>
      </c>
      <c r="C49" s="23">
        <v>17</v>
      </c>
      <c r="D49" s="23">
        <f t="shared" si="7"/>
        <v>1.2000000000000004</v>
      </c>
      <c r="E49" s="23">
        <f t="shared" si="8"/>
        <v>17466.384000000016</v>
      </c>
      <c r="F49" s="23">
        <f t="shared" si="6"/>
        <v>263182.45329664962</v>
      </c>
      <c r="G49" s="23">
        <f t="shared" si="9"/>
        <v>0</v>
      </c>
      <c r="H49" s="23">
        <f t="shared" si="9"/>
        <v>0</v>
      </c>
    </row>
    <row r="50" spans="2:8" x14ac:dyDescent="0.3">
      <c r="B50" s="19" t="s">
        <v>94</v>
      </c>
      <c r="C50" s="23">
        <v>18</v>
      </c>
      <c r="D50" s="23">
        <f t="shared" si="7"/>
        <v>1.2300000000000004</v>
      </c>
      <c r="E50" s="23">
        <f t="shared" si="8"/>
        <v>17307.408000000018</v>
      </c>
      <c r="F50" s="23">
        <f t="shared" si="6"/>
        <v>280489.86129664961</v>
      </c>
      <c r="G50" s="23">
        <f t="shared" si="9"/>
        <v>0</v>
      </c>
      <c r="H50" s="23">
        <f t="shared" si="9"/>
        <v>0</v>
      </c>
    </row>
    <row r="51" spans="2:8" x14ac:dyDescent="0.3">
      <c r="B51" s="19" t="s">
        <v>94</v>
      </c>
      <c r="C51" s="23">
        <v>19</v>
      </c>
      <c r="D51" s="23">
        <f t="shared" si="7"/>
        <v>1.2600000000000005</v>
      </c>
      <c r="E51" s="23">
        <f t="shared" si="8"/>
        <v>17148.432000000019</v>
      </c>
      <c r="F51" s="23">
        <f t="shared" si="6"/>
        <v>297638.29329664964</v>
      </c>
      <c r="G51" s="23">
        <f t="shared" ref="G51:H57" si="10">(((G50*2.66)/100)+G50)</f>
        <v>0</v>
      </c>
      <c r="H51" s="23">
        <f t="shared" si="10"/>
        <v>0</v>
      </c>
    </row>
    <row r="52" spans="2:8" x14ac:dyDescent="0.3">
      <c r="B52" s="19" t="s">
        <v>94</v>
      </c>
      <c r="C52" s="23">
        <v>20</v>
      </c>
      <c r="D52" s="23">
        <f t="shared" si="7"/>
        <v>1.2900000000000005</v>
      </c>
      <c r="E52" s="23">
        <f t="shared" si="8"/>
        <v>16989.45600000002</v>
      </c>
      <c r="F52" s="23">
        <f t="shared" si="6"/>
        <v>314627.74929664965</v>
      </c>
      <c r="G52" s="23">
        <f t="shared" si="10"/>
        <v>0</v>
      </c>
      <c r="H52" s="23">
        <f t="shared" si="10"/>
        <v>0</v>
      </c>
    </row>
    <row r="53" spans="2:8" x14ac:dyDescent="0.3">
      <c r="B53" s="19" t="s">
        <v>94</v>
      </c>
      <c r="C53" s="23">
        <v>21</v>
      </c>
      <c r="D53" s="23">
        <f t="shared" si="7"/>
        <v>1.3200000000000005</v>
      </c>
      <c r="E53" s="23">
        <f t="shared" si="8"/>
        <v>16830.480000000021</v>
      </c>
      <c r="F53" s="23">
        <f t="shared" si="6"/>
        <v>331458.22929664969</v>
      </c>
      <c r="G53" s="23">
        <f t="shared" si="10"/>
        <v>0</v>
      </c>
      <c r="H53" s="23">
        <f t="shared" si="10"/>
        <v>0</v>
      </c>
    </row>
    <row r="54" spans="2:8" x14ac:dyDescent="0.3">
      <c r="B54" s="19" t="s">
        <v>94</v>
      </c>
      <c r="C54" s="23">
        <v>22</v>
      </c>
      <c r="D54" s="23">
        <f t="shared" si="7"/>
        <v>1.3500000000000005</v>
      </c>
      <c r="E54" s="23">
        <f t="shared" si="8"/>
        <v>16671.504000000023</v>
      </c>
      <c r="F54" s="23">
        <f t="shared" si="6"/>
        <v>348129.73329664971</v>
      </c>
      <c r="G54" s="23">
        <f t="shared" si="10"/>
        <v>0</v>
      </c>
      <c r="H54" s="23">
        <f t="shared" si="10"/>
        <v>0</v>
      </c>
    </row>
    <row r="55" spans="2:8" x14ac:dyDescent="0.3">
      <c r="B55" s="19" t="s">
        <v>94</v>
      </c>
      <c r="C55" s="23">
        <v>23</v>
      </c>
      <c r="D55" s="23">
        <f t="shared" si="7"/>
        <v>1.3800000000000006</v>
      </c>
      <c r="E55" s="23">
        <f t="shared" si="8"/>
        <v>16512.528000000024</v>
      </c>
      <c r="F55" s="23">
        <f t="shared" si="6"/>
        <v>364642.26129664975</v>
      </c>
      <c r="G55" s="23">
        <f t="shared" si="10"/>
        <v>0</v>
      </c>
      <c r="H55" s="23">
        <f t="shared" si="10"/>
        <v>0</v>
      </c>
    </row>
    <row r="56" spans="2:8" x14ac:dyDescent="0.3">
      <c r="B56" s="19" t="s">
        <v>94</v>
      </c>
      <c r="C56" s="23">
        <v>24</v>
      </c>
      <c r="D56" s="23">
        <f t="shared" si="7"/>
        <v>1.4100000000000006</v>
      </c>
      <c r="E56" s="23">
        <f t="shared" si="8"/>
        <v>16353.552000000023</v>
      </c>
      <c r="F56" s="23">
        <f t="shared" si="6"/>
        <v>380995.81329664978</v>
      </c>
      <c r="G56" s="23">
        <f t="shared" si="10"/>
        <v>0</v>
      </c>
      <c r="H56" s="23">
        <f t="shared" si="10"/>
        <v>0</v>
      </c>
    </row>
    <row r="57" spans="2:8" x14ac:dyDescent="0.3">
      <c r="B57" s="19" t="s">
        <v>94</v>
      </c>
      <c r="C57" s="23">
        <v>25</v>
      </c>
      <c r="D57" s="23">
        <f t="shared" si="7"/>
        <v>1.4400000000000006</v>
      </c>
      <c r="E57" s="23">
        <f t="shared" si="8"/>
        <v>16194.576000000023</v>
      </c>
      <c r="F57" s="23">
        <f t="shared" si="6"/>
        <v>397190.38929664978</v>
      </c>
      <c r="G57" s="23">
        <f t="shared" si="10"/>
        <v>0</v>
      </c>
      <c r="H57" s="23">
        <f t="shared" si="10"/>
        <v>0</v>
      </c>
    </row>
    <row r="58" spans="2:8" x14ac:dyDescent="0.3">
      <c r="B58" s="115"/>
      <c r="C58" s="115"/>
      <c r="D58" s="115"/>
      <c r="E58" s="115"/>
      <c r="F58" s="115"/>
      <c r="G58" s="115"/>
      <c r="H58" s="115"/>
    </row>
    <row r="59" spans="2:8" ht="27.6" x14ac:dyDescent="0.65">
      <c r="B59" s="637" t="s">
        <v>96</v>
      </c>
      <c r="C59" s="637"/>
      <c r="D59" s="637"/>
      <c r="E59" s="637"/>
      <c r="F59" s="637"/>
      <c r="G59" s="637"/>
      <c r="H59" s="637"/>
    </row>
    <row r="60" spans="2:8" ht="17.399999999999999" x14ac:dyDescent="0.3">
      <c r="B60" s="22" t="s">
        <v>86</v>
      </c>
      <c r="C60" s="22" t="s">
        <v>87</v>
      </c>
      <c r="D60" s="22" t="s">
        <v>88</v>
      </c>
      <c r="E60" s="22" t="s">
        <v>89</v>
      </c>
      <c r="F60" s="22" t="s">
        <v>90</v>
      </c>
      <c r="G60" s="22" t="s">
        <v>91</v>
      </c>
      <c r="H60" s="22" t="s">
        <v>92</v>
      </c>
    </row>
    <row r="61" spans="2:8" x14ac:dyDescent="0.3">
      <c r="B61" s="20" t="s">
        <v>93</v>
      </c>
      <c r="C61" s="21">
        <v>0</v>
      </c>
      <c r="D61" s="24">
        <v>0</v>
      </c>
      <c r="E61" s="24">
        <v>0</v>
      </c>
      <c r="F61" s="21">
        <f>-1*VALORES!I11</f>
        <v>-45519.064715439839</v>
      </c>
      <c r="G61" s="24">
        <f>VALORES!I61</f>
        <v>0</v>
      </c>
      <c r="H61" s="24">
        <f>G61</f>
        <v>0</v>
      </c>
    </row>
    <row r="62" spans="2:8" x14ac:dyDescent="0.3">
      <c r="B62" s="20" t="s">
        <v>93</v>
      </c>
      <c r="C62" s="21">
        <v>1</v>
      </c>
      <c r="D62" s="21">
        <v>0.72</v>
      </c>
      <c r="E62" s="21">
        <f>'GERAÇÃO DE ENERGIA'!H58</f>
        <v>-689.99999999999989</v>
      </c>
      <c r="F62" s="21">
        <f>F61+E62</f>
        <v>-46209.064715439839</v>
      </c>
      <c r="G62" s="21">
        <f>(((G61*2.66)/100)+G61)</f>
        <v>0</v>
      </c>
      <c r="H62" s="21">
        <f>(((G61*1.4)/100)+G61)</f>
        <v>0</v>
      </c>
    </row>
    <row r="63" spans="2:8" x14ac:dyDescent="0.3">
      <c r="B63" s="20" t="s">
        <v>93</v>
      </c>
      <c r="C63" s="21">
        <v>2</v>
      </c>
      <c r="D63" s="21">
        <f>D62+0.03</f>
        <v>0.75</v>
      </c>
      <c r="E63" s="21">
        <f>((($E$4*0.8)/100)-E62)*-1</f>
        <v>-848.97599999999989</v>
      </c>
      <c r="F63" s="21">
        <f t="shared" ref="F63:F86" si="11">F62+E63</f>
        <v>-47058.040715439842</v>
      </c>
      <c r="G63" s="21">
        <f>(((G62*2.66)/100)+G62)</f>
        <v>0</v>
      </c>
      <c r="H63" s="21">
        <f>(((H62*2.66)/100)+H62)</f>
        <v>0</v>
      </c>
    </row>
    <row r="64" spans="2:8" x14ac:dyDescent="0.3">
      <c r="B64" s="20" t="s">
        <v>93</v>
      </c>
      <c r="C64" s="21">
        <v>3</v>
      </c>
      <c r="D64" s="21">
        <f t="shared" ref="D64:D86" si="12">D63+0.03</f>
        <v>0.78</v>
      </c>
      <c r="E64" s="21">
        <f t="shared" ref="E64:E86" si="13">((($E$4*0.8)/100)-E63)*-1</f>
        <v>-1007.9519999999999</v>
      </c>
      <c r="F64" s="21">
        <f t="shared" si="11"/>
        <v>-48065.992715439839</v>
      </c>
      <c r="G64" s="21">
        <f t="shared" ref="G64:H64" si="14">(((G63*2.66)/100)+G63)</f>
        <v>0</v>
      </c>
      <c r="H64" s="21">
        <f t="shared" si="14"/>
        <v>0</v>
      </c>
    </row>
    <row r="65" spans="2:8" x14ac:dyDescent="0.3">
      <c r="B65" s="20" t="s">
        <v>93</v>
      </c>
      <c r="C65" s="21">
        <v>4</v>
      </c>
      <c r="D65" s="21">
        <f t="shared" si="12"/>
        <v>0.81</v>
      </c>
      <c r="E65" s="21">
        <f t="shared" si="13"/>
        <v>-1166.9279999999999</v>
      </c>
      <c r="F65" s="21">
        <f t="shared" si="11"/>
        <v>-49232.920715439839</v>
      </c>
      <c r="G65" s="21">
        <f t="shared" ref="G65:H65" si="15">(((G64*2.66)/100)+G64)</f>
        <v>0</v>
      </c>
      <c r="H65" s="21">
        <f t="shared" si="15"/>
        <v>0</v>
      </c>
    </row>
    <row r="66" spans="2:8" x14ac:dyDescent="0.3">
      <c r="B66" s="19" t="s">
        <v>94</v>
      </c>
      <c r="C66" s="23">
        <v>5</v>
      </c>
      <c r="D66" s="23">
        <f t="shared" si="12"/>
        <v>0.84000000000000008</v>
      </c>
      <c r="E66" s="23">
        <f t="shared" si="13"/>
        <v>-1325.904</v>
      </c>
      <c r="F66" s="23">
        <f t="shared" si="11"/>
        <v>-50558.824715439841</v>
      </c>
      <c r="G66" s="23">
        <f t="shared" ref="G66:H66" si="16">(((G65*2.66)/100)+G65)</f>
        <v>0</v>
      </c>
      <c r="H66" s="23">
        <f t="shared" si="16"/>
        <v>0</v>
      </c>
    </row>
    <row r="67" spans="2:8" x14ac:dyDescent="0.3">
      <c r="B67" s="19" t="s">
        <v>94</v>
      </c>
      <c r="C67" s="23">
        <v>6</v>
      </c>
      <c r="D67" s="23">
        <f t="shared" si="12"/>
        <v>0.87000000000000011</v>
      </c>
      <c r="E67" s="23">
        <f t="shared" si="13"/>
        <v>-1484.88</v>
      </c>
      <c r="F67" s="23">
        <f t="shared" si="11"/>
        <v>-52043.704715439839</v>
      </c>
      <c r="G67" s="23">
        <f t="shared" ref="G67:H67" si="17">(((G66*2.66)/100)+G66)</f>
        <v>0</v>
      </c>
      <c r="H67" s="23">
        <f t="shared" si="17"/>
        <v>0</v>
      </c>
    </row>
    <row r="68" spans="2:8" x14ac:dyDescent="0.3">
      <c r="B68" s="19" t="s">
        <v>94</v>
      </c>
      <c r="C68" s="23">
        <v>7</v>
      </c>
      <c r="D68" s="23">
        <f t="shared" si="12"/>
        <v>0.90000000000000013</v>
      </c>
      <c r="E68" s="23">
        <f t="shared" si="13"/>
        <v>-1643.8560000000002</v>
      </c>
      <c r="F68" s="23">
        <f t="shared" si="11"/>
        <v>-53687.560715439839</v>
      </c>
      <c r="G68" s="23">
        <f t="shared" ref="G68:H68" si="18">(((G67*2.66)/100)+G67)</f>
        <v>0</v>
      </c>
      <c r="H68" s="23">
        <f t="shared" si="18"/>
        <v>0</v>
      </c>
    </row>
    <row r="69" spans="2:8" x14ac:dyDescent="0.3">
      <c r="B69" s="19" t="s">
        <v>94</v>
      </c>
      <c r="C69" s="23">
        <v>8</v>
      </c>
      <c r="D69" s="23">
        <f t="shared" si="12"/>
        <v>0.93000000000000016</v>
      </c>
      <c r="E69" s="23">
        <f t="shared" si="13"/>
        <v>-1802.8320000000003</v>
      </c>
      <c r="F69" s="23">
        <f t="shared" si="11"/>
        <v>-55490.392715439841</v>
      </c>
      <c r="G69" s="23">
        <f t="shared" ref="G69:H69" si="19">(((G68*2.66)/100)+G68)</f>
        <v>0</v>
      </c>
      <c r="H69" s="23">
        <f t="shared" si="19"/>
        <v>0</v>
      </c>
    </row>
    <row r="70" spans="2:8" x14ac:dyDescent="0.3">
      <c r="B70" s="19" t="s">
        <v>94</v>
      </c>
      <c r="C70" s="23">
        <v>9</v>
      </c>
      <c r="D70" s="23">
        <f t="shared" si="12"/>
        <v>0.96000000000000019</v>
      </c>
      <c r="E70" s="23">
        <f t="shared" si="13"/>
        <v>-1961.8080000000004</v>
      </c>
      <c r="F70" s="23">
        <f t="shared" si="11"/>
        <v>-57452.200715439838</v>
      </c>
      <c r="G70" s="23">
        <f t="shared" ref="G70:H70" si="20">(((G69*2.66)/100)+G69)</f>
        <v>0</v>
      </c>
      <c r="H70" s="23">
        <f t="shared" si="20"/>
        <v>0</v>
      </c>
    </row>
    <row r="71" spans="2:8" x14ac:dyDescent="0.3">
      <c r="B71" s="19" t="s">
        <v>94</v>
      </c>
      <c r="C71" s="23">
        <v>10</v>
      </c>
      <c r="D71" s="23">
        <f t="shared" si="12"/>
        <v>0.99000000000000021</v>
      </c>
      <c r="E71" s="23">
        <f t="shared" si="13"/>
        <v>-2120.7840000000006</v>
      </c>
      <c r="F71" s="23">
        <f t="shared" si="11"/>
        <v>-59572.984715439838</v>
      </c>
      <c r="G71" s="23">
        <f t="shared" ref="G71:H71" si="21">(((G70*2.66)/100)+G70)</f>
        <v>0</v>
      </c>
      <c r="H71" s="23">
        <f t="shared" si="21"/>
        <v>0</v>
      </c>
    </row>
    <row r="72" spans="2:8" x14ac:dyDescent="0.3">
      <c r="B72" s="19" t="s">
        <v>94</v>
      </c>
      <c r="C72" s="23">
        <v>11</v>
      </c>
      <c r="D72" s="23">
        <f t="shared" si="12"/>
        <v>1.0200000000000002</v>
      </c>
      <c r="E72" s="23">
        <f t="shared" si="13"/>
        <v>-2279.7600000000007</v>
      </c>
      <c r="F72" s="23">
        <f t="shared" si="11"/>
        <v>-61852.74471543984</v>
      </c>
      <c r="G72" s="23">
        <f t="shared" ref="G72:H72" si="22">(((G71*2.66)/100)+G71)</f>
        <v>0</v>
      </c>
      <c r="H72" s="23">
        <f t="shared" si="22"/>
        <v>0</v>
      </c>
    </row>
    <row r="73" spans="2:8" x14ac:dyDescent="0.3">
      <c r="B73" s="19" t="s">
        <v>94</v>
      </c>
      <c r="C73" s="23">
        <v>12</v>
      </c>
      <c r="D73" s="23">
        <f t="shared" si="12"/>
        <v>1.0500000000000003</v>
      </c>
      <c r="E73" s="23">
        <f t="shared" si="13"/>
        <v>-2438.7360000000008</v>
      </c>
      <c r="F73" s="23">
        <f t="shared" si="11"/>
        <v>-64291.480715439844</v>
      </c>
      <c r="G73" s="23">
        <f t="shared" ref="G73:H73" si="23">(((G72*2.66)/100)+G72)</f>
        <v>0</v>
      </c>
      <c r="H73" s="23">
        <f t="shared" si="23"/>
        <v>0</v>
      </c>
    </row>
    <row r="74" spans="2:8" x14ac:dyDescent="0.3">
      <c r="B74" s="19" t="s">
        <v>94</v>
      </c>
      <c r="C74" s="23">
        <v>13</v>
      </c>
      <c r="D74" s="23">
        <f t="shared" si="12"/>
        <v>1.0800000000000003</v>
      </c>
      <c r="E74" s="23">
        <f t="shared" si="13"/>
        <v>-2597.7120000000009</v>
      </c>
      <c r="F74" s="23">
        <f t="shared" si="11"/>
        <v>-66889.192715439844</v>
      </c>
      <c r="G74" s="23">
        <f t="shared" ref="G74:H74" si="24">(((G73*2.66)/100)+G73)</f>
        <v>0</v>
      </c>
      <c r="H74" s="23">
        <f t="shared" si="24"/>
        <v>0</v>
      </c>
    </row>
    <row r="75" spans="2:8" x14ac:dyDescent="0.3">
      <c r="B75" s="19" t="s">
        <v>94</v>
      </c>
      <c r="C75" s="23">
        <v>14</v>
      </c>
      <c r="D75" s="23">
        <f t="shared" si="12"/>
        <v>1.1100000000000003</v>
      </c>
      <c r="E75" s="23">
        <f t="shared" si="13"/>
        <v>-2756.688000000001</v>
      </c>
      <c r="F75" s="23">
        <f t="shared" si="11"/>
        <v>-69645.880715439838</v>
      </c>
      <c r="G75" s="23">
        <f t="shared" ref="G75:H75" si="25">(((G74*2.66)/100)+G74)</f>
        <v>0</v>
      </c>
      <c r="H75" s="23">
        <f t="shared" si="25"/>
        <v>0</v>
      </c>
    </row>
    <row r="76" spans="2:8" x14ac:dyDescent="0.3">
      <c r="B76" s="19" t="s">
        <v>94</v>
      </c>
      <c r="C76" s="23">
        <v>15</v>
      </c>
      <c r="D76" s="23">
        <f t="shared" si="12"/>
        <v>1.1400000000000003</v>
      </c>
      <c r="E76" s="23">
        <f t="shared" si="13"/>
        <v>-2915.6640000000011</v>
      </c>
      <c r="F76" s="23">
        <f t="shared" si="11"/>
        <v>-72561.544715439843</v>
      </c>
      <c r="G76" s="23">
        <f t="shared" ref="G76:H76" si="26">(((G75*2.66)/100)+G75)</f>
        <v>0</v>
      </c>
      <c r="H76" s="23">
        <f t="shared" si="26"/>
        <v>0</v>
      </c>
    </row>
    <row r="77" spans="2:8" x14ac:dyDescent="0.3">
      <c r="B77" s="19" t="s">
        <v>94</v>
      </c>
      <c r="C77" s="23">
        <v>16</v>
      </c>
      <c r="D77" s="23">
        <f t="shared" si="12"/>
        <v>1.1700000000000004</v>
      </c>
      <c r="E77" s="23">
        <f t="shared" si="13"/>
        <v>-3074.6400000000012</v>
      </c>
      <c r="F77" s="23">
        <f t="shared" si="11"/>
        <v>-75636.184715439842</v>
      </c>
      <c r="G77" s="23">
        <f t="shared" ref="G77:H77" si="27">(((G76*2.66)/100)+G76)</f>
        <v>0</v>
      </c>
      <c r="H77" s="23">
        <f t="shared" si="27"/>
        <v>0</v>
      </c>
    </row>
    <row r="78" spans="2:8" x14ac:dyDescent="0.3">
      <c r="B78" s="19" t="s">
        <v>94</v>
      </c>
      <c r="C78" s="23">
        <v>17</v>
      </c>
      <c r="D78" s="23">
        <f t="shared" si="12"/>
        <v>1.2000000000000004</v>
      </c>
      <c r="E78" s="23">
        <f t="shared" si="13"/>
        <v>-3233.6160000000013</v>
      </c>
      <c r="F78" s="23">
        <f t="shared" si="11"/>
        <v>-78869.800715439836</v>
      </c>
      <c r="G78" s="23">
        <f t="shared" ref="G78:H78" si="28">(((G77*2.66)/100)+G77)</f>
        <v>0</v>
      </c>
      <c r="H78" s="23">
        <f t="shared" si="28"/>
        <v>0</v>
      </c>
    </row>
    <row r="79" spans="2:8" x14ac:dyDescent="0.3">
      <c r="B79" s="19" t="s">
        <v>94</v>
      </c>
      <c r="C79" s="23">
        <v>18</v>
      </c>
      <c r="D79" s="23">
        <f t="shared" si="12"/>
        <v>1.2300000000000004</v>
      </c>
      <c r="E79" s="23">
        <f t="shared" si="13"/>
        <v>-3392.5920000000015</v>
      </c>
      <c r="F79" s="23">
        <f t="shared" si="11"/>
        <v>-82262.392715439841</v>
      </c>
      <c r="G79" s="23">
        <f t="shared" ref="G79:H79" si="29">(((G78*2.66)/100)+G78)</f>
        <v>0</v>
      </c>
      <c r="H79" s="23">
        <f t="shared" si="29"/>
        <v>0</v>
      </c>
    </row>
    <row r="80" spans="2:8" x14ac:dyDescent="0.3">
      <c r="B80" s="19" t="s">
        <v>94</v>
      </c>
      <c r="C80" s="23">
        <v>19</v>
      </c>
      <c r="D80" s="23">
        <f t="shared" si="12"/>
        <v>1.2600000000000005</v>
      </c>
      <c r="E80" s="23">
        <f t="shared" si="13"/>
        <v>-3551.5680000000016</v>
      </c>
      <c r="F80" s="23">
        <f t="shared" si="11"/>
        <v>-85813.96071543984</v>
      </c>
      <c r="G80" s="23">
        <f t="shared" ref="G80:H80" si="30">(((G79*2.66)/100)+G79)</f>
        <v>0</v>
      </c>
      <c r="H80" s="23">
        <f t="shared" si="30"/>
        <v>0</v>
      </c>
    </row>
    <row r="81" spans="2:8" x14ac:dyDescent="0.3">
      <c r="B81" s="19" t="s">
        <v>94</v>
      </c>
      <c r="C81" s="23">
        <v>20</v>
      </c>
      <c r="D81" s="23">
        <f t="shared" si="12"/>
        <v>1.2900000000000005</v>
      </c>
      <c r="E81" s="23">
        <f t="shared" si="13"/>
        <v>-3710.5440000000017</v>
      </c>
      <c r="F81" s="23">
        <f t="shared" si="11"/>
        <v>-89524.504715439834</v>
      </c>
      <c r="G81" s="23">
        <f t="shared" ref="G81:H81" si="31">(((G80*2.66)/100)+G80)</f>
        <v>0</v>
      </c>
      <c r="H81" s="23">
        <f t="shared" si="31"/>
        <v>0</v>
      </c>
    </row>
    <row r="82" spans="2:8" x14ac:dyDescent="0.3">
      <c r="B82" s="19" t="s">
        <v>94</v>
      </c>
      <c r="C82" s="23">
        <v>21</v>
      </c>
      <c r="D82" s="23">
        <f t="shared" si="12"/>
        <v>1.3200000000000005</v>
      </c>
      <c r="E82" s="23">
        <f t="shared" si="13"/>
        <v>-3869.5200000000018</v>
      </c>
      <c r="F82" s="23">
        <f t="shared" si="11"/>
        <v>-93394.024715439838</v>
      </c>
      <c r="G82" s="23">
        <f t="shared" ref="G82:H82" si="32">(((G81*2.66)/100)+G81)</f>
        <v>0</v>
      </c>
      <c r="H82" s="23">
        <f t="shared" si="32"/>
        <v>0</v>
      </c>
    </row>
    <row r="83" spans="2:8" x14ac:dyDescent="0.3">
      <c r="B83" s="19" t="s">
        <v>94</v>
      </c>
      <c r="C83" s="23">
        <v>22</v>
      </c>
      <c r="D83" s="23">
        <f t="shared" si="12"/>
        <v>1.3500000000000005</v>
      </c>
      <c r="E83" s="23">
        <f t="shared" si="13"/>
        <v>-4028.4960000000019</v>
      </c>
      <c r="F83" s="23">
        <f t="shared" si="11"/>
        <v>-97422.520715439838</v>
      </c>
      <c r="G83" s="23">
        <f t="shared" ref="G83:H83" si="33">(((G82*2.66)/100)+G82)</f>
        <v>0</v>
      </c>
      <c r="H83" s="23">
        <f t="shared" si="33"/>
        <v>0</v>
      </c>
    </row>
    <row r="84" spans="2:8" x14ac:dyDescent="0.3">
      <c r="B84" s="19" t="s">
        <v>94</v>
      </c>
      <c r="C84" s="23">
        <v>23</v>
      </c>
      <c r="D84" s="23">
        <f t="shared" si="12"/>
        <v>1.3800000000000006</v>
      </c>
      <c r="E84" s="23">
        <f t="shared" si="13"/>
        <v>-4187.4720000000016</v>
      </c>
      <c r="F84" s="23">
        <f t="shared" si="11"/>
        <v>-101609.99271543985</v>
      </c>
      <c r="G84" s="23">
        <f t="shared" ref="G84:H84" si="34">(((G83*2.66)/100)+G83)</f>
        <v>0</v>
      </c>
      <c r="H84" s="23">
        <f t="shared" si="34"/>
        <v>0</v>
      </c>
    </row>
    <row r="85" spans="2:8" x14ac:dyDescent="0.3">
      <c r="B85" s="19" t="s">
        <v>94</v>
      </c>
      <c r="C85" s="23">
        <v>24</v>
      </c>
      <c r="D85" s="23">
        <f t="shared" si="12"/>
        <v>1.4100000000000006</v>
      </c>
      <c r="E85" s="23">
        <f t="shared" si="13"/>
        <v>-4346.4480000000012</v>
      </c>
      <c r="F85" s="23">
        <f t="shared" si="11"/>
        <v>-105956.44071543985</v>
      </c>
      <c r="G85" s="23">
        <f t="shared" ref="G85:H85" si="35">(((G84*2.66)/100)+G84)</f>
        <v>0</v>
      </c>
      <c r="H85" s="23">
        <f t="shared" si="35"/>
        <v>0</v>
      </c>
    </row>
    <row r="86" spans="2:8" x14ac:dyDescent="0.3">
      <c r="B86" s="19" t="s">
        <v>94</v>
      </c>
      <c r="C86" s="23">
        <v>25</v>
      </c>
      <c r="D86" s="23">
        <f t="shared" si="12"/>
        <v>1.4400000000000006</v>
      </c>
      <c r="E86" s="23">
        <f t="shared" si="13"/>
        <v>-4505.4240000000009</v>
      </c>
      <c r="F86" s="23">
        <f t="shared" si="11"/>
        <v>-110461.86471543985</v>
      </c>
      <c r="G86" s="23">
        <f t="shared" ref="G86:H86" si="36">(((G85*2.66)/100)+G85)</f>
        <v>0</v>
      </c>
      <c r="H86" s="23">
        <f t="shared" si="36"/>
        <v>0</v>
      </c>
    </row>
    <row r="87" spans="2:8" x14ac:dyDescent="0.3">
      <c r="B87" s="115"/>
      <c r="C87" s="115"/>
      <c r="D87" s="115"/>
      <c r="E87" s="115"/>
      <c r="F87" s="115"/>
      <c r="G87" s="115"/>
      <c r="H87" s="115"/>
    </row>
    <row r="88" spans="2:8" ht="27.6" x14ac:dyDescent="0.65">
      <c r="B88" s="637" t="s">
        <v>97</v>
      </c>
      <c r="C88" s="637"/>
      <c r="D88" s="637"/>
      <c r="E88" s="637"/>
      <c r="F88" s="637"/>
      <c r="G88" s="637"/>
      <c r="H88" s="637"/>
    </row>
    <row r="89" spans="2:8" ht="17.399999999999999" x14ac:dyDescent="0.3">
      <c r="B89" s="22" t="s">
        <v>86</v>
      </c>
      <c r="C89" s="22" t="s">
        <v>87</v>
      </c>
      <c r="D89" s="22" t="s">
        <v>88</v>
      </c>
      <c r="E89" s="22" t="s">
        <v>89</v>
      </c>
      <c r="F89" s="22" t="s">
        <v>90</v>
      </c>
      <c r="G89" s="22" t="s">
        <v>91</v>
      </c>
      <c r="H89" s="22" t="s">
        <v>92</v>
      </c>
    </row>
    <row r="90" spans="2:8" x14ac:dyDescent="0.3">
      <c r="B90" s="20" t="s">
        <v>93</v>
      </c>
      <c r="C90" s="21">
        <v>0</v>
      </c>
      <c r="D90" s="24">
        <v>0</v>
      </c>
      <c r="E90" s="24">
        <v>0</v>
      </c>
      <c r="F90" s="21">
        <f>-1*VALORES!I16</f>
        <v>-41673.041153364589</v>
      </c>
      <c r="G90" s="24">
        <f>VALORES!I90</f>
        <v>0</v>
      </c>
      <c r="H90" s="24">
        <f>G90</f>
        <v>0</v>
      </c>
    </row>
    <row r="91" spans="2:8" x14ac:dyDescent="0.3">
      <c r="B91" s="20" t="s">
        <v>93</v>
      </c>
      <c r="C91" s="21">
        <v>1</v>
      </c>
      <c r="D91" s="21">
        <v>0.72</v>
      </c>
      <c r="E91" s="21">
        <f>'GERAÇÃO DE ENERGIA'!H78</f>
        <v>-689.99999999999989</v>
      </c>
      <c r="F91" s="21">
        <f>F90+E91</f>
        <v>-42363.041153364589</v>
      </c>
      <c r="G91" s="21">
        <f>(((G90*2.66)/100)+G90)</f>
        <v>0</v>
      </c>
      <c r="H91" s="21">
        <f>(((G90*1.4)/100)+G90)</f>
        <v>0</v>
      </c>
    </row>
    <row r="92" spans="2:8" x14ac:dyDescent="0.3">
      <c r="B92" s="20" t="s">
        <v>93</v>
      </c>
      <c r="C92" s="21">
        <v>2</v>
      </c>
      <c r="D92" s="21">
        <f>D91+0.03</f>
        <v>0.75</v>
      </c>
      <c r="E92" s="21">
        <f>((($E$4*0.8)/100)-E91)*-1</f>
        <v>-848.97599999999989</v>
      </c>
      <c r="F92" s="21">
        <f t="shared" ref="F92:F115" si="37">F91+E92</f>
        <v>-43212.017153364592</v>
      </c>
      <c r="G92" s="21">
        <f>(((G91*2.66)/100)+G91)</f>
        <v>0</v>
      </c>
      <c r="H92" s="21">
        <f>(((H91*2.66)/100)+H91)</f>
        <v>0</v>
      </c>
    </row>
    <row r="93" spans="2:8" x14ac:dyDescent="0.3">
      <c r="B93" s="20" t="s">
        <v>93</v>
      </c>
      <c r="C93" s="21">
        <v>3</v>
      </c>
      <c r="D93" s="21">
        <f t="shared" ref="D93:D115" si="38">D92+0.03</f>
        <v>0.78</v>
      </c>
      <c r="E93" s="21">
        <f t="shared" ref="E93:E115" si="39">((($E$4*0.8)/100)-E92)*-1</f>
        <v>-1007.9519999999999</v>
      </c>
      <c r="F93" s="21">
        <f t="shared" si="37"/>
        <v>-44219.969153364589</v>
      </c>
      <c r="G93" s="21">
        <f t="shared" ref="G93:H93" si="40">(((G92*2.66)/100)+G92)</f>
        <v>0</v>
      </c>
      <c r="H93" s="21">
        <f t="shared" si="40"/>
        <v>0</v>
      </c>
    </row>
    <row r="94" spans="2:8" x14ac:dyDescent="0.3">
      <c r="B94" s="20" t="s">
        <v>93</v>
      </c>
      <c r="C94" s="21">
        <v>4</v>
      </c>
      <c r="D94" s="21">
        <f t="shared" si="38"/>
        <v>0.81</v>
      </c>
      <c r="E94" s="21">
        <f t="shared" si="39"/>
        <v>-1166.9279999999999</v>
      </c>
      <c r="F94" s="21">
        <f t="shared" si="37"/>
        <v>-45386.897153364589</v>
      </c>
      <c r="G94" s="21">
        <f t="shared" ref="G94:H94" si="41">(((G93*2.66)/100)+G93)</f>
        <v>0</v>
      </c>
      <c r="H94" s="21">
        <f t="shared" si="41"/>
        <v>0</v>
      </c>
    </row>
    <row r="95" spans="2:8" x14ac:dyDescent="0.3">
      <c r="B95" s="19" t="s">
        <v>94</v>
      </c>
      <c r="C95" s="23">
        <v>5</v>
      </c>
      <c r="D95" s="23">
        <f t="shared" si="38"/>
        <v>0.84000000000000008</v>
      </c>
      <c r="E95" s="23">
        <f t="shared" si="39"/>
        <v>-1325.904</v>
      </c>
      <c r="F95" s="23">
        <f t="shared" si="37"/>
        <v>-46712.801153364591</v>
      </c>
      <c r="G95" s="23">
        <f t="shared" ref="G95:H95" si="42">(((G94*2.66)/100)+G94)</f>
        <v>0</v>
      </c>
      <c r="H95" s="23">
        <f t="shared" si="42"/>
        <v>0</v>
      </c>
    </row>
    <row r="96" spans="2:8" x14ac:dyDescent="0.3">
      <c r="B96" s="19" t="s">
        <v>94</v>
      </c>
      <c r="C96" s="23">
        <v>6</v>
      </c>
      <c r="D96" s="23">
        <f t="shared" si="38"/>
        <v>0.87000000000000011</v>
      </c>
      <c r="E96" s="23">
        <f t="shared" si="39"/>
        <v>-1484.88</v>
      </c>
      <c r="F96" s="23">
        <f t="shared" si="37"/>
        <v>-48197.681153364589</v>
      </c>
      <c r="G96" s="23">
        <f t="shared" ref="G96:H96" si="43">(((G95*2.66)/100)+G95)</f>
        <v>0</v>
      </c>
      <c r="H96" s="23">
        <f t="shared" si="43"/>
        <v>0</v>
      </c>
    </row>
    <row r="97" spans="2:8" x14ac:dyDescent="0.3">
      <c r="B97" s="19" t="s">
        <v>94</v>
      </c>
      <c r="C97" s="23">
        <v>7</v>
      </c>
      <c r="D97" s="23">
        <f t="shared" si="38"/>
        <v>0.90000000000000013</v>
      </c>
      <c r="E97" s="23">
        <f t="shared" si="39"/>
        <v>-1643.8560000000002</v>
      </c>
      <c r="F97" s="23">
        <f t="shared" si="37"/>
        <v>-49841.537153364588</v>
      </c>
      <c r="G97" s="23">
        <f t="shared" ref="G97:H97" si="44">(((G96*2.66)/100)+G96)</f>
        <v>0</v>
      </c>
      <c r="H97" s="23">
        <f t="shared" si="44"/>
        <v>0</v>
      </c>
    </row>
    <row r="98" spans="2:8" x14ac:dyDescent="0.3">
      <c r="B98" s="19" t="s">
        <v>94</v>
      </c>
      <c r="C98" s="23">
        <v>8</v>
      </c>
      <c r="D98" s="23">
        <f t="shared" si="38"/>
        <v>0.93000000000000016</v>
      </c>
      <c r="E98" s="23">
        <f t="shared" si="39"/>
        <v>-1802.8320000000003</v>
      </c>
      <c r="F98" s="23">
        <f t="shared" si="37"/>
        <v>-51644.369153364591</v>
      </c>
      <c r="G98" s="23">
        <f t="shared" ref="G98:H98" si="45">(((G97*2.66)/100)+G97)</f>
        <v>0</v>
      </c>
      <c r="H98" s="23">
        <f t="shared" si="45"/>
        <v>0</v>
      </c>
    </row>
    <row r="99" spans="2:8" x14ac:dyDescent="0.3">
      <c r="B99" s="19" t="s">
        <v>94</v>
      </c>
      <c r="C99" s="23">
        <v>9</v>
      </c>
      <c r="D99" s="23">
        <f t="shared" si="38"/>
        <v>0.96000000000000019</v>
      </c>
      <c r="E99" s="23">
        <f t="shared" si="39"/>
        <v>-1961.8080000000004</v>
      </c>
      <c r="F99" s="23">
        <f t="shared" si="37"/>
        <v>-53606.177153364588</v>
      </c>
      <c r="G99" s="23">
        <f t="shared" ref="G99:H99" si="46">(((G98*2.66)/100)+G98)</f>
        <v>0</v>
      </c>
      <c r="H99" s="23">
        <f t="shared" si="46"/>
        <v>0</v>
      </c>
    </row>
    <row r="100" spans="2:8" x14ac:dyDescent="0.3">
      <c r="B100" s="19" t="s">
        <v>94</v>
      </c>
      <c r="C100" s="23">
        <v>10</v>
      </c>
      <c r="D100" s="23">
        <f t="shared" si="38"/>
        <v>0.99000000000000021</v>
      </c>
      <c r="E100" s="23">
        <f t="shared" si="39"/>
        <v>-2120.7840000000006</v>
      </c>
      <c r="F100" s="23">
        <f t="shared" si="37"/>
        <v>-55726.961153364588</v>
      </c>
      <c r="G100" s="23">
        <f t="shared" ref="G100:H100" si="47">(((G99*2.66)/100)+G99)</f>
        <v>0</v>
      </c>
      <c r="H100" s="23">
        <f t="shared" si="47"/>
        <v>0</v>
      </c>
    </row>
    <row r="101" spans="2:8" x14ac:dyDescent="0.3">
      <c r="B101" s="19" t="s">
        <v>94</v>
      </c>
      <c r="C101" s="23">
        <v>11</v>
      </c>
      <c r="D101" s="23">
        <f t="shared" si="38"/>
        <v>1.0200000000000002</v>
      </c>
      <c r="E101" s="23">
        <f t="shared" si="39"/>
        <v>-2279.7600000000007</v>
      </c>
      <c r="F101" s="23">
        <f t="shared" si="37"/>
        <v>-58006.72115336459</v>
      </c>
      <c r="G101" s="23">
        <f t="shared" ref="G101:H101" si="48">(((G100*2.66)/100)+G100)</f>
        <v>0</v>
      </c>
      <c r="H101" s="23">
        <f t="shared" si="48"/>
        <v>0</v>
      </c>
    </row>
    <row r="102" spans="2:8" x14ac:dyDescent="0.3">
      <c r="B102" s="19" t="s">
        <v>94</v>
      </c>
      <c r="C102" s="23">
        <v>12</v>
      </c>
      <c r="D102" s="23">
        <f t="shared" si="38"/>
        <v>1.0500000000000003</v>
      </c>
      <c r="E102" s="23">
        <f t="shared" si="39"/>
        <v>-2438.7360000000008</v>
      </c>
      <c r="F102" s="23">
        <f t="shared" si="37"/>
        <v>-60445.457153364594</v>
      </c>
      <c r="G102" s="23">
        <f t="shared" ref="G102:H102" si="49">(((G101*2.66)/100)+G101)</f>
        <v>0</v>
      </c>
      <c r="H102" s="23">
        <f t="shared" si="49"/>
        <v>0</v>
      </c>
    </row>
    <row r="103" spans="2:8" x14ac:dyDescent="0.3">
      <c r="B103" s="19" t="s">
        <v>94</v>
      </c>
      <c r="C103" s="23">
        <v>13</v>
      </c>
      <c r="D103" s="23">
        <f t="shared" si="38"/>
        <v>1.0800000000000003</v>
      </c>
      <c r="E103" s="23">
        <f t="shared" si="39"/>
        <v>-2597.7120000000009</v>
      </c>
      <c r="F103" s="23">
        <f t="shared" si="37"/>
        <v>-63043.169153364594</v>
      </c>
      <c r="G103" s="23">
        <f t="shared" ref="G103:H103" si="50">(((G102*2.66)/100)+G102)</f>
        <v>0</v>
      </c>
      <c r="H103" s="23">
        <f t="shared" si="50"/>
        <v>0</v>
      </c>
    </row>
    <row r="104" spans="2:8" x14ac:dyDescent="0.3">
      <c r="B104" s="19" t="s">
        <v>94</v>
      </c>
      <c r="C104" s="23">
        <v>14</v>
      </c>
      <c r="D104" s="23">
        <f t="shared" si="38"/>
        <v>1.1100000000000003</v>
      </c>
      <c r="E104" s="23">
        <f t="shared" si="39"/>
        <v>-2756.688000000001</v>
      </c>
      <c r="F104" s="23">
        <f t="shared" si="37"/>
        <v>-65799.857153364588</v>
      </c>
      <c r="G104" s="23">
        <f t="shared" ref="G104:H104" si="51">(((G103*2.66)/100)+G103)</f>
        <v>0</v>
      </c>
      <c r="H104" s="23">
        <f t="shared" si="51"/>
        <v>0</v>
      </c>
    </row>
    <row r="105" spans="2:8" x14ac:dyDescent="0.3">
      <c r="B105" s="19" t="s">
        <v>94</v>
      </c>
      <c r="C105" s="23">
        <v>15</v>
      </c>
      <c r="D105" s="23">
        <f t="shared" si="38"/>
        <v>1.1400000000000003</v>
      </c>
      <c r="E105" s="23">
        <f t="shared" si="39"/>
        <v>-2915.6640000000011</v>
      </c>
      <c r="F105" s="23">
        <f t="shared" si="37"/>
        <v>-68715.521153364592</v>
      </c>
      <c r="G105" s="23">
        <f t="shared" ref="G105:H105" si="52">(((G104*2.66)/100)+G104)</f>
        <v>0</v>
      </c>
      <c r="H105" s="23">
        <f t="shared" si="52"/>
        <v>0</v>
      </c>
    </row>
    <row r="106" spans="2:8" x14ac:dyDescent="0.3">
      <c r="B106" s="19" t="s">
        <v>94</v>
      </c>
      <c r="C106" s="23">
        <v>16</v>
      </c>
      <c r="D106" s="23">
        <f t="shared" si="38"/>
        <v>1.1700000000000004</v>
      </c>
      <c r="E106" s="23">
        <f t="shared" si="39"/>
        <v>-3074.6400000000012</v>
      </c>
      <c r="F106" s="23">
        <f t="shared" si="37"/>
        <v>-71790.161153364592</v>
      </c>
      <c r="G106" s="23">
        <f t="shared" ref="G106:H106" si="53">(((G105*2.66)/100)+G105)</f>
        <v>0</v>
      </c>
      <c r="H106" s="23">
        <f t="shared" si="53"/>
        <v>0</v>
      </c>
    </row>
    <row r="107" spans="2:8" x14ac:dyDescent="0.3">
      <c r="B107" s="19" t="s">
        <v>94</v>
      </c>
      <c r="C107" s="23">
        <v>17</v>
      </c>
      <c r="D107" s="23">
        <f t="shared" si="38"/>
        <v>1.2000000000000004</v>
      </c>
      <c r="E107" s="23">
        <f t="shared" si="39"/>
        <v>-3233.6160000000013</v>
      </c>
      <c r="F107" s="23">
        <f t="shared" si="37"/>
        <v>-75023.777153364586</v>
      </c>
      <c r="G107" s="23">
        <f t="shared" ref="G107:H107" si="54">(((G106*2.66)/100)+G106)</f>
        <v>0</v>
      </c>
      <c r="H107" s="23">
        <f t="shared" si="54"/>
        <v>0</v>
      </c>
    </row>
    <row r="108" spans="2:8" x14ac:dyDescent="0.3">
      <c r="B108" s="19" t="s">
        <v>94</v>
      </c>
      <c r="C108" s="23">
        <v>18</v>
      </c>
      <c r="D108" s="23">
        <f t="shared" si="38"/>
        <v>1.2300000000000004</v>
      </c>
      <c r="E108" s="23">
        <f t="shared" si="39"/>
        <v>-3392.5920000000015</v>
      </c>
      <c r="F108" s="23">
        <f t="shared" si="37"/>
        <v>-78416.369153364591</v>
      </c>
      <c r="G108" s="23">
        <f t="shared" ref="G108:H108" si="55">(((G107*2.66)/100)+G107)</f>
        <v>0</v>
      </c>
      <c r="H108" s="23">
        <f t="shared" si="55"/>
        <v>0</v>
      </c>
    </row>
    <row r="109" spans="2:8" x14ac:dyDescent="0.3">
      <c r="B109" s="19" t="s">
        <v>94</v>
      </c>
      <c r="C109" s="23">
        <v>19</v>
      </c>
      <c r="D109" s="23">
        <f t="shared" si="38"/>
        <v>1.2600000000000005</v>
      </c>
      <c r="E109" s="23">
        <f t="shared" si="39"/>
        <v>-3551.5680000000016</v>
      </c>
      <c r="F109" s="23">
        <f t="shared" si="37"/>
        <v>-81967.93715336459</v>
      </c>
      <c r="G109" s="23">
        <f t="shared" ref="G109:H109" si="56">(((G108*2.66)/100)+G108)</f>
        <v>0</v>
      </c>
      <c r="H109" s="23">
        <f t="shared" si="56"/>
        <v>0</v>
      </c>
    </row>
    <row r="110" spans="2:8" x14ac:dyDescent="0.3">
      <c r="B110" s="19" t="s">
        <v>94</v>
      </c>
      <c r="C110" s="23">
        <v>20</v>
      </c>
      <c r="D110" s="23">
        <f t="shared" si="38"/>
        <v>1.2900000000000005</v>
      </c>
      <c r="E110" s="23">
        <f t="shared" si="39"/>
        <v>-3710.5440000000017</v>
      </c>
      <c r="F110" s="23">
        <f t="shared" si="37"/>
        <v>-85678.481153364584</v>
      </c>
      <c r="G110" s="23">
        <f t="shared" ref="G110:H110" si="57">(((G109*2.66)/100)+G109)</f>
        <v>0</v>
      </c>
      <c r="H110" s="23">
        <f t="shared" si="57"/>
        <v>0</v>
      </c>
    </row>
    <row r="111" spans="2:8" x14ac:dyDescent="0.3">
      <c r="B111" s="19" t="s">
        <v>94</v>
      </c>
      <c r="C111" s="23">
        <v>21</v>
      </c>
      <c r="D111" s="23">
        <f t="shared" si="38"/>
        <v>1.3200000000000005</v>
      </c>
      <c r="E111" s="23">
        <f t="shared" si="39"/>
        <v>-3869.5200000000018</v>
      </c>
      <c r="F111" s="23">
        <f t="shared" si="37"/>
        <v>-89548.001153364588</v>
      </c>
      <c r="G111" s="23">
        <f t="shared" ref="G111:H111" si="58">(((G110*2.66)/100)+G110)</f>
        <v>0</v>
      </c>
      <c r="H111" s="23">
        <f t="shared" si="58"/>
        <v>0</v>
      </c>
    </row>
    <row r="112" spans="2:8" x14ac:dyDescent="0.3">
      <c r="B112" s="19" t="s">
        <v>94</v>
      </c>
      <c r="C112" s="23">
        <v>22</v>
      </c>
      <c r="D112" s="23">
        <f t="shared" si="38"/>
        <v>1.3500000000000005</v>
      </c>
      <c r="E112" s="23">
        <f t="shared" si="39"/>
        <v>-4028.4960000000019</v>
      </c>
      <c r="F112" s="23">
        <f t="shared" si="37"/>
        <v>-93576.497153364588</v>
      </c>
      <c r="G112" s="23">
        <f t="shared" ref="G112:H112" si="59">(((G111*2.66)/100)+G111)</f>
        <v>0</v>
      </c>
      <c r="H112" s="23">
        <f t="shared" si="59"/>
        <v>0</v>
      </c>
    </row>
    <row r="113" spans="2:8" x14ac:dyDescent="0.3">
      <c r="B113" s="19" t="s">
        <v>94</v>
      </c>
      <c r="C113" s="23">
        <v>23</v>
      </c>
      <c r="D113" s="23">
        <f t="shared" si="38"/>
        <v>1.3800000000000006</v>
      </c>
      <c r="E113" s="23">
        <f t="shared" si="39"/>
        <v>-4187.4720000000016</v>
      </c>
      <c r="F113" s="23">
        <f t="shared" si="37"/>
        <v>-97763.969153364596</v>
      </c>
      <c r="G113" s="23">
        <f t="shared" ref="G113:H113" si="60">(((G112*2.66)/100)+G112)</f>
        <v>0</v>
      </c>
      <c r="H113" s="23">
        <f t="shared" si="60"/>
        <v>0</v>
      </c>
    </row>
    <row r="114" spans="2:8" x14ac:dyDescent="0.3">
      <c r="B114" s="19" t="s">
        <v>94</v>
      </c>
      <c r="C114" s="23">
        <v>24</v>
      </c>
      <c r="D114" s="23">
        <f t="shared" si="38"/>
        <v>1.4100000000000006</v>
      </c>
      <c r="E114" s="23">
        <f t="shared" si="39"/>
        <v>-4346.4480000000012</v>
      </c>
      <c r="F114" s="23">
        <f t="shared" si="37"/>
        <v>-102110.4171533646</v>
      </c>
      <c r="G114" s="23">
        <f t="shared" ref="G114:H114" si="61">(((G113*2.66)/100)+G113)</f>
        <v>0</v>
      </c>
      <c r="H114" s="23">
        <f t="shared" si="61"/>
        <v>0</v>
      </c>
    </row>
    <row r="115" spans="2:8" x14ac:dyDescent="0.3">
      <c r="B115" s="19" t="s">
        <v>94</v>
      </c>
      <c r="C115" s="23">
        <v>25</v>
      </c>
      <c r="D115" s="23">
        <f t="shared" si="38"/>
        <v>1.4400000000000006</v>
      </c>
      <c r="E115" s="23">
        <f t="shared" si="39"/>
        <v>-4505.4240000000009</v>
      </c>
      <c r="F115" s="23">
        <f t="shared" si="37"/>
        <v>-106615.8411533646</v>
      </c>
      <c r="G115" s="23">
        <f t="shared" ref="G115:H115" si="62">(((G114*2.66)/100)+G114)</f>
        <v>0</v>
      </c>
      <c r="H115" s="23">
        <f t="shared" si="62"/>
        <v>0</v>
      </c>
    </row>
    <row r="116" spans="2:8" x14ac:dyDescent="0.3">
      <c r="B116" s="115"/>
      <c r="C116" s="115"/>
      <c r="D116" s="115"/>
      <c r="E116" s="115"/>
      <c r="F116" s="115"/>
      <c r="G116" s="115"/>
      <c r="H116" s="115"/>
    </row>
    <row r="117" spans="2:8" ht="27.6" x14ac:dyDescent="0.65">
      <c r="B117" s="637" t="s">
        <v>98</v>
      </c>
      <c r="C117" s="637"/>
      <c r="D117" s="637"/>
      <c r="E117" s="637"/>
      <c r="F117" s="637"/>
      <c r="G117" s="637"/>
      <c r="H117" s="637"/>
    </row>
    <row r="118" spans="2:8" ht="17.399999999999999" x14ac:dyDescent="0.3">
      <c r="B118" s="22" t="s">
        <v>86</v>
      </c>
      <c r="C118" s="22" t="s">
        <v>87</v>
      </c>
      <c r="D118" s="22" t="s">
        <v>88</v>
      </c>
      <c r="E118" s="22" t="s">
        <v>89</v>
      </c>
      <c r="F118" s="22" t="s">
        <v>90</v>
      </c>
      <c r="G118" s="22" t="s">
        <v>91</v>
      </c>
      <c r="H118" s="22" t="s">
        <v>92</v>
      </c>
    </row>
    <row r="119" spans="2:8" x14ac:dyDescent="0.3">
      <c r="B119" s="20" t="s">
        <v>93</v>
      </c>
      <c r="C119" s="21">
        <v>0</v>
      </c>
      <c r="D119" s="24">
        <v>0</v>
      </c>
      <c r="E119" s="24">
        <v>0</v>
      </c>
      <c r="F119" s="21">
        <f>-1*VALORES!I123</f>
        <v>0</v>
      </c>
      <c r="G119" s="24">
        <f>VALORES!I119</f>
        <v>0</v>
      </c>
      <c r="H119" s="24">
        <f>G119</f>
        <v>0</v>
      </c>
    </row>
    <row r="120" spans="2:8" x14ac:dyDescent="0.3">
      <c r="B120" s="20" t="s">
        <v>93</v>
      </c>
      <c r="C120" s="21">
        <v>1</v>
      </c>
      <c r="D120" s="21">
        <v>0.72</v>
      </c>
      <c r="E120" s="21">
        <f>'GERAÇÃO DE ENERGIA'!E134</f>
        <v>0</v>
      </c>
      <c r="F120" s="21">
        <f>F119+E120</f>
        <v>0</v>
      </c>
      <c r="G120" s="21">
        <f>(((G119*2.66)/100)+G119)</f>
        <v>0</v>
      </c>
      <c r="H120" s="21">
        <f>(((G119*1.4)/100)+G119)</f>
        <v>0</v>
      </c>
    </row>
    <row r="121" spans="2:8" x14ac:dyDescent="0.3">
      <c r="B121" s="20" t="s">
        <v>93</v>
      </c>
      <c r="C121" s="21">
        <v>2</v>
      </c>
      <c r="D121" s="21">
        <f>D120+0.03</f>
        <v>0.75</v>
      </c>
      <c r="E121" s="21">
        <f>((($E$4*0.8)/100)-E120)*-1</f>
        <v>-158.976</v>
      </c>
      <c r="F121" s="21">
        <f t="shared" ref="F121:F144" si="63">F120+E121</f>
        <v>-158.976</v>
      </c>
      <c r="G121" s="21">
        <f>(((G120*2.66)/100)+G120)</f>
        <v>0</v>
      </c>
      <c r="H121" s="21">
        <f>(((H120*2.66)/100)+H120)</f>
        <v>0</v>
      </c>
    </row>
    <row r="122" spans="2:8" x14ac:dyDescent="0.3">
      <c r="B122" s="20" t="s">
        <v>93</v>
      </c>
      <c r="C122" s="21">
        <v>3</v>
      </c>
      <c r="D122" s="21">
        <f t="shared" ref="D122:D144" si="64">D121+0.03</f>
        <v>0.78</v>
      </c>
      <c r="E122" s="21">
        <f t="shared" ref="E122:E144" si="65">((($E$4*0.8)/100)-E121)*-1</f>
        <v>-317.952</v>
      </c>
      <c r="F122" s="21">
        <f t="shared" si="63"/>
        <v>-476.928</v>
      </c>
      <c r="G122" s="21">
        <f t="shared" ref="G122:H122" si="66">(((G121*2.66)/100)+G121)</f>
        <v>0</v>
      </c>
      <c r="H122" s="21">
        <f t="shared" si="66"/>
        <v>0</v>
      </c>
    </row>
    <row r="123" spans="2:8" x14ac:dyDescent="0.3">
      <c r="B123" s="20" t="s">
        <v>93</v>
      </c>
      <c r="C123" s="21">
        <v>4</v>
      </c>
      <c r="D123" s="21">
        <f t="shared" si="64"/>
        <v>0.81</v>
      </c>
      <c r="E123" s="21">
        <f t="shared" si="65"/>
        <v>-476.928</v>
      </c>
      <c r="F123" s="21">
        <f t="shared" si="63"/>
        <v>-953.85599999999999</v>
      </c>
      <c r="G123" s="21">
        <f t="shared" ref="G123:H123" si="67">(((G122*2.66)/100)+G122)</f>
        <v>0</v>
      </c>
      <c r="H123" s="21">
        <f t="shared" si="67"/>
        <v>0</v>
      </c>
    </row>
    <row r="124" spans="2:8" x14ac:dyDescent="0.3">
      <c r="B124" s="19" t="s">
        <v>94</v>
      </c>
      <c r="C124" s="23">
        <v>5</v>
      </c>
      <c r="D124" s="23">
        <f t="shared" si="64"/>
        <v>0.84000000000000008</v>
      </c>
      <c r="E124" s="23">
        <f t="shared" si="65"/>
        <v>-635.904</v>
      </c>
      <c r="F124" s="23">
        <f t="shared" si="63"/>
        <v>-1589.76</v>
      </c>
      <c r="G124" s="23">
        <f t="shared" ref="G124:H124" si="68">(((G123*2.66)/100)+G123)</f>
        <v>0</v>
      </c>
      <c r="H124" s="23">
        <f t="shared" si="68"/>
        <v>0</v>
      </c>
    </row>
    <row r="125" spans="2:8" x14ac:dyDescent="0.3">
      <c r="B125" s="19" t="s">
        <v>94</v>
      </c>
      <c r="C125" s="23">
        <v>6</v>
      </c>
      <c r="D125" s="23">
        <f t="shared" si="64"/>
        <v>0.87000000000000011</v>
      </c>
      <c r="E125" s="23">
        <f t="shared" si="65"/>
        <v>-794.88</v>
      </c>
      <c r="F125" s="23">
        <f t="shared" si="63"/>
        <v>-2384.64</v>
      </c>
      <c r="G125" s="23">
        <f t="shared" ref="G125:H125" si="69">(((G124*2.66)/100)+G124)</f>
        <v>0</v>
      </c>
      <c r="H125" s="23">
        <f t="shared" si="69"/>
        <v>0</v>
      </c>
    </row>
    <row r="126" spans="2:8" x14ac:dyDescent="0.3">
      <c r="B126" s="19" t="s">
        <v>94</v>
      </c>
      <c r="C126" s="23">
        <v>7</v>
      </c>
      <c r="D126" s="23">
        <f t="shared" si="64"/>
        <v>0.90000000000000013</v>
      </c>
      <c r="E126" s="23">
        <f t="shared" si="65"/>
        <v>-953.85599999999999</v>
      </c>
      <c r="F126" s="23">
        <f t="shared" si="63"/>
        <v>-3338.4960000000001</v>
      </c>
      <c r="G126" s="23">
        <f t="shared" ref="G126:H126" si="70">(((G125*2.66)/100)+G125)</f>
        <v>0</v>
      </c>
      <c r="H126" s="23">
        <f t="shared" si="70"/>
        <v>0</v>
      </c>
    </row>
    <row r="127" spans="2:8" x14ac:dyDescent="0.3">
      <c r="B127" s="19" t="s">
        <v>94</v>
      </c>
      <c r="C127" s="23">
        <v>8</v>
      </c>
      <c r="D127" s="23">
        <f t="shared" si="64"/>
        <v>0.93000000000000016</v>
      </c>
      <c r="E127" s="23">
        <f t="shared" si="65"/>
        <v>-1112.8319999999999</v>
      </c>
      <c r="F127" s="23">
        <f t="shared" si="63"/>
        <v>-4451.3279999999995</v>
      </c>
      <c r="G127" s="23">
        <f t="shared" ref="G127:H127" si="71">(((G126*2.66)/100)+G126)</f>
        <v>0</v>
      </c>
      <c r="H127" s="23">
        <f t="shared" si="71"/>
        <v>0</v>
      </c>
    </row>
    <row r="128" spans="2:8" x14ac:dyDescent="0.3">
      <c r="B128" s="19" t="s">
        <v>94</v>
      </c>
      <c r="C128" s="23">
        <v>9</v>
      </c>
      <c r="D128" s="23">
        <f t="shared" si="64"/>
        <v>0.96000000000000019</v>
      </c>
      <c r="E128" s="23">
        <f t="shared" si="65"/>
        <v>-1271.808</v>
      </c>
      <c r="F128" s="23">
        <f t="shared" si="63"/>
        <v>-5723.1359999999995</v>
      </c>
      <c r="G128" s="23">
        <f t="shared" ref="G128:H128" si="72">(((G127*2.66)/100)+G127)</f>
        <v>0</v>
      </c>
      <c r="H128" s="23">
        <f t="shared" si="72"/>
        <v>0</v>
      </c>
    </row>
    <row r="129" spans="2:8" x14ac:dyDescent="0.3">
      <c r="B129" s="19" t="s">
        <v>94</v>
      </c>
      <c r="C129" s="23">
        <v>10</v>
      </c>
      <c r="D129" s="23">
        <f t="shared" si="64"/>
        <v>0.99000000000000021</v>
      </c>
      <c r="E129" s="23">
        <f t="shared" si="65"/>
        <v>-1430.7840000000001</v>
      </c>
      <c r="F129" s="23">
        <f t="shared" si="63"/>
        <v>-7153.92</v>
      </c>
      <c r="G129" s="23">
        <f t="shared" ref="G129:H129" si="73">(((G128*2.66)/100)+G128)</f>
        <v>0</v>
      </c>
      <c r="H129" s="23">
        <f t="shared" si="73"/>
        <v>0</v>
      </c>
    </row>
    <row r="130" spans="2:8" x14ac:dyDescent="0.3">
      <c r="B130" s="19" t="s">
        <v>94</v>
      </c>
      <c r="C130" s="23">
        <v>11</v>
      </c>
      <c r="D130" s="23">
        <f t="shared" si="64"/>
        <v>1.0200000000000002</v>
      </c>
      <c r="E130" s="23">
        <f t="shared" si="65"/>
        <v>-1589.7600000000002</v>
      </c>
      <c r="F130" s="23">
        <f t="shared" si="63"/>
        <v>-8743.68</v>
      </c>
      <c r="G130" s="23">
        <f t="shared" ref="G130:H130" si="74">(((G129*2.66)/100)+G129)</f>
        <v>0</v>
      </c>
      <c r="H130" s="23">
        <f t="shared" si="74"/>
        <v>0</v>
      </c>
    </row>
    <row r="131" spans="2:8" x14ac:dyDescent="0.3">
      <c r="B131" s="19" t="s">
        <v>94</v>
      </c>
      <c r="C131" s="23">
        <v>12</v>
      </c>
      <c r="D131" s="23">
        <f t="shared" si="64"/>
        <v>1.0500000000000003</v>
      </c>
      <c r="E131" s="23">
        <f t="shared" si="65"/>
        <v>-1748.7360000000003</v>
      </c>
      <c r="F131" s="23">
        <f t="shared" si="63"/>
        <v>-10492.416000000001</v>
      </c>
      <c r="G131" s="23">
        <f t="shared" ref="G131:H131" si="75">(((G130*2.66)/100)+G130)</f>
        <v>0</v>
      </c>
      <c r="H131" s="23">
        <f t="shared" si="75"/>
        <v>0</v>
      </c>
    </row>
    <row r="132" spans="2:8" x14ac:dyDescent="0.3">
      <c r="B132" s="19" t="s">
        <v>94</v>
      </c>
      <c r="C132" s="23">
        <v>13</v>
      </c>
      <c r="D132" s="23">
        <f t="shared" si="64"/>
        <v>1.0800000000000003</v>
      </c>
      <c r="E132" s="23">
        <f t="shared" si="65"/>
        <v>-1907.7120000000004</v>
      </c>
      <c r="F132" s="23">
        <f t="shared" si="63"/>
        <v>-12400.128000000001</v>
      </c>
      <c r="G132" s="23">
        <f t="shared" ref="G132:H132" si="76">(((G131*2.66)/100)+G131)</f>
        <v>0</v>
      </c>
      <c r="H132" s="23">
        <f t="shared" si="76"/>
        <v>0</v>
      </c>
    </row>
    <row r="133" spans="2:8" x14ac:dyDescent="0.3">
      <c r="B133" s="19" t="s">
        <v>94</v>
      </c>
      <c r="C133" s="23">
        <v>14</v>
      </c>
      <c r="D133" s="23">
        <f t="shared" si="64"/>
        <v>1.1100000000000003</v>
      </c>
      <c r="E133" s="23">
        <f t="shared" si="65"/>
        <v>-2066.6880000000006</v>
      </c>
      <c r="F133" s="23">
        <f t="shared" si="63"/>
        <v>-14466.816000000001</v>
      </c>
      <c r="G133" s="23">
        <f t="shared" ref="G133:H133" si="77">(((G132*2.66)/100)+G132)</f>
        <v>0</v>
      </c>
      <c r="H133" s="23">
        <f t="shared" si="77"/>
        <v>0</v>
      </c>
    </row>
    <row r="134" spans="2:8" x14ac:dyDescent="0.3">
      <c r="B134" s="19" t="s">
        <v>94</v>
      </c>
      <c r="C134" s="23">
        <v>15</v>
      </c>
      <c r="D134" s="23">
        <f t="shared" si="64"/>
        <v>1.1400000000000003</v>
      </c>
      <c r="E134" s="23">
        <f t="shared" si="65"/>
        <v>-2225.6640000000007</v>
      </c>
      <c r="F134" s="23">
        <f t="shared" si="63"/>
        <v>-16692.480000000003</v>
      </c>
      <c r="G134" s="23">
        <f t="shared" ref="G134:H134" si="78">(((G133*2.66)/100)+G133)</f>
        <v>0</v>
      </c>
      <c r="H134" s="23">
        <f t="shared" si="78"/>
        <v>0</v>
      </c>
    </row>
    <row r="135" spans="2:8" x14ac:dyDescent="0.3">
      <c r="B135" s="19" t="s">
        <v>94</v>
      </c>
      <c r="C135" s="23">
        <v>16</v>
      </c>
      <c r="D135" s="23">
        <f t="shared" si="64"/>
        <v>1.1700000000000004</v>
      </c>
      <c r="E135" s="23">
        <f t="shared" si="65"/>
        <v>-2384.6400000000008</v>
      </c>
      <c r="F135" s="23">
        <f t="shared" si="63"/>
        <v>-19077.120000000003</v>
      </c>
      <c r="G135" s="23">
        <f t="shared" ref="G135:H135" si="79">(((G134*2.66)/100)+G134)</f>
        <v>0</v>
      </c>
      <c r="H135" s="23">
        <f t="shared" si="79"/>
        <v>0</v>
      </c>
    </row>
    <row r="136" spans="2:8" x14ac:dyDescent="0.3">
      <c r="B136" s="19" t="s">
        <v>94</v>
      </c>
      <c r="C136" s="23">
        <v>17</v>
      </c>
      <c r="D136" s="23">
        <f t="shared" si="64"/>
        <v>1.2000000000000004</v>
      </c>
      <c r="E136" s="23">
        <f t="shared" si="65"/>
        <v>-2543.6160000000009</v>
      </c>
      <c r="F136" s="23">
        <f t="shared" si="63"/>
        <v>-21620.736000000004</v>
      </c>
      <c r="G136" s="23">
        <f t="shared" ref="G136:H136" si="80">(((G135*2.66)/100)+G135)</f>
        <v>0</v>
      </c>
      <c r="H136" s="23">
        <f t="shared" si="80"/>
        <v>0</v>
      </c>
    </row>
    <row r="137" spans="2:8" x14ac:dyDescent="0.3">
      <c r="B137" s="19" t="s">
        <v>94</v>
      </c>
      <c r="C137" s="23">
        <v>18</v>
      </c>
      <c r="D137" s="23">
        <f t="shared" si="64"/>
        <v>1.2300000000000004</v>
      </c>
      <c r="E137" s="23">
        <f t="shared" si="65"/>
        <v>-2702.592000000001</v>
      </c>
      <c r="F137" s="23">
        <f t="shared" si="63"/>
        <v>-24323.328000000005</v>
      </c>
      <c r="G137" s="23">
        <f t="shared" ref="G137:H137" si="81">(((G136*2.66)/100)+G136)</f>
        <v>0</v>
      </c>
      <c r="H137" s="23">
        <f t="shared" si="81"/>
        <v>0</v>
      </c>
    </row>
    <row r="138" spans="2:8" x14ac:dyDescent="0.3">
      <c r="B138" s="19" t="s">
        <v>94</v>
      </c>
      <c r="C138" s="23">
        <v>19</v>
      </c>
      <c r="D138" s="23">
        <f t="shared" si="64"/>
        <v>1.2600000000000005</v>
      </c>
      <c r="E138" s="23">
        <f t="shared" si="65"/>
        <v>-2861.5680000000011</v>
      </c>
      <c r="F138" s="23">
        <f t="shared" si="63"/>
        <v>-27184.896000000008</v>
      </c>
      <c r="G138" s="23">
        <f t="shared" ref="G138:H138" si="82">(((G137*2.66)/100)+G137)</f>
        <v>0</v>
      </c>
      <c r="H138" s="23">
        <f t="shared" si="82"/>
        <v>0</v>
      </c>
    </row>
    <row r="139" spans="2:8" x14ac:dyDescent="0.3">
      <c r="B139" s="19" t="s">
        <v>94</v>
      </c>
      <c r="C139" s="23">
        <v>20</v>
      </c>
      <c r="D139" s="23">
        <f t="shared" si="64"/>
        <v>1.2900000000000005</v>
      </c>
      <c r="E139" s="23">
        <f t="shared" si="65"/>
        <v>-3020.5440000000012</v>
      </c>
      <c r="F139" s="23">
        <f t="shared" si="63"/>
        <v>-30205.44000000001</v>
      </c>
      <c r="G139" s="23">
        <f t="shared" ref="G139:H139" si="83">(((G138*2.66)/100)+G138)</f>
        <v>0</v>
      </c>
      <c r="H139" s="23">
        <f t="shared" si="83"/>
        <v>0</v>
      </c>
    </row>
    <row r="140" spans="2:8" x14ac:dyDescent="0.3">
      <c r="B140" s="19" t="s">
        <v>94</v>
      </c>
      <c r="C140" s="23">
        <v>21</v>
      </c>
      <c r="D140" s="23">
        <f t="shared" si="64"/>
        <v>1.3200000000000005</v>
      </c>
      <c r="E140" s="23">
        <f t="shared" si="65"/>
        <v>-3179.5200000000013</v>
      </c>
      <c r="F140" s="23">
        <f t="shared" si="63"/>
        <v>-33384.960000000014</v>
      </c>
      <c r="G140" s="23">
        <f t="shared" ref="G140:H140" si="84">(((G139*2.66)/100)+G139)</f>
        <v>0</v>
      </c>
      <c r="H140" s="23">
        <f t="shared" si="84"/>
        <v>0</v>
      </c>
    </row>
    <row r="141" spans="2:8" x14ac:dyDescent="0.3">
      <c r="B141" s="19" t="s">
        <v>94</v>
      </c>
      <c r="C141" s="23">
        <v>22</v>
      </c>
      <c r="D141" s="23">
        <f t="shared" si="64"/>
        <v>1.3500000000000005</v>
      </c>
      <c r="E141" s="23">
        <f t="shared" si="65"/>
        <v>-3338.4960000000015</v>
      </c>
      <c r="F141" s="23">
        <f t="shared" si="63"/>
        <v>-36723.456000000013</v>
      </c>
      <c r="G141" s="23">
        <f t="shared" ref="G141:H141" si="85">(((G140*2.66)/100)+G140)</f>
        <v>0</v>
      </c>
      <c r="H141" s="23">
        <f t="shared" si="85"/>
        <v>0</v>
      </c>
    </row>
    <row r="142" spans="2:8" x14ac:dyDescent="0.3">
      <c r="B142" s="19" t="s">
        <v>94</v>
      </c>
      <c r="C142" s="23">
        <v>23</v>
      </c>
      <c r="D142" s="23">
        <f t="shared" si="64"/>
        <v>1.3800000000000006</v>
      </c>
      <c r="E142" s="23">
        <f t="shared" si="65"/>
        <v>-3497.4720000000016</v>
      </c>
      <c r="F142" s="23">
        <f t="shared" si="63"/>
        <v>-40220.928000000014</v>
      </c>
      <c r="G142" s="23">
        <f t="shared" ref="G142:H142" si="86">(((G141*2.66)/100)+G141)</f>
        <v>0</v>
      </c>
      <c r="H142" s="23">
        <f t="shared" si="86"/>
        <v>0</v>
      </c>
    </row>
    <row r="143" spans="2:8" x14ac:dyDescent="0.3">
      <c r="B143" s="19" t="s">
        <v>94</v>
      </c>
      <c r="C143" s="23">
        <v>24</v>
      </c>
      <c r="D143" s="23">
        <f t="shared" si="64"/>
        <v>1.4100000000000006</v>
      </c>
      <c r="E143" s="23">
        <f t="shared" si="65"/>
        <v>-3656.4480000000017</v>
      </c>
      <c r="F143" s="23">
        <f t="shared" si="63"/>
        <v>-43877.376000000018</v>
      </c>
      <c r="G143" s="23">
        <f t="shared" ref="G143:H143" si="87">(((G142*2.66)/100)+G142)</f>
        <v>0</v>
      </c>
      <c r="H143" s="23">
        <f t="shared" si="87"/>
        <v>0</v>
      </c>
    </row>
    <row r="144" spans="2:8" x14ac:dyDescent="0.3">
      <c r="B144" s="19" t="s">
        <v>94</v>
      </c>
      <c r="C144" s="23">
        <v>25</v>
      </c>
      <c r="D144" s="23">
        <f t="shared" si="64"/>
        <v>1.4400000000000006</v>
      </c>
      <c r="E144" s="23">
        <f t="shared" si="65"/>
        <v>-3815.4240000000018</v>
      </c>
      <c r="F144" s="23">
        <f t="shared" si="63"/>
        <v>-47692.800000000017</v>
      </c>
      <c r="G144" s="23">
        <f t="shared" ref="G144:H144" si="88">(((G143*2.66)/100)+G143)</f>
        <v>0</v>
      </c>
      <c r="H144" s="23">
        <f t="shared" si="88"/>
        <v>0</v>
      </c>
    </row>
  </sheetData>
  <mergeCells count="5">
    <mergeCell ref="B1:H1"/>
    <mergeCell ref="B30:H30"/>
    <mergeCell ref="B59:H59"/>
    <mergeCell ref="B88:H88"/>
    <mergeCell ref="B117:H117"/>
  </mergeCells>
  <conditionalFormatting sqref="C3:H28">
    <cfRule type="expression" dxfId="4" priority="3">
      <formula>$B3="LUCRO"</formula>
    </cfRule>
    <cfRule type="expression" dxfId="3" priority="8">
      <formula>$B3="INVESTIMENTO"</formula>
    </cfRule>
  </conditionalFormatting>
  <conditionalFormatting sqref="B3:H28">
    <cfRule type="expression" priority="7">
      <formula>$B3="LUCRO"</formula>
    </cfRule>
  </conditionalFormatting>
  <conditionalFormatting sqref="C10:H28">
    <cfRule type="expression" dxfId="2" priority="4">
      <formula>$B3="LUCRO"</formula>
    </cfRule>
  </conditionalFormatting>
  <conditionalFormatting sqref="B3:B28">
    <cfRule type="expression" dxfId="1" priority="1">
      <formula>$B3="LUCRO"</formula>
    </cfRule>
    <cfRule type="expression" dxfId="0" priority="2">
      <formula>$B3="INVESTIMENTO"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FBAB-CAFB-4E09-8ABB-C2141A4AC21B}">
  <sheetPr codeName="Planilha1"/>
  <dimension ref="A1:W86"/>
  <sheetViews>
    <sheetView showGridLines="0" topLeftCell="I1" workbookViewId="0">
      <selection activeCell="O5" sqref="O5"/>
    </sheetView>
  </sheetViews>
  <sheetFormatPr defaultRowHeight="14.4" x14ac:dyDescent="0.3"/>
  <cols>
    <col min="2" max="2" width="30.88671875" bestFit="1" customWidth="1"/>
    <col min="6" max="6" width="15.44140625" customWidth="1"/>
    <col min="7" max="7" width="11.88671875" customWidth="1"/>
    <col min="8" max="8" width="14" customWidth="1"/>
    <col min="9" max="9" width="14.5546875" customWidth="1"/>
    <col min="10" max="10" width="11.33203125" customWidth="1"/>
    <col min="11" max="11" width="15.33203125" bestFit="1" customWidth="1"/>
    <col min="12" max="14" width="16.33203125" bestFit="1" customWidth="1"/>
    <col min="15" max="15" width="17.44140625" bestFit="1" customWidth="1"/>
    <col min="16" max="16" width="14.44140625" bestFit="1" customWidth="1"/>
  </cols>
  <sheetData>
    <row r="1" spans="1:23" ht="14.4" customHeight="1" x14ac:dyDescent="0.3">
      <c r="A1" s="643" t="s">
        <v>111</v>
      </c>
      <c r="B1" s="643"/>
      <c r="C1" s="643"/>
      <c r="D1" s="643"/>
      <c r="E1" s="643"/>
      <c r="F1" s="643"/>
      <c r="G1" s="643"/>
      <c r="H1" s="643"/>
      <c r="I1" s="643"/>
      <c r="J1" s="644"/>
      <c r="K1" s="654" t="s">
        <v>112</v>
      </c>
      <c r="L1" s="655"/>
      <c r="M1" s="655"/>
      <c r="N1" s="655"/>
      <c r="O1" s="656"/>
      <c r="P1" s="246">
        <v>1</v>
      </c>
      <c r="Q1" s="246">
        <v>1</v>
      </c>
      <c r="R1" s="246">
        <v>1</v>
      </c>
      <c r="S1" s="246">
        <v>1</v>
      </c>
      <c r="T1" s="246"/>
      <c r="U1" s="246">
        <v>1</v>
      </c>
      <c r="V1" s="238"/>
      <c r="W1" s="238"/>
    </row>
    <row r="2" spans="1:23" x14ac:dyDescent="0.3">
      <c r="A2" s="643"/>
      <c r="B2" s="643"/>
      <c r="C2" s="643"/>
      <c r="D2" s="643"/>
      <c r="E2" s="643"/>
      <c r="F2" s="643"/>
      <c r="G2" s="643"/>
      <c r="H2" s="643"/>
      <c r="I2" s="643"/>
      <c r="J2" s="644"/>
      <c r="K2" s="172" t="s">
        <v>113</v>
      </c>
      <c r="L2" s="172" t="s">
        <v>114</v>
      </c>
      <c r="M2" s="172" t="s">
        <v>115</v>
      </c>
      <c r="N2" s="172" t="s">
        <v>116</v>
      </c>
      <c r="O2" s="172" t="s">
        <v>117</v>
      </c>
      <c r="P2" s="239" t="s">
        <v>118</v>
      </c>
      <c r="Q2" s="246">
        <f>INDEX(R3:R8,P1)</f>
        <v>10</v>
      </c>
      <c r="R2" s="246">
        <f>INDEX($R$3:$R$8,Q$1)</f>
        <v>10</v>
      </c>
      <c r="S2" s="246">
        <f>INDEX($R$3:$R$8,R$1)</f>
        <v>10</v>
      </c>
      <c r="T2" s="246">
        <f>INDEX($R$3:$R$8,S$1)</f>
        <v>10</v>
      </c>
      <c r="U2" s="246">
        <f>INDEX($R$3:$R$8,U$1)</f>
        <v>10</v>
      </c>
      <c r="V2" s="238"/>
      <c r="W2" s="238"/>
    </row>
    <row r="3" spans="1:23" x14ac:dyDescent="0.3">
      <c r="A3" s="645"/>
      <c r="B3" s="645"/>
      <c r="C3" s="645"/>
      <c r="D3" s="645"/>
      <c r="E3" s="645"/>
      <c r="F3" s="645"/>
      <c r="G3" s="645"/>
      <c r="H3" s="645"/>
      <c r="I3" s="645"/>
      <c r="J3" s="645"/>
      <c r="K3" s="168">
        <v>10</v>
      </c>
      <c r="L3" s="169">
        <v>20</v>
      </c>
      <c r="M3" s="168">
        <v>30</v>
      </c>
      <c r="N3" s="169">
        <v>40</v>
      </c>
      <c r="O3" s="168">
        <v>50</v>
      </c>
      <c r="P3" s="240">
        <v>100</v>
      </c>
      <c r="Q3" s="246">
        <v>1</v>
      </c>
      <c r="R3" s="247">
        <v>10</v>
      </c>
      <c r="S3" s="246"/>
      <c r="T3" s="246"/>
      <c r="U3" s="246"/>
      <c r="V3" s="238"/>
      <c r="W3" s="238"/>
    </row>
    <row r="4" spans="1:23" x14ac:dyDescent="0.3">
      <c r="A4" s="646" t="s">
        <v>119</v>
      </c>
      <c r="B4" s="646" t="s">
        <v>120</v>
      </c>
      <c r="C4" s="649" t="s">
        <v>121</v>
      </c>
      <c r="D4" s="649" t="s">
        <v>122</v>
      </c>
      <c r="E4" s="638" t="s">
        <v>123</v>
      </c>
      <c r="F4" s="638" t="s">
        <v>124</v>
      </c>
      <c r="G4" s="638" t="s">
        <v>125</v>
      </c>
      <c r="H4" s="651" t="s">
        <v>126</v>
      </c>
      <c r="I4" s="653" t="s">
        <v>127</v>
      </c>
      <c r="J4" s="638" t="s">
        <v>128</v>
      </c>
      <c r="K4" s="640" t="s">
        <v>129</v>
      </c>
      <c r="L4" s="642" t="s">
        <v>130</v>
      </c>
      <c r="M4" s="170" t="s">
        <v>131</v>
      </c>
      <c r="N4" s="173" t="s">
        <v>132</v>
      </c>
      <c r="O4" s="236" t="s">
        <v>133</v>
      </c>
      <c r="P4" s="241" t="s">
        <v>375</v>
      </c>
      <c r="Q4" s="246"/>
      <c r="R4" s="247">
        <v>20</v>
      </c>
      <c r="S4" s="246"/>
      <c r="T4" s="246"/>
      <c r="U4" s="246"/>
      <c r="V4" s="238"/>
      <c r="W4" s="238"/>
    </row>
    <row r="5" spans="1:23" ht="36" customHeight="1" x14ac:dyDescent="0.3">
      <c r="A5" s="647"/>
      <c r="B5" s="648"/>
      <c r="C5" s="650"/>
      <c r="D5" s="650"/>
      <c r="E5" s="639"/>
      <c r="F5" s="639"/>
      <c r="G5" s="639"/>
      <c r="H5" s="652"/>
      <c r="I5" s="638"/>
      <c r="J5" s="639"/>
      <c r="K5" s="641"/>
      <c r="L5" s="642"/>
      <c r="M5" s="171">
        <f>SUM(K6:K74)</f>
        <v>5258.4199999999992</v>
      </c>
      <c r="N5" s="232">
        <f>Q2</f>
        <v>10</v>
      </c>
      <c r="O5" s="237">
        <f>(M5*N5)/100</f>
        <v>525.84199999999987</v>
      </c>
      <c r="P5" s="242">
        <v>1</v>
      </c>
      <c r="Q5" s="246"/>
      <c r="R5" s="247">
        <v>30</v>
      </c>
      <c r="S5" s="246"/>
      <c r="T5" s="246"/>
      <c r="U5" s="246"/>
      <c r="V5" s="238"/>
      <c r="W5" s="238"/>
    </row>
    <row r="6" spans="1:23" x14ac:dyDescent="0.3">
      <c r="A6" s="30" t="s">
        <v>134</v>
      </c>
      <c r="B6" s="31" t="s">
        <v>135</v>
      </c>
      <c r="C6" s="32">
        <v>0</v>
      </c>
      <c r="D6" s="33">
        <v>1</v>
      </c>
      <c r="E6" s="34">
        <f>(C6-D6)</f>
        <v>-1</v>
      </c>
      <c r="F6" s="35" t="str">
        <f t="shared" ref="F6:F86" si="0">IF(E6="","",IF(E6&lt;H6,"COMPRAR",IF(E6&gt;H6,"ACIMA","IDEAL")))</f>
        <v>COMPRAR</v>
      </c>
      <c r="G6" s="36">
        <f t="shared" ref="G6:G86" si="1">IF(E6="","",E6/H6-100%)</f>
        <v>-1.5</v>
      </c>
      <c r="H6" s="37">
        <v>2</v>
      </c>
      <c r="I6" s="38">
        <v>32.4</v>
      </c>
      <c r="J6" s="39">
        <f t="shared" ref="J6:J86" si="2">IF(I6="","",I6*E6)</f>
        <v>-32.4</v>
      </c>
      <c r="K6" s="40">
        <f t="shared" ref="K6:K86" si="3">I6*C6</f>
        <v>0</v>
      </c>
      <c r="L6" s="41">
        <f t="shared" ref="L6:L86" si="4">I6*D6</f>
        <v>32.4</v>
      </c>
      <c r="M6" s="42" t="s">
        <v>136</v>
      </c>
      <c r="N6" s="173" t="s">
        <v>132</v>
      </c>
      <c r="O6" s="236" t="s">
        <v>133</v>
      </c>
      <c r="P6" s="241" t="s">
        <v>375</v>
      </c>
      <c r="Q6" s="246"/>
      <c r="R6" s="247">
        <v>40</v>
      </c>
      <c r="S6" s="246"/>
      <c r="T6" s="246"/>
      <c r="U6" s="246"/>
      <c r="V6" s="238"/>
      <c r="W6" s="238"/>
    </row>
    <row r="7" spans="1:23" ht="23.4" x14ac:dyDescent="0.3">
      <c r="A7" s="30" t="s">
        <v>137</v>
      </c>
      <c r="B7" s="31" t="s">
        <v>138</v>
      </c>
      <c r="C7" s="32">
        <v>0</v>
      </c>
      <c r="D7" s="32">
        <v>1</v>
      </c>
      <c r="E7" s="34">
        <f t="shared" ref="E7:E70" si="5">C7-D7</f>
        <v>-1</v>
      </c>
      <c r="F7" s="35" t="str">
        <f t="shared" si="0"/>
        <v>COMPRAR</v>
      </c>
      <c r="G7" s="36">
        <f t="shared" si="1"/>
        <v>-2</v>
      </c>
      <c r="H7" s="37">
        <v>1</v>
      </c>
      <c r="I7" s="38">
        <v>10.5</v>
      </c>
      <c r="J7" s="39">
        <f t="shared" si="2"/>
        <v>-10.5</v>
      </c>
      <c r="K7" s="40">
        <f t="shared" si="3"/>
        <v>0</v>
      </c>
      <c r="L7" s="41">
        <f t="shared" si="4"/>
        <v>10.5</v>
      </c>
      <c r="M7" s="42" t="s">
        <v>136</v>
      </c>
      <c r="N7" s="234">
        <f>R2</f>
        <v>10</v>
      </c>
      <c r="O7" s="237">
        <f>($M$5*N7)/100</f>
        <v>525.84199999999987</v>
      </c>
      <c r="P7" s="242">
        <f>1+P5</f>
        <v>2</v>
      </c>
      <c r="Q7" s="246"/>
      <c r="R7" s="247">
        <v>50</v>
      </c>
      <c r="S7" s="246"/>
      <c r="T7" s="246"/>
      <c r="U7" s="246"/>
      <c r="V7" s="238"/>
      <c r="W7" s="238"/>
    </row>
    <row r="8" spans="1:23" x14ac:dyDescent="0.3">
      <c r="A8" s="30" t="s">
        <v>139</v>
      </c>
      <c r="B8" s="31" t="s">
        <v>140</v>
      </c>
      <c r="C8" s="32">
        <v>0</v>
      </c>
      <c r="D8" s="32">
        <v>1</v>
      </c>
      <c r="E8" s="34">
        <f t="shared" si="5"/>
        <v>-1</v>
      </c>
      <c r="F8" s="43" t="str">
        <f t="shared" si="0"/>
        <v>COMPRAR</v>
      </c>
      <c r="G8" s="44" t="e">
        <f t="shared" si="1"/>
        <v>#DIV/0!</v>
      </c>
      <c r="H8" s="37"/>
      <c r="I8" s="38">
        <v>13.5</v>
      </c>
      <c r="J8" s="39">
        <f t="shared" si="2"/>
        <v>-13.5</v>
      </c>
      <c r="K8" s="40">
        <f t="shared" si="3"/>
        <v>0</v>
      </c>
      <c r="L8" s="41">
        <f t="shared" si="4"/>
        <v>13.5</v>
      </c>
      <c r="M8" s="42" t="s">
        <v>136</v>
      </c>
      <c r="N8" s="173" t="s">
        <v>132</v>
      </c>
      <c r="O8" s="236" t="s">
        <v>133</v>
      </c>
      <c r="P8" s="241" t="s">
        <v>375</v>
      </c>
      <c r="Q8" s="246"/>
      <c r="R8" s="247">
        <v>100</v>
      </c>
      <c r="S8" s="246"/>
      <c r="T8" s="246"/>
      <c r="U8" s="246"/>
      <c r="V8" s="238"/>
      <c r="W8" s="238"/>
    </row>
    <row r="9" spans="1:23" ht="23.4" x14ac:dyDescent="0.3">
      <c r="A9" s="30" t="s">
        <v>141</v>
      </c>
      <c r="B9" s="31" t="s">
        <v>142</v>
      </c>
      <c r="C9" s="32">
        <v>1</v>
      </c>
      <c r="D9" s="32">
        <v>1</v>
      </c>
      <c r="E9" s="34">
        <f t="shared" si="5"/>
        <v>0</v>
      </c>
      <c r="F9" s="35" t="str">
        <f t="shared" si="0"/>
        <v>IDEAL</v>
      </c>
      <c r="G9" s="36" t="e">
        <f t="shared" si="1"/>
        <v>#DIV/0!</v>
      </c>
      <c r="H9" s="37"/>
      <c r="I9" s="38">
        <v>37.65</v>
      </c>
      <c r="J9" s="39">
        <f t="shared" si="2"/>
        <v>0</v>
      </c>
      <c r="K9" s="40">
        <f t="shared" si="3"/>
        <v>37.65</v>
      </c>
      <c r="L9" s="41">
        <f t="shared" si="4"/>
        <v>37.65</v>
      </c>
      <c r="M9" s="42" t="s">
        <v>136</v>
      </c>
      <c r="N9" s="234">
        <f>S2</f>
        <v>10</v>
      </c>
      <c r="O9" s="237">
        <f>($M$5*N9)/100</f>
        <v>525.84199999999987</v>
      </c>
      <c r="P9" s="242">
        <f>1+P7</f>
        <v>3</v>
      </c>
      <c r="Q9" s="238"/>
      <c r="R9" s="238"/>
      <c r="S9" s="238"/>
      <c r="T9" s="238"/>
      <c r="U9" s="238"/>
      <c r="V9" s="238"/>
      <c r="W9" s="238"/>
    </row>
    <row r="10" spans="1:23" x14ac:dyDescent="0.3">
      <c r="A10" s="30" t="s">
        <v>143</v>
      </c>
      <c r="B10" s="31" t="s">
        <v>144</v>
      </c>
      <c r="C10" s="32">
        <v>1</v>
      </c>
      <c r="D10" s="32">
        <v>1</v>
      </c>
      <c r="E10" s="34">
        <f t="shared" si="5"/>
        <v>0</v>
      </c>
      <c r="F10" s="35" t="str">
        <f t="shared" si="0"/>
        <v>IDEAL</v>
      </c>
      <c r="G10" s="36" t="e">
        <f t="shared" si="1"/>
        <v>#DIV/0!</v>
      </c>
      <c r="H10" s="37"/>
      <c r="I10" s="38">
        <v>1.99</v>
      </c>
      <c r="J10" s="39">
        <f t="shared" si="2"/>
        <v>0</v>
      </c>
      <c r="K10" s="40">
        <f t="shared" si="3"/>
        <v>1.99</v>
      </c>
      <c r="L10" s="41">
        <f t="shared" si="4"/>
        <v>1.99</v>
      </c>
      <c r="M10" s="42" t="s">
        <v>136</v>
      </c>
      <c r="N10" s="173" t="s">
        <v>132</v>
      </c>
      <c r="O10" s="236" t="s">
        <v>133</v>
      </c>
      <c r="P10" s="241" t="s">
        <v>375</v>
      </c>
      <c r="Q10" s="238"/>
      <c r="R10" s="238"/>
      <c r="S10" s="238"/>
      <c r="T10" s="238"/>
      <c r="U10" s="238"/>
      <c r="V10" s="238"/>
      <c r="W10" s="238"/>
    </row>
    <row r="11" spans="1:23" ht="23.4" x14ac:dyDescent="0.3">
      <c r="A11" s="30" t="s">
        <v>145</v>
      </c>
      <c r="B11" s="1" t="s">
        <v>146</v>
      </c>
      <c r="C11" s="32">
        <v>1</v>
      </c>
      <c r="D11" s="32">
        <v>1</v>
      </c>
      <c r="E11" s="34">
        <f t="shared" si="5"/>
        <v>0</v>
      </c>
      <c r="F11" s="35" t="str">
        <f t="shared" si="0"/>
        <v>IDEAL</v>
      </c>
      <c r="G11" s="36" t="e">
        <f t="shared" si="1"/>
        <v>#DIV/0!</v>
      </c>
      <c r="H11" s="37"/>
      <c r="I11" s="38">
        <v>10</v>
      </c>
      <c r="J11" s="39">
        <f t="shared" si="2"/>
        <v>0</v>
      </c>
      <c r="K11" s="40">
        <f t="shared" si="3"/>
        <v>10</v>
      </c>
      <c r="L11" s="41">
        <f t="shared" si="4"/>
        <v>10</v>
      </c>
      <c r="M11" s="42" t="s">
        <v>136</v>
      </c>
      <c r="N11" s="234">
        <f>T2</f>
        <v>10</v>
      </c>
      <c r="O11" s="237">
        <f>($M$5*N11)/100</f>
        <v>525.84199999999987</v>
      </c>
      <c r="P11" s="242">
        <f>1+P9</f>
        <v>4</v>
      </c>
      <c r="Q11" s="238"/>
      <c r="R11" s="238"/>
      <c r="S11" s="238"/>
      <c r="T11" s="238"/>
      <c r="U11" s="238"/>
      <c r="V11" s="238"/>
      <c r="W11" s="238"/>
    </row>
    <row r="12" spans="1:23" x14ac:dyDescent="0.3">
      <c r="A12" s="30" t="s">
        <v>147</v>
      </c>
      <c r="B12" s="31" t="s">
        <v>148</v>
      </c>
      <c r="C12" s="32">
        <v>1</v>
      </c>
      <c r="D12" s="32">
        <v>1</v>
      </c>
      <c r="E12" s="34">
        <f t="shared" si="5"/>
        <v>0</v>
      </c>
      <c r="F12" s="43" t="str">
        <f t="shared" si="0"/>
        <v>IDEAL</v>
      </c>
      <c r="G12" s="44" t="e">
        <f t="shared" si="1"/>
        <v>#DIV/0!</v>
      </c>
      <c r="H12" s="37"/>
      <c r="I12" s="38">
        <v>15.9</v>
      </c>
      <c r="J12" s="39">
        <f t="shared" ref="J12:J21" si="6">IF(I12="","",I12*E12)</f>
        <v>0</v>
      </c>
      <c r="K12" s="40">
        <f t="shared" ref="K12:K21" si="7">I12*C12</f>
        <v>15.9</v>
      </c>
      <c r="L12" s="41">
        <f t="shared" ref="L12:L21" si="8">I12*D12</f>
        <v>15.9</v>
      </c>
      <c r="M12" s="42" t="s">
        <v>136</v>
      </c>
      <c r="N12" s="173" t="s">
        <v>132</v>
      </c>
      <c r="O12" s="236" t="s">
        <v>133</v>
      </c>
      <c r="P12" s="241" t="s">
        <v>375</v>
      </c>
      <c r="Q12" s="238"/>
      <c r="R12" s="238"/>
      <c r="S12" s="238"/>
      <c r="T12" s="238"/>
      <c r="U12" s="238"/>
      <c r="V12" s="238"/>
      <c r="W12" s="238"/>
    </row>
    <row r="13" spans="1:23" ht="23.4" x14ac:dyDescent="0.3">
      <c r="A13" s="30" t="s">
        <v>149</v>
      </c>
      <c r="B13" s="31" t="s">
        <v>150</v>
      </c>
      <c r="C13" s="32">
        <v>2</v>
      </c>
      <c r="D13" s="32">
        <v>1</v>
      </c>
      <c r="E13" s="34">
        <f t="shared" si="5"/>
        <v>1</v>
      </c>
      <c r="F13" s="35" t="str">
        <f t="shared" si="0"/>
        <v>ACIMA</v>
      </c>
      <c r="G13" s="36" t="e">
        <f t="shared" si="1"/>
        <v>#DIV/0!</v>
      </c>
      <c r="H13" s="37"/>
      <c r="I13" s="38">
        <v>15.9</v>
      </c>
      <c r="J13" s="39">
        <f t="shared" si="6"/>
        <v>15.9</v>
      </c>
      <c r="K13" s="40">
        <f t="shared" si="7"/>
        <v>31.8</v>
      </c>
      <c r="L13" s="41">
        <f t="shared" si="8"/>
        <v>15.9</v>
      </c>
      <c r="M13" s="42" t="s">
        <v>136</v>
      </c>
      <c r="N13" s="234">
        <f>U2</f>
        <v>10</v>
      </c>
      <c r="O13" s="237">
        <f>($M$5*N13)/100</f>
        <v>525.84199999999987</v>
      </c>
      <c r="P13" s="242">
        <f>1+P11</f>
        <v>5</v>
      </c>
      <c r="Q13" s="238"/>
      <c r="R13" s="238"/>
      <c r="S13" s="238"/>
      <c r="T13" s="238"/>
      <c r="U13" s="238"/>
      <c r="V13" s="238"/>
      <c r="W13" s="238"/>
    </row>
    <row r="14" spans="1:23" x14ac:dyDescent="0.3">
      <c r="A14" s="30" t="s">
        <v>151</v>
      </c>
      <c r="B14" s="31" t="s">
        <v>152</v>
      </c>
      <c r="C14" s="32">
        <v>2</v>
      </c>
      <c r="D14" s="32">
        <v>1</v>
      </c>
      <c r="E14" s="34">
        <f t="shared" si="5"/>
        <v>1</v>
      </c>
      <c r="F14" s="45" t="str">
        <f t="shared" si="0"/>
        <v>ACIMA</v>
      </c>
      <c r="G14" s="46" t="e">
        <f t="shared" si="1"/>
        <v>#DIV/0!</v>
      </c>
      <c r="H14" s="37"/>
      <c r="I14" s="38">
        <v>19.899999999999999</v>
      </c>
      <c r="J14" s="39">
        <f t="shared" si="6"/>
        <v>19.899999999999999</v>
      </c>
      <c r="K14" s="40">
        <f t="shared" si="7"/>
        <v>39.799999999999997</v>
      </c>
      <c r="L14" s="41">
        <f t="shared" si="8"/>
        <v>19.899999999999999</v>
      </c>
      <c r="M14" s="42" t="s">
        <v>136</v>
      </c>
      <c r="P14" s="235"/>
      <c r="Q14" s="235"/>
      <c r="R14" s="235"/>
      <c r="S14" s="235"/>
      <c r="T14" s="235"/>
      <c r="U14" s="235"/>
      <c r="V14" s="235"/>
    </row>
    <row r="15" spans="1:23" x14ac:dyDescent="0.3">
      <c r="A15" s="30" t="s">
        <v>153</v>
      </c>
      <c r="B15" s="31" t="s">
        <v>154</v>
      </c>
      <c r="C15" s="32">
        <v>1</v>
      </c>
      <c r="D15" s="32">
        <v>1</v>
      </c>
      <c r="E15" s="34">
        <f t="shared" si="5"/>
        <v>0</v>
      </c>
      <c r="F15" s="35" t="str">
        <f t="shared" si="0"/>
        <v>IDEAL</v>
      </c>
      <c r="G15" s="36" t="e">
        <f t="shared" si="1"/>
        <v>#DIV/0!</v>
      </c>
      <c r="H15" s="37"/>
      <c r="I15" s="38">
        <v>20.5</v>
      </c>
      <c r="J15" s="39">
        <f t="shared" si="6"/>
        <v>0</v>
      </c>
      <c r="K15" s="40">
        <f t="shared" si="7"/>
        <v>20.5</v>
      </c>
      <c r="L15" s="41">
        <f t="shared" si="8"/>
        <v>20.5</v>
      </c>
      <c r="M15" s="42" t="s">
        <v>136</v>
      </c>
      <c r="P15" s="235"/>
      <c r="Q15" s="235"/>
      <c r="R15" s="235"/>
      <c r="S15" s="235"/>
      <c r="T15" s="235"/>
      <c r="U15" s="235"/>
      <c r="V15" s="235"/>
    </row>
    <row r="16" spans="1:23" x14ac:dyDescent="0.3">
      <c r="A16" s="30" t="s">
        <v>155</v>
      </c>
      <c r="B16" s="31" t="s">
        <v>156</v>
      </c>
      <c r="C16" s="32">
        <v>2</v>
      </c>
      <c r="D16" s="32">
        <v>2</v>
      </c>
      <c r="E16" s="34">
        <f t="shared" si="5"/>
        <v>0</v>
      </c>
      <c r="F16" s="35" t="str">
        <f t="shared" si="0"/>
        <v>IDEAL</v>
      </c>
      <c r="G16" s="36" t="e">
        <f t="shared" si="1"/>
        <v>#DIV/0!</v>
      </c>
      <c r="H16" s="37"/>
      <c r="I16" s="38">
        <v>23.2</v>
      </c>
      <c r="J16" s="39">
        <f t="shared" si="6"/>
        <v>0</v>
      </c>
      <c r="K16" s="40">
        <f t="shared" si="7"/>
        <v>46.4</v>
      </c>
      <c r="L16" s="41">
        <f t="shared" si="8"/>
        <v>46.4</v>
      </c>
      <c r="M16" s="42" t="s">
        <v>136</v>
      </c>
      <c r="P16" s="235"/>
      <c r="Q16" s="235"/>
      <c r="R16" s="235"/>
      <c r="S16" s="235"/>
      <c r="T16" s="235"/>
      <c r="U16" s="235"/>
      <c r="V16" s="235"/>
    </row>
    <row r="17" spans="1:13" x14ac:dyDescent="0.3">
      <c r="A17" s="30" t="s">
        <v>157</v>
      </c>
      <c r="B17" s="31" t="s">
        <v>158</v>
      </c>
      <c r="C17" s="32">
        <v>1</v>
      </c>
      <c r="D17" s="32">
        <v>1</v>
      </c>
      <c r="E17" s="34">
        <f t="shared" si="5"/>
        <v>0</v>
      </c>
      <c r="F17" s="45" t="str">
        <f t="shared" si="0"/>
        <v>IDEAL</v>
      </c>
      <c r="G17" s="47" t="e">
        <f t="shared" si="1"/>
        <v>#DIV/0!</v>
      </c>
      <c r="H17" s="37"/>
      <c r="I17" s="38">
        <v>239</v>
      </c>
      <c r="J17" s="39">
        <f t="shared" si="6"/>
        <v>0</v>
      </c>
      <c r="K17" s="40">
        <f t="shared" si="7"/>
        <v>239</v>
      </c>
      <c r="L17" s="41">
        <f t="shared" si="8"/>
        <v>239</v>
      </c>
      <c r="M17" s="42" t="s">
        <v>136</v>
      </c>
    </row>
    <row r="18" spans="1:13" x14ac:dyDescent="0.3">
      <c r="A18" s="30" t="s">
        <v>159</v>
      </c>
      <c r="B18" s="31" t="s">
        <v>160</v>
      </c>
      <c r="C18" s="32">
        <v>1</v>
      </c>
      <c r="D18" s="32">
        <v>1</v>
      </c>
      <c r="E18" s="34">
        <f t="shared" si="5"/>
        <v>0</v>
      </c>
      <c r="F18" s="45" t="str">
        <f t="shared" si="0"/>
        <v>IDEAL</v>
      </c>
      <c r="G18" s="47" t="e">
        <f t="shared" si="1"/>
        <v>#DIV/0!</v>
      </c>
      <c r="H18" s="37"/>
      <c r="I18" s="38">
        <v>19.899999999999999</v>
      </c>
      <c r="J18" s="39">
        <f t="shared" si="6"/>
        <v>0</v>
      </c>
      <c r="K18" s="40">
        <f t="shared" si="7"/>
        <v>19.899999999999999</v>
      </c>
      <c r="L18" s="41">
        <f t="shared" si="8"/>
        <v>19.899999999999999</v>
      </c>
      <c r="M18" s="42" t="s">
        <v>136</v>
      </c>
    </row>
    <row r="19" spans="1:13" x14ac:dyDescent="0.3">
      <c r="A19" s="30" t="s">
        <v>161</v>
      </c>
      <c r="B19" s="31" t="s">
        <v>162</v>
      </c>
      <c r="C19" s="32">
        <v>1</v>
      </c>
      <c r="D19" s="32">
        <v>1</v>
      </c>
      <c r="E19" s="34">
        <f t="shared" si="5"/>
        <v>0</v>
      </c>
      <c r="F19" s="43" t="str">
        <f t="shared" si="0"/>
        <v>IDEAL</v>
      </c>
      <c r="G19" s="48" t="e">
        <f t="shared" si="1"/>
        <v>#DIV/0!</v>
      </c>
      <c r="H19" s="37"/>
      <c r="I19" s="38">
        <v>169</v>
      </c>
      <c r="J19" s="39">
        <f t="shared" si="6"/>
        <v>0</v>
      </c>
      <c r="K19" s="40">
        <f t="shared" si="7"/>
        <v>169</v>
      </c>
      <c r="L19" s="41">
        <f t="shared" si="8"/>
        <v>169</v>
      </c>
      <c r="M19" s="42" t="s">
        <v>136</v>
      </c>
    </row>
    <row r="20" spans="1:13" x14ac:dyDescent="0.3">
      <c r="A20" s="30" t="s">
        <v>163</v>
      </c>
      <c r="B20" s="31" t="s">
        <v>164</v>
      </c>
      <c r="C20" s="32">
        <v>1</v>
      </c>
      <c r="D20" s="32">
        <v>1</v>
      </c>
      <c r="E20" s="34">
        <f t="shared" si="5"/>
        <v>0</v>
      </c>
      <c r="F20" s="45" t="str">
        <f t="shared" si="0"/>
        <v>IDEAL</v>
      </c>
      <c r="G20" s="47" t="e">
        <f t="shared" si="1"/>
        <v>#DIV/0!</v>
      </c>
      <c r="H20" s="37"/>
      <c r="I20" s="38">
        <v>27</v>
      </c>
      <c r="J20" s="39">
        <f t="shared" si="6"/>
        <v>0</v>
      </c>
      <c r="K20" s="40">
        <f t="shared" si="7"/>
        <v>27</v>
      </c>
      <c r="L20" s="41">
        <f t="shared" si="8"/>
        <v>27</v>
      </c>
      <c r="M20" s="42" t="s">
        <v>136</v>
      </c>
    </row>
    <row r="21" spans="1:13" x14ac:dyDescent="0.3">
      <c r="A21" s="30" t="s">
        <v>165</v>
      </c>
      <c r="B21" s="31" t="s">
        <v>166</v>
      </c>
      <c r="C21" s="32">
        <v>2</v>
      </c>
      <c r="D21" s="32">
        <v>2</v>
      </c>
      <c r="E21" s="34">
        <f t="shared" si="5"/>
        <v>0</v>
      </c>
      <c r="F21" s="45" t="str">
        <f t="shared" si="0"/>
        <v>IDEAL</v>
      </c>
      <c r="G21" s="47" t="e">
        <f t="shared" si="1"/>
        <v>#DIV/0!</v>
      </c>
      <c r="H21" s="37"/>
      <c r="I21" s="38">
        <v>19.2</v>
      </c>
      <c r="J21" s="39">
        <f t="shared" si="6"/>
        <v>0</v>
      </c>
      <c r="K21" s="40">
        <f t="shared" si="7"/>
        <v>38.4</v>
      </c>
      <c r="L21" s="41">
        <f t="shared" si="8"/>
        <v>38.4</v>
      </c>
      <c r="M21" s="42" t="s">
        <v>136</v>
      </c>
    </row>
    <row r="22" spans="1:13" x14ac:dyDescent="0.3">
      <c r="A22" s="30" t="s">
        <v>167</v>
      </c>
      <c r="B22" s="31" t="s">
        <v>168</v>
      </c>
      <c r="C22" s="32">
        <v>1</v>
      </c>
      <c r="D22" s="32">
        <v>1</v>
      </c>
      <c r="E22" s="34">
        <f t="shared" si="5"/>
        <v>0</v>
      </c>
      <c r="F22" s="45" t="str">
        <f t="shared" si="0"/>
        <v>IDEAL</v>
      </c>
      <c r="G22" s="47" t="e">
        <f t="shared" si="1"/>
        <v>#DIV/0!</v>
      </c>
      <c r="H22" s="37"/>
      <c r="I22" s="49">
        <v>1055.04</v>
      </c>
      <c r="J22" s="39">
        <f t="shared" si="2"/>
        <v>0</v>
      </c>
      <c r="K22" s="40">
        <f t="shared" si="3"/>
        <v>1055.04</v>
      </c>
      <c r="L22" s="41">
        <f t="shared" si="4"/>
        <v>1055.04</v>
      </c>
      <c r="M22" s="42" t="s">
        <v>136</v>
      </c>
    </row>
    <row r="23" spans="1:13" x14ac:dyDescent="0.3">
      <c r="A23" s="30" t="s">
        <v>169</v>
      </c>
      <c r="B23" s="50" t="s">
        <v>170</v>
      </c>
      <c r="C23" s="32">
        <v>1</v>
      </c>
      <c r="D23" s="32">
        <v>1</v>
      </c>
      <c r="E23" s="34">
        <f t="shared" si="5"/>
        <v>0</v>
      </c>
      <c r="F23" s="45" t="str">
        <f t="shared" si="0"/>
        <v>IDEAL</v>
      </c>
      <c r="G23" s="47" t="e">
        <f t="shared" si="1"/>
        <v>#DIV/0!</v>
      </c>
      <c r="H23" s="37"/>
      <c r="I23" s="51">
        <v>1282.9000000000001</v>
      </c>
      <c r="J23" s="39">
        <f>IF(I23="","",I23*E23)</f>
        <v>0</v>
      </c>
      <c r="K23" s="40">
        <f>I23*C23</f>
        <v>1282.9000000000001</v>
      </c>
      <c r="L23" s="41">
        <f>I23*D23</f>
        <v>1282.9000000000001</v>
      </c>
      <c r="M23" s="42" t="s">
        <v>136</v>
      </c>
    </row>
    <row r="24" spans="1:13" ht="28.8" x14ac:dyDescent="0.3">
      <c r="A24" s="30" t="s">
        <v>171</v>
      </c>
      <c r="B24" s="52" t="s">
        <v>172</v>
      </c>
      <c r="C24" s="32">
        <v>1</v>
      </c>
      <c r="D24" s="32">
        <v>1</v>
      </c>
      <c r="E24" s="34">
        <f t="shared" si="5"/>
        <v>0</v>
      </c>
      <c r="F24" s="45" t="str">
        <f t="shared" si="0"/>
        <v>IDEAL</v>
      </c>
      <c r="G24" s="46" t="e">
        <f t="shared" si="1"/>
        <v>#DIV/0!</v>
      </c>
      <c r="H24" s="37"/>
      <c r="I24" s="38">
        <v>889.9</v>
      </c>
      <c r="J24" s="39">
        <f>IF(I24="","",I24*E24)</f>
        <v>0</v>
      </c>
      <c r="K24" s="40">
        <f>I24*C24</f>
        <v>889.9</v>
      </c>
      <c r="L24" s="41">
        <f>I24*D24</f>
        <v>889.9</v>
      </c>
      <c r="M24" s="42" t="s">
        <v>136</v>
      </c>
    </row>
    <row r="25" spans="1:13" x14ac:dyDescent="0.3">
      <c r="A25" s="30" t="s">
        <v>173</v>
      </c>
      <c r="B25" s="53" t="s">
        <v>174</v>
      </c>
      <c r="C25" s="32">
        <v>1</v>
      </c>
      <c r="D25" s="32">
        <v>1</v>
      </c>
      <c r="E25" s="34">
        <f t="shared" si="5"/>
        <v>0</v>
      </c>
      <c r="F25" s="35" t="str">
        <f t="shared" si="0"/>
        <v>IDEAL</v>
      </c>
      <c r="G25" s="36" t="e">
        <f t="shared" si="1"/>
        <v>#DIV/0!</v>
      </c>
      <c r="H25" s="37"/>
      <c r="I25" s="38">
        <v>265.45999999999998</v>
      </c>
      <c r="J25" s="39">
        <f t="shared" si="2"/>
        <v>0</v>
      </c>
      <c r="K25" s="40">
        <f t="shared" si="3"/>
        <v>265.45999999999998</v>
      </c>
      <c r="L25" s="41">
        <f t="shared" si="4"/>
        <v>265.45999999999998</v>
      </c>
      <c r="M25" s="42" t="s">
        <v>136</v>
      </c>
    </row>
    <row r="26" spans="1:13" x14ac:dyDescent="0.3">
      <c r="A26" s="30" t="s">
        <v>175</v>
      </c>
      <c r="B26" s="54" t="s">
        <v>176</v>
      </c>
      <c r="C26" s="32">
        <v>1</v>
      </c>
      <c r="D26" s="32">
        <v>1</v>
      </c>
      <c r="E26" s="34">
        <f t="shared" si="5"/>
        <v>0</v>
      </c>
      <c r="F26" s="35" t="str">
        <f t="shared" si="0"/>
        <v>IDEAL</v>
      </c>
      <c r="G26" s="36" t="e">
        <f t="shared" si="1"/>
        <v>#DIV/0!</v>
      </c>
      <c r="H26" s="37"/>
      <c r="I26" s="38">
        <v>147.96</v>
      </c>
      <c r="J26" s="39">
        <f t="shared" si="2"/>
        <v>0</v>
      </c>
      <c r="K26" s="40">
        <f t="shared" si="3"/>
        <v>147.96</v>
      </c>
      <c r="L26" s="41">
        <f t="shared" si="4"/>
        <v>147.96</v>
      </c>
      <c r="M26" s="42" t="s">
        <v>177</v>
      </c>
    </row>
    <row r="27" spans="1:13" x14ac:dyDescent="0.3">
      <c r="A27" s="30" t="s">
        <v>178</v>
      </c>
      <c r="B27" s="53" t="s">
        <v>179</v>
      </c>
      <c r="C27" s="32">
        <v>10</v>
      </c>
      <c r="D27" s="32">
        <v>5</v>
      </c>
      <c r="E27" s="34">
        <f t="shared" si="5"/>
        <v>5</v>
      </c>
      <c r="F27" s="35" t="str">
        <f t="shared" si="0"/>
        <v>ACIMA</v>
      </c>
      <c r="G27" s="36" t="e">
        <f t="shared" si="1"/>
        <v>#DIV/0!</v>
      </c>
      <c r="H27" s="37"/>
      <c r="I27" s="38">
        <v>24</v>
      </c>
      <c r="J27" s="39">
        <f t="shared" si="2"/>
        <v>120</v>
      </c>
      <c r="K27" s="40">
        <f t="shared" si="3"/>
        <v>240</v>
      </c>
      <c r="L27" s="41">
        <f t="shared" si="4"/>
        <v>120</v>
      </c>
      <c r="M27" s="42" t="s">
        <v>177</v>
      </c>
    </row>
    <row r="28" spans="1:13" x14ac:dyDescent="0.3">
      <c r="A28" s="30" t="s">
        <v>180</v>
      </c>
      <c r="B28" s="53" t="s">
        <v>181</v>
      </c>
      <c r="C28" s="32">
        <v>10</v>
      </c>
      <c r="D28" s="32">
        <v>10</v>
      </c>
      <c r="E28" s="34">
        <f t="shared" si="5"/>
        <v>0</v>
      </c>
      <c r="F28" s="35" t="str">
        <f t="shared" si="0"/>
        <v>IDEAL</v>
      </c>
      <c r="G28" s="36" t="e">
        <f t="shared" si="1"/>
        <v>#DIV/0!</v>
      </c>
      <c r="H28" s="37"/>
      <c r="I28" s="38">
        <v>20</v>
      </c>
      <c r="J28" s="39">
        <f t="shared" si="2"/>
        <v>0</v>
      </c>
      <c r="K28" s="40">
        <f t="shared" si="3"/>
        <v>200</v>
      </c>
      <c r="L28" s="41">
        <f t="shared" si="4"/>
        <v>200</v>
      </c>
      <c r="M28" s="42" t="s">
        <v>177</v>
      </c>
    </row>
    <row r="29" spans="1:13" x14ac:dyDescent="0.3">
      <c r="A29" s="30" t="s">
        <v>182</v>
      </c>
      <c r="B29" s="53" t="s">
        <v>183</v>
      </c>
      <c r="C29" s="32">
        <v>5</v>
      </c>
      <c r="D29" s="32">
        <v>5</v>
      </c>
      <c r="E29" s="34">
        <f t="shared" si="5"/>
        <v>0</v>
      </c>
      <c r="F29" s="35" t="str">
        <f t="shared" si="0"/>
        <v>IDEAL</v>
      </c>
      <c r="G29" s="36" t="e">
        <f t="shared" si="1"/>
        <v>#DIV/0!</v>
      </c>
      <c r="H29" s="37"/>
      <c r="I29" s="55">
        <v>20</v>
      </c>
      <c r="J29" s="39">
        <f t="shared" si="2"/>
        <v>0</v>
      </c>
      <c r="K29" s="40">
        <f t="shared" si="3"/>
        <v>100</v>
      </c>
      <c r="L29" s="41">
        <f t="shared" si="4"/>
        <v>100</v>
      </c>
      <c r="M29" s="42" t="s">
        <v>177</v>
      </c>
    </row>
    <row r="30" spans="1:13" x14ac:dyDescent="0.3">
      <c r="A30" s="30" t="s">
        <v>184</v>
      </c>
      <c r="B30" s="56" t="s">
        <v>185</v>
      </c>
      <c r="C30" s="32">
        <v>1</v>
      </c>
      <c r="D30" s="32">
        <v>1</v>
      </c>
      <c r="E30" s="34">
        <f t="shared" si="5"/>
        <v>0</v>
      </c>
      <c r="F30" s="35" t="str">
        <f t="shared" si="0"/>
        <v>IDEAL</v>
      </c>
      <c r="G30" s="36" t="e">
        <f t="shared" si="1"/>
        <v>#DIV/0!</v>
      </c>
      <c r="H30" s="37"/>
      <c r="I30" s="57">
        <v>279.82</v>
      </c>
      <c r="J30" s="39">
        <f t="shared" si="2"/>
        <v>0</v>
      </c>
      <c r="K30" s="40">
        <f t="shared" si="3"/>
        <v>279.82</v>
      </c>
      <c r="L30" s="41">
        <f t="shared" si="4"/>
        <v>279.82</v>
      </c>
      <c r="M30" s="42" t="s">
        <v>177</v>
      </c>
    </row>
    <row r="31" spans="1:13" ht="28.8" x14ac:dyDescent="0.3">
      <c r="A31" s="131" t="s">
        <v>186</v>
      </c>
      <c r="B31" s="130" t="s">
        <v>187</v>
      </c>
      <c r="C31" s="32">
        <v>2</v>
      </c>
      <c r="D31" s="32">
        <v>2</v>
      </c>
      <c r="E31" s="34">
        <v>2</v>
      </c>
      <c r="F31" s="35" t="str">
        <f t="shared" si="0"/>
        <v>ACIMA</v>
      </c>
      <c r="G31" s="36" t="e">
        <f t="shared" si="1"/>
        <v>#DIV/0!</v>
      </c>
      <c r="H31" s="37"/>
      <c r="I31" s="55">
        <v>50</v>
      </c>
      <c r="J31" s="39">
        <f t="shared" si="2"/>
        <v>100</v>
      </c>
      <c r="K31" s="40">
        <f t="shared" si="3"/>
        <v>100</v>
      </c>
      <c r="L31" s="41">
        <f t="shared" si="4"/>
        <v>100</v>
      </c>
      <c r="M31" s="42" t="s">
        <v>177</v>
      </c>
    </row>
    <row r="32" spans="1:13" x14ac:dyDescent="0.3">
      <c r="A32" s="58" t="s">
        <v>188</v>
      </c>
      <c r="B32" s="59"/>
      <c r="C32" s="32"/>
      <c r="D32" s="32"/>
      <c r="E32" s="34">
        <f t="shared" si="5"/>
        <v>0</v>
      </c>
      <c r="F32" s="35" t="str">
        <f t="shared" si="0"/>
        <v>IDEAL</v>
      </c>
      <c r="G32" s="36" t="e">
        <f t="shared" si="1"/>
        <v>#DIV/0!</v>
      </c>
      <c r="H32" s="37"/>
      <c r="I32" s="55">
        <v>0</v>
      </c>
      <c r="J32" s="39">
        <f t="shared" si="2"/>
        <v>0</v>
      </c>
      <c r="K32" s="40">
        <f t="shared" si="3"/>
        <v>0</v>
      </c>
      <c r="L32" s="41">
        <f t="shared" si="4"/>
        <v>0</v>
      </c>
      <c r="M32" s="42" t="s">
        <v>177</v>
      </c>
    </row>
    <row r="33" spans="1:13" x14ac:dyDescent="0.3">
      <c r="A33" s="58" t="s">
        <v>189</v>
      </c>
      <c r="B33" s="59"/>
      <c r="C33" s="32"/>
      <c r="D33" s="32"/>
      <c r="E33" s="34">
        <f t="shared" si="5"/>
        <v>0</v>
      </c>
      <c r="F33" s="35" t="str">
        <f t="shared" si="0"/>
        <v>IDEAL</v>
      </c>
      <c r="G33" s="36" t="e">
        <f t="shared" si="1"/>
        <v>#DIV/0!</v>
      </c>
      <c r="H33" s="37"/>
      <c r="I33" s="55">
        <v>0</v>
      </c>
      <c r="J33" s="39">
        <f t="shared" si="2"/>
        <v>0</v>
      </c>
      <c r="K33" s="40">
        <f t="shared" si="3"/>
        <v>0</v>
      </c>
      <c r="L33" s="41">
        <f t="shared" si="4"/>
        <v>0</v>
      </c>
      <c r="M33" s="42" t="s">
        <v>177</v>
      </c>
    </row>
    <row r="34" spans="1:13" x14ac:dyDescent="0.3">
      <c r="A34" s="58" t="s">
        <v>190</v>
      </c>
      <c r="B34" s="59"/>
      <c r="C34" s="32"/>
      <c r="D34" s="32"/>
      <c r="E34" s="34">
        <f t="shared" si="5"/>
        <v>0</v>
      </c>
      <c r="F34" s="35" t="str">
        <f t="shared" si="0"/>
        <v>IDEAL</v>
      </c>
      <c r="G34" s="36" t="e">
        <f t="shared" si="1"/>
        <v>#DIV/0!</v>
      </c>
      <c r="H34" s="37"/>
      <c r="I34" s="55">
        <v>0</v>
      </c>
      <c r="J34" s="39">
        <f t="shared" si="2"/>
        <v>0</v>
      </c>
      <c r="K34" s="40">
        <f t="shared" si="3"/>
        <v>0</v>
      </c>
      <c r="L34" s="41">
        <f t="shared" si="4"/>
        <v>0</v>
      </c>
      <c r="M34" s="42" t="s">
        <v>177</v>
      </c>
    </row>
    <row r="35" spans="1:13" x14ac:dyDescent="0.3">
      <c r="A35" s="58" t="s">
        <v>191</v>
      </c>
      <c r="B35" s="59"/>
      <c r="C35" s="32"/>
      <c r="D35" s="32"/>
      <c r="E35" s="34">
        <f t="shared" si="5"/>
        <v>0</v>
      </c>
      <c r="F35" s="43" t="str">
        <f t="shared" si="0"/>
        <v>IDEAL</v>
      </c>
      <c r="G35" s="44" t="e">
        <f t="shared" si="1"/>
        <v>#DIV/0!</v>
      </c>
      <c r="H35" s="60"/>
      <c r="I35" s="41">
        <v>0</v>
      </c>
      <c r="J35" s="39">
        <f t="shared" si="2"/>
        <v>0</v>
      </c>
      <c r="K35" s="40">
        <f t="shared" si="3"/>
        <v>0</v>
      </c>
      <c r="L35" s="41">
        <f t="shared" si="4"/>
        <v>0</v>
      </c>
      <c r="M35" s="42" t="s">
        <v>177</v>
      </c>
    </row>
    <row r="36" spans="1:13" x14ac:dyDescent="0.3">
      <c r="A36" s="58" t="s">
        <v>192</v>
      </c>
      <c r="B36" s="59"/>
      <c r="C36" s="32"/>
      <c r="D36" s="32"/>
      <c r="E36" s="34">
        <f t="shared" si="5"/>
        <v>0</v>
      </c>
      <c r="F36" s="35" t="str">
        <f t="shared" si="0"/>
        <v>IDEAL</v>
      </c>
      <c r="G36" s="36" t="e">
        <f t="shared" si="1"/>
        <v>#DIV/0!</v>
      </c>
      <c r="H36" s="60"/>
      <c r="I36" s="41">
        <v>0</v>
      </c>
      <c r="J36" s="39">
        <f t="shared" si="2"/>
        <v>0</v>
      </c>
      <c r="K36" s="40">
        <f t="shared" si="3"/>
        <v>0</v>
      </c>
      <c r="L36" s="41">
        <f t="shared" si="4"/>
        <v>0</v>
      </c>
      <c r="M36" s="42" t="s">
        <v>177</v>
      </c>
    </row>
    <row r="37" spans="1:13" x14ac:dyDescent="0.3">
      <c r="A37" s="58" t="s">
        <v>193</v>
      </c>
      <c r="B37" s="59"/>
      <c r="C37" s="32"/>
      <c r="D37" s="32"/>
      <c r="E37" s="34">
        <f t="shared" si="5"/>
        <v>0</v>
      </c>
      <c r="F37" s="35" t="str">
        <f t="shared" si="0"/>
        <v>IDEAL</v>
      </c>
      <c r="G37" s="36" t="e">
        <f t="shared" si="1"/>
        <v>#DIV/0!</v>
      </c>
      <c r="H37" s="60"/>
      <c r="I37" s="41">
        <v>0</v>
      </c>
      <c r="J37" s="39">
        <f t="shared" si="2"/>
        <v>0</v>
      </c>
      <c r="K37" s="40">
        <f t="shared" si="3"/>
        <v>0</v>
      </c>
      <c r="L37" s="41">
        <f t="shared" si="4"/>
        <v>0</v>
      </c>
      <c r="M37" s="42" t="s">
        <v>177</v>
      </c>
    </row>
    <row r="38" spans="1:13" x14ac:dyDescent="0.3">
      <c r="A38" s="58" t="s">
        <v>194</v>
      </c>
      <c r="B38" s="59"/>
      <c r="C38" s="32"/>
      <c r="D38" s="32"/>
      <c r="E38" s="34">
        <f t="shared" si="5"/>
        <v>0</v>
      </c>
      <c r="F38" s="35" t="str">
        <f t="shared" si="0"/>
        <v>IDEAL</v>
      </c>
      <c r="G38" s="36" t="e">
        <f t="shared" si="1"/>
        <v>#DIV/0!</v>
      </c>
      <c r="H38" s="60"/>
      <c r="I38" s="41">
        <v>0</v>
      </c>
      <c r="J38" s="39">
        <f t="shared" si="2"/>
        <v>0</v>
      </c>
      <c r="K38" s="40">
        <f t="shared" si="3"/>
        <v>0</v>
      </c>
      <c r="L38" s="41">
        <f t="shared" si="4"/>
        <v>0</v>
      </c>
      <c r="M38" s="42" t="s">
        <v>177</v>
      </c>
    </row>
    <row r="39" spans="1:13" x14ac:dyDescent="0.3">
      <c r="A39" s="58" t="s">
        <v>195</v>
      </c>
      <c r="B39" s="59"/>
      <c r="C39" s="32"/>
      <c r="D39" s="32"/>
      <c r="E39" s="34">
        <f t="shared" si="5"/>
        <v>0</v>
      </c>
      <c r="F39" s="35" t="str">
        <f t="shared" si="0"/>
        <v>IDEAL</v>
      </c>
      <c r="G39" s="36" t="e">
        <f t="shared" si="1"/>
        <v>#DIV/0!</v>
      </c>
      <c r="H39" s="60"/>
      <c r="I39" s="41">
        <v>0</v>
      </c>
      <c r="J39" s="39">
        <f t="shared" si="2"/>
        <v>0</v>
      </c>
      <c r="K39" s="40">
        <f t="shared" si="3"/>
        <v>0</v>
      </c>
      <c r="L39" s="41">
        <f t="shared" si="4"/>
        <v>0</v>
      </c>
      <c r="M39" s="42" t="s">
        <v>177</v>
      </c>
    </row>
    <row r="40" spans="1:13" x14ac:dyDescent="0.3">
      <c r="A40" s="58" t="s">
        <v>196</v>
      </c>
      <c r="B40" s="59"/>
      <c r="C40" s="32"/>
      <c r="D40" s="32"/>
      <c r="E40" s="34">
        <f t="shared" si="5"/>
        <v>0</v>
      </c>
      <c r="F40" s="35" t="str">
        <f t="shared" si="0"/>
        <v>IDEAL</v>
      </c>
      <c r="G40" s="36" t="e">
        <f t="shared" si="1"/>
        <v>#DIV/0!</v>
      </c>
      <c r="H40" s="60"/>
      <c r="I40" s="41">
        <v>0</v>
      </c>
      <c r="J40" s="39">
        <f t="shared" si="2"/>
        <v>0</v>
      </c>
      <c r="K40" s="40">
        <f t="shared" si="3"/>
        <v>0</v>
      </c>
      <c r="L40" s="41">
        <f t="shared" si="4"/>
        <v>0</v>
      </c>
      <c r="M40" s="42" t="s">
        <v>177</v>
      </c>
    </row>
    <row r="41" spans="1:13" x14ac:dyDescent="0.3">
      <c r="A41" s="58" t="s">
        <v>197</v>
      </c>
      <c r="B41" s="59"/>
      <c r="C41" s="32"/>
      <c r="D41" s="32"/>
      <c r="E41" s="34">
        <f t="shared" si="5"/>
        <v>0</v>
      </c>
      <c r="F41" s="35" t="str">
        <f t="shared" si="0"/>
        <v>IDEAL</v>
      </c>
      <c r="G41" s="36" t="e">
        <f t="shared" si="1"/>
        <v>#DIV/0!</v>
      </c>
      <c r="H41" s="60"/>
      <c r="I41" s="41">
        <v>0</v>
      </c>
      <c r="J41" s="39">
        <f t="shared" si="2"/>
        <v>0</v>
      </c>
      <c r="K41" s="40">
        <f t="shared" si="3"/>
        <v>0</v>
      </c>
      <c r="L41" s="41">
        <f t="shared" si="4"/>
        <v>0</v>
      </c>
      <c r="M41" s="42" t="s">
        <v>177</v>
      </c>
    </row>
    <row r="42" spans="1:13" x14ac:dyDescent="0.3">
      <c r="A42" s="58" t="s">
        <v>198</v>
      </c>
      <c r="B42" s="59"/>
      <c r="C42" s="32"/>
      <c r="D42" s="32"/>
      <c r="E42" s="34">
        <f t="shared" si="5"/>
        <v>0</v>
      </c>
      <c r="F42" s="35" t="str">
        <f t="shared" si="0"/>
        <v>IDEAL</v>
      </c>
      <c r="G42" s="36" t="e">
        <f t="shared" si="1"/>
        <v>#DIV/0!</v>
      </c>
      <c r="H42" s="60"/>
      <c r="I42" s="41">
        <v>0</v>
      </c>
      <c r="J42" s="39">
        <f t="shared" si="2"/>
        <v>0</v>
      </c>
      <c r="K42" s="40">
        <f t="shared" si="3"/>
        <v>0</v>
      </c>
      <c r="L42" s="41">
        <f t="shared" si="4"/>
        <v>0</v>
      </c>
      <c r="M42" s="42" t="s">
        <v>177</v>
      </c>
    </row>
    <row r="43" spans="1:13" x14ac:dyDescent="0.3">
      <c r="A43" s="58" t="s">
        <v>199</v>
      </c>
      <c r="B43" s="59"/>
      <c r="C43" s="32"/>
      <c r="D43" s="32"/>
      <c r="E43" s="34">
        <f t="shared" si="5"/>
        <v>0</v>
      </c>
      <c r="F43" s="35" t="str">
        <f t="shared" si="0"/>
        <v>IDEAL</v>
      </c>
      <c r="G43" s="36" t="e">
        <f t="shared" si="1"/>
        <v>#DIV/0!</v>
      </c>
      <c r="H43" s="60"/>
      <c r="I43" s="41">
        <v>0</v>
      </c>
      <c r="J43" s="39">
        <f t="shared" si="2"/>
        <v>0</v>
      </c>
      <c r="K43" s="40">
        <f t="shared" si="3"/>
        <v>0</v>
      </c>
      <c r="L43" s="41">
        <f t="shared" si="4"/>
        <v>0</v>
      </c>
      <c r="M43" s="42" t="s">
        <v>177</v>
      </c>
    </row>
    <row r="44" spans="1:13" x14ac:dyDescent="0.3">
      <c r="A44" s="58" t="s">
        <v>200</v>
      </c>
      <c r="B44" s="59"/>
      <c r="C44" s="32"/>
      <c r="D44" s="32"/>
      <c r="E44" s="34">
        <f t="shared" si="5"/>
        <v>0</v>
      </c>
      <c r="F44" s="43" t="str">
        <f t="shared" si="0"/>
        <v>IDEAL</v>
      </c>
      <c r="G44" s="48" t="e">
        <f t="shared" si="1"/>
        <v>#DIV/0!</v>
      </c>
      <c r="H44" s="60"/>
      <c r="I44" s="41">
        <v>0</v>
      </c>
      <c r="J44" s="39">
        <f t="shared" si="2"/>
        <v>0</v>
      </c>
      <c r="K44" s="40">
        <f t="shared" si="3"/>
        <v>0</v>
      </c>
      <c r="L44" s="41">
        <f t="shared" si="4"/>
        <v>0</v>
      </c>
      <c r="M44" s="42" t="s">
        <v>177</v>
      </c>
    </row>
    <row r="45" spans="1:13" x14ac:dyDescent="0.3">
      <c r="A45" s="58" t="s">
        <v>201</v>
      </c>
      <c r="B45" s="59"/>
      <c r="C45" s="32"/>
      <c r="D45" s="32"/>
      <c r="E45" s="34">
        <f t="shared" si="5"/>
        <v>0</v>
      </c>
      <c r="F45" s="43" t="str">
        <f t="shared" si="0"/>
        <v>IDEAL</v>
      </c>
      <c r="G45" s="48" t="e">
        <f t="shared" si="1"/>
        <v>#DIV/0!</v>
      </c>
      <c r="H45" s="60"/>
      <c r="I45" s="41">
        <v>0</v>
      </c>
      <c r="J45" s="39">
        <f t="shared" si="2"/>
        <v>0</v>
      </c>
      <c r="K45" s="40">
        <f t="shared" si="3"/>
        <v>0</v>
      </c>
      <c r="L45" s="41">
        <f t="shared" si="4"/>
        <v>0</v>
      </c>
      <c r="M45" s="42" t="s">
        <v>177</v>
      </c>
    </row>
    <row r="46" spans="1:13" x14ac:dyDescent="0.3">
      <c r="A46" s="58" t="s">
        <v>202</v>
      </c>
      <c r="B46" s="59"/>
      <c r="C46" s="32"/>
      <c r="D46" s="32"/>
      <c r="E46" s="34">
        <f t="shared" si="5"/>
        <v>0</v>
      </c>
      <c r="F46" s="43" t="str">
        <f t="shared" si="0"/>
        <v>IDEAL</v>
      </c>
      <c r="G46" s="48" t="e">
        <f t="shared" si="1"/>
        <v>#DIV/0!</v>
      </c>
      <c r="H46" s="60"/>
      <c r="I46" s="41">
        <v>0</v>
      </c>
      <c r="J46" s="39">
        <f t="shared" si="2"/>
        <v>0</v>
      </c>
      <c r="K46" s="40">
        <f t="shared" si="3"/>
        <v>0</v>
      </c>
      <c r="L46" s="41">
        <f t="shared" si="4"/>
        <v>0</v>
      </c>
      <c r="M46" s="42" t="s">
        <v>177</v>
      </c>
    </row>
    <row r="47" spans="1:13" x14ac:dyDescent="0.3">
      <c r="A47" s="58" t="s">
        <v>203</v>
      </c>
      <c r="B47" s="59"/>
      <c r="C47" s="32"/>
      <c r="D47" s="32"/>
      <c r="E47" s="34">
        <f t="shared" si="5"/>
        <v>0</v>
      </c>
      <c r="F47" s="43" t="str">
        <f t="shared" si="0"/>
        <v>IDEAL</v>
      </c>
      <c r="G47" s="48" t="e">
        <f t="shared" si="1"/>
        <v>#DIV/0!</v>
      </c>
      <c r="H47" s="60"/>
      <c r="I47" s="41">
        <v>0</v>
      </c>
      <c r="J47" s="39">
        <f t="shared" si="2"/>
        <v>0</v>
      </c>
      <c r="K47" s="40">
        <f t="shared" si="3"/>
        <v>0</v>
      </c>
      <c r="L47" s="41">
        <f t="shared" si="4"/>
        <v>0</v>
      </c>
      <c r="M47" s="42" t="s">
        <v>177</v>
      </c>
    </row>
    <row r="48" spans="1:13" x14ac:dyDescent="0.3">
      <c r="A48" s="58" t="s">
        <v>204</v>
      </c>
      <c r="B48" s="59"/>
      <c r="C48" s="32"/>
      <c r="D48" s="32"/>
      <c r="E48" s="34">
        <f t="shared" si="5"/>
        <v>0</v>
      </c>
      <c r="F48" s="43" t="str">
        <f t="shared" si="0"/>
        <v>IDEAL</v>
      </c>
      <c r="G48" s="48" t="e">
        <f t="shared" si="1"/>
        <v>#DIV/0!</v>
      </c>
      <c r="H48" s="60"/>
      <c r="I48" s="41">
        <v>0</v>
      </c>
      <c r="J48" s="39">
        <f t="shared" si="2"/>
        <v>0</v>
      </c>
      <c r="K48" s="40">
        <f t="shared" si="3"/>
        <v>0</v>
      </c>
      <c r="L48" s="41">
        <f t="shared" si="4"/>
        <v>0</v>
      </c>
      <c r="M48" s="42" t="s">
        <v>177</v>
      </c>
    </row>
    <row r="49" spans="1:13" x14ac:dyDescent="0.3">
      <c r="A49" s="58" t="s">
        <v>205</v>
      </c>
      <c r="B49" s="59"/>
      <c r="C49" s="32"/>
      <c r="D49" s="32"/>
      <c r="E49" s="34">
        <f t="shared" si="5"/>
        <v>0</v>
      </c>
      <c r="F49" s="43" t="str">
        <f t="shared" si="0"/>
        <v>IDEAL</v>
      </c>
      <c r="G49" s="48" t="e">
        <f t="shared" si="1"/>
        <v>#DIV/0!</v>
      </c>
      <c r="H49" s="60"/>
      <c r="I49" s="41">
        <v>0</v>
      </c>
      <c r="J49" s="39">
        <f t="shared" si="2"/>
        <v>0</v>
      </c>
      <c r="K49" s="40">
        <f t="shared" si="3"/>
        <v>0</v>
      </c>
      <c r="L49" s="41">
        <f t="shared" si="4"/>
        <v>0</v>
      </c>
      <c r="M49" s="42" t="s">
        <v>177</v>
      </c>
    </row>
    <row r="50" spans="1:13" x14ac:dyDescent="0.3">
      <c r="A50" s="58" t="s">
        <v>206</v>
      </c>
      <c r="B50" s="59"/>
      <c r="C50" s="32"/>
      <c r="D50" s="32"/>
      <c r="E50" s="34">
        <f t="shared" si="5"/>
        <v>0</v>
      </c>
      <c r="F50" s="43" t="str">
        <f t="shared" si="0"/>
        <v>IDEAL</v>
      </c>
      <c r="G50" s="44" t="e">
        <f t="shared" si="1"/>
        <v>#DIV/0!</v>
      </c>
      <c r="H50" s="60"/>
      <c r="I50" s="41">
        <v>0</v>
      </c>
      <c r="J50" s="39">
        <f t="shared" si="2"/>
        <v>0</v>
      </c>
      <c r="K50" s="40">
        <f t="shared" si="3"/>
        <v>0</v>
      </c>
      <c r="L50" s="41">
        <f t="shared" si="4"/>
        <v>0</v>
      </c>
      <c r="M50" s="42" t="s">
        <v>177</v>
      </c>
    </row>
    <row r="51" spans="1:13" x14ac:dyDescent="0.3">
      <c r="A51" s="58" t="s">
        <v>207</v>
      </c>
      <c r="B51" s="59"/>
      <c r="C51" s="32"/>
      <c r="D51" s="32"/>
      <c r="E51" s="34">
        <f t="shared" si="5"/>
        <v>0</v>
      </c>
      <c r="F51" s="43" t="str">
        <f t="shared" si="0"/>
        <v>IDEAL</v>
      </c>
      <c r="G51" s="44" t="e">
        <f t="shared" si="1"/>
        <v>#DIV/0!</v>
      </c>
      <c r="H51" s="60"/>
      <c r="I51" s="41">
        <v>0</v>
      </c>
      <c r="J51" s="39">
        <f t="shared" si="2"/>
        <v>0</v>
      </c>
      <c r="K51" s="40">
        <f t="shared" si="3"/>
        <v>0</v>
      </c>
      <c r="L51" s="41">
        <f t="shared" si="4"/>
        <v>0</v>
      </c>
      <c r="M51" s="42" t="s">
        <v>177</v>
      </c>
    </row>
    <row r="52" spans="1:13" x14ac:dyDescent="0.3">
      <c r="A52" s="58" t="s">
        <v>208</v>
      </c>
      <c r="B52" s="59"/>
      <c r="C52" s="32"/>
      <c r="D52" s="32"/>
      <c r="E52" s="34">
        <f t="shared" si="5"/>
        <v>0</v>
      </c>
      <c r="F52" s="43" t="str">
        <f t="shared" si="0"/>
        <v>IDEAL</v>
      </c>
      <c r="G52" s="48" t="e">
        <f t="shared" si="1"/>
        <v>#DIV/0!</v>
      </c>
      <c r="H52" s="60"/>
      <c r="I52" s="41">
        <v>0</v>
      </c>
      <c r="J52" s="39">
        <f t="shared" si="2"/>
        <v>0</v>
      </c>
      <c r="K52" s="40">
        <f t="shared" si="3"/>
        <v>0</v>
      </c>
      <c r="L52" s="41">
        <f t="shared" si="4"/>
        <v>0</v>
      </c>
      <c r="M52" s="42" t="s">
        <v>209</v>
      </c>
    </row>
    <row r="53" spans="1:13" x14ac:dyDescent="0.3">
      <c r="A53" s="58" t="s">
        <v>210</v>
      </c>
      <c r="B53" s="59"/>
      <c r="C53" s="32"/>
      <c r="D53" s="32"/>
      <c r="E53" s="34">
        <f t="shared" si="5"/>
        <v>0</v>
      </c>
      <c r="F53" s="43" t="str">
        <f t="shared" si="0"/>
        <v>IDEAL</v>
      </c>
      <c r="G53" s="48" t="e">
        <f t="shared" si="1"/>
        <v>#DIV/0!</v>
      </c>
      <c r="H53" s="60"/>
      <c r="I53" s="41">
        <v>0</v>
      </c>
      <c r="J53" s="39">
        <f t="shared" si="2"/>
        <v>0</v>
      </c>
      <c r="K53" s="40">
        <f t="shared" si="3"/>
        <v>0</v>
      </c>
      <c r="L53" s="41">
        <f t="shared" si="4"/>
        <v>0</v>
      </c>
      <c r="M53" s="42" t="s">
        <v>209</v>
      </c>
    </row>
    <row r="54" spans="1:13" x14ac:dyDescent="0.3">
      <c r="A54" s="58" t="s">
        <v>211</v>
      </c>
      <c r="B54" s="59"/>
      <c r="C54" s="32"/>
      <c r="D54" s="32"/>
      <c r="E54" s="34">
        <f t="shared" si="5"/>
        <v>0</v>
      </c>
      <c r="F54" s="43" t="str">
        <f t="shared" si="0"/>
        <v>IDEAL</v>
      </c>
      <c r="G54" s="48" t="e">
        <f t="shared" si="1"/>
        <v>#DIV/0!</v>
      </c>
      <c r="H54" s="60"/>
      <c r="I54" s="41">
        <v>0</v>
      </c>
      <c r="J54" s="39">
        <f t="shared" si="2"/>
        <v>0</v>
      </c>
      <c r="K54" s="40">
        <f t="shared" si="3"/>
        <v>0</v>
      </c>
      <c r="L54" s="41">
        <f t="shared" si="4"/>
        <v>0</v>
      </c>
      <c r="M54" s="42" t="s">
        <v>209</v>
      </c>
    </row>
    <row r="55" spans="1:13" x14ac:dyDescent="0.3">
      <c r="A55" s="58" t="s">
        <v>212</v>
      </c>
      <c r="B55" s="59"/>
      <c r="C55" s="32"/>
      <c r="D55" s="32"/>
      <c r="E55" s="34">
        <f t="shared" si="5"/>
        <v>0</v>
      </c>
      <c r="F55" s="43" t="str">
        <f t="shared" si="0"/>
        <v>IDEAL</v>
      </c>
      <c r="G55" s="48" t="e">
        <f t="shared" si="1"/>
        <v>#DIV/0!</v>
      </c>
      <c r="H55" s="60"/>
      <c r="I55" s="41">
        <v>0</v>
      </c>
      <c r="J55" s="39">
        <f t="shared" si="2"/>
        <v>0</v>
      </c>
      <c r="K55" s="40">
        <f t="shared" si="3"/>
        <v>0</v>
      </c>
      <c r="L55" s="41">
        <f t="shared" si="4"/>
        <v>0</v>
      </c>
      <c r="M55" s="42" t="s">
        <v>209</v>
      </c>
    </row>
    <row r="56" spans="1:13" x14ac:dyDescent="0.3">
      <c r="A56" s="58" t="s">
        <v>213</v>
      </c>
      <c r="B56" s="59"/>
      <c r="C56" s="32"/>
      <c r="D56" s="32"/>
      <c r="E56" s="34">
        <f t="shared" si="5"/>
        <v>0</v>
      </c>
      <c r="F56" s="43" t="str">
        <f t="shared" si="0"/>
        <v>IDEAL</v>
      </c>
      <c r="G56" s="48" t="e">
        <f t="shared" si="1"/>
        <v>#DIV/0!</v>
      </c>
      <c r="H56" s="60"/>
      <c r="I56" s="41">
        <v>0</v>
      </c>
      <c r="J56" s="39">
        <f t="shared" si="2"/>
        <v>0</v>
      </c>
      <c r="K56" s="40">
        <f t="shared" si="3"/>
        <v>0</v>
      </c>
      <c r="L56" s="41">
        <f t="shared" si="4"/>
        <v>0</v>
      </c>
      <c r="M56" s="42" t="s">
        <v>209</v>
      </c>
    </row>
    <row r="57" spans="1:13" x14ac:dyDescent="0.3">
      <c r="A57" s="58" t="s">
        <v>214</v>
      </c>
      <c r="B57" s="59"/>
      <c r="C57" s="32"/>
      <c r="D57" s="32"/>
      <c r="E57" s="34">
        <f t="shared" si="5"/>
        <v>0</v>
      </c>
      <c r="F57" s="43" t="str">
        <f t="shared" si="0"/>
        <v>IDEAL</v>
      </c>
      <c r="G57" s="48" t="e">
        <f t="shared" si="1"/>
        <v>#DIV/0!</v>
      </c>
      <c r="H57" s="60"/>
      <c r="I57" s="41">
        <v>0</v>
      </c>
      <c r="J57" s="39">
        <f t="shared" si="2"/>
        <v>0</v>
      </c>
      <c r="K57" s="40">
        <f t="shared" si="3"/>
        <v>0</v>
      </c>
      <c r="L57" s="41">
        <f t="shared" si="4"/>
        <v>0</v>
      </c>
      <c r="M57" s="42"/>
    </row>
    <row r="58" spans="1:13" x14ac:dyDescent="0.3">
      <c r="A58" s="58" t="s">
        <v>215</v>
      </c>
      <c r="B58" s="59"/>
      <c r="C58" s="32"/>
      <c r="D58" s="32"/>
      <c r="E58" s="34">
        <f t="shared" si="5"/>
        <v>0</v>
      </c>
      <c r="F58" s="43" t="str">
        <f t="shared" si="0"/>
        <v>IDEAL</v>
      </c>
      <c r="G58" s="48" t="e">
        <f t="shared" si="1"/>
        <v>#DIV/0!</v>
      </c>
      <c r="H58" s="60"/>
      <c r="I58" s="41">
        <v>0</v>
      </c>
      <c r="J58" s="39">
        <f t="shared" si="2"/>
        <v>0</v>
      </c>
      <c r="K58" s="40">
        <f t="shared" si="3"/>
        <v>0</v>
      </c>
      <c r="L58" s="41">
        <f t="shared" si="4"/>
        <v>0</v>
      </c>
      <c r="M58" s="42"/>
    </row>
    <row r="59" spans="1:13" x14ac:dyDescent="0.3">
      <c r="A59" s="58" t="s">
        <v>216</v>
      </c>
      <c r="B59" s="59"/>
      <c r="C59" s="32"/>
      <c r="D59" s="32"/>
      <c r="E59" s="34">
        <f t="shared" si="5"/>
        <v>0</v>
      </c>
      <c r="F59" s="43" t="str">
        <f t="shared" si="0"/>
        <v>IDEAL</v>
      </c>
      <c r="G59" s="48" t="e">
        <f t="shared" si="1"/>
        <v>#DIV/0!</v>
      </c>
      <c r="H59" s="60"/>
      <c r="I59" s="41">
        <v>0</v>
      </c>
      <c r="J59" s="39">
        <f t="shared" si="2"/>
        <v>0</v>
      </c>
      <c r="K59" s="40">
        <f t="shared" si="3"/>
        <v>0</v>
      </c>
      <c r="L59" s="41">
        <f t="shared" si="4"/>
        <v>0</v>
      </c>
      <c r="M59" s="42"/>
    </row>
    <row r="60" spans="1:13" x14ac:dyDescent="0.3">
      <c r="A60" s="58" t="s">
        <v>217</v>
      </c>
      <c r="B60" s="59"/>
      <c r="C60" s="32"/>
      <c r="D60" s="32"/>
      <c r="E60" s="34">
        <f t="shared" si="5"/>
        <v>0</v>
      </c>
      <c r="F60" s="43" t="str">
        <f t="shared" si="0"/>
        <v>IDEAL</v>
      </c>
      <c r="G60" s="48" t="e">
        <f t="shared" si="1"/>
        <v>#DIV/0!</v>
      </c>
      <c r="H60" s="60"/>
      <c r="I60" s="41">
        <v>0</v>
      </c>
      <c r="J60" s="39">
        <f t="shared" si="2"/>
        <v>0</v>
      </c>
      <c r="K60" s="40">
        <f t="shared" si="3"/>
        <v>0</v>
      </c>
      <c r="L60" s="41">
        <f t="shared" si="4"/>
        <v>0</v>
      </c>
      <c r="M60" s="42"/>
    </row>
    <row r="61" spans="1:13" x14ac:dyDescent="0.3">
      <c r="A61" s="58" t="s">
        <v>218</v>
      </c>
      <c r="B61" s="59"/>
      <c r="C61" s="32"/>
      <c r="D61" s="32"/>
      <c r="E61" s="34">
        <f t="shared" si="5"/>
        <v>0</v>
      </c>
      <c r="F61" s="43" t="str">
        <f t="shared" si="0"/>
        <v>IDEAL</v>
      </c>
      <c r="G61" s="48" t="e">
        <f t="shared" si="1"/>
        <v>#DIV/0!</v>
      </c>
      <c r="H61" s="60"/>
      <c r="I61" s="41">
        <v>0</v>
      </c>
      <c r="J61" s="39">
        <f t="shared" si="2"/>
        <v>0</v>
      </c>
      <c r="K61" s="40">
        <f t="shared" si="3"/>
        <v>0</v>
      </c>
      <c r="L61" s="41">
        <f t="shared" si="4"/>
        <v>0</v>
      </c>
      <c r="M61" s="42"/>
    </row>
    <row r="62" spans="1:13" x14ac:dyDescent="0.3">
      <c r="A62" s="58" t="s">
        <v>219</v>
      </c>
      <c r="B62" s="59"/>
      <c r="C62" s="32"/>
      <c r="D62" s="32"/>
      <c r="E62" s="34">
        <f t="shared" si="5"/>
        <v>0</v>
      </c>
      <c r="F62" s="43" t="str">
        <f t="shared" si="0"/>
        <v>IDEAL</v>
      </c>
      <c r="G62" s="48" t="e">
        <f t="shared" si="1"/>
        <v>#DIV/0!</v>
      </c>
      <c r="H62" s="60"/>
      <c r="I62" s="41">
        <v>0</v>
      </c>
      <c r="J62" s="39">
        <f t="shared" si="2"/>
        <v>0</v>
      </c>
      <c r="K62" s="40">
        <f t="shared" si="3"/>
        <v>0</v>
      </c>
      <c r="L62" s="41">
        <f t="shared" si="4"/>
        <v>0</v>
      </c>
      <c r="M62" s="42"/>
    </row>
    <row r="63" spans="1:13" x14ac:dyDescent="0.3">
      <c r="A63" s="58" t="s">
        <v>220</v>
      </c>
      <c r="B63" s="59"/>
      <c r="C63" s="32"/>
      <c r="D63" s="32"/>
      <c r="E63" s="34">
        <f t="shared" si="5"/>
        <v>0</v>
      </c>
      <c r="F63" s="43" t="str">
        <f t="shared" si="0"/>
        <v>IDEAL</v>
      </c>
      <c r="G63" s="48" t="e">
        <f t="shared" si="1"/>
        <v>#DIV/0!</v>
      </c>
      <c r="H63" s="60"/>
      <c r="I63" s="41">
        <v>0</v>
      </c>
      <c r="J63" s="39">
        <f t="shared" si="2"/>
        <v>0</v>
      </c>
      <c r="K63" s="40">
        <f t="shared" si="3"/>
        <v>0</v>
      </c>
      <c r="L63" s="41">
        <f t="shared" si="4"/>
        <v>0</v>
      </c>
      <c r="M63" s="42"/>
    </row>
    <row r="64" spans="1:13" x14ac:dyDescent="0.3">
      <c r="A64" s="58" t="s">
        <v>221</v>
      </c>
      <c r="B64" s="59"/>
      <c r="C64" s="32"/>
      <c r="D64" s="32"/>
      <c r="E64" s="34">
        <f t="shared" si="5"/>
        <v>0</v>
      </c>
      <c r="F64" s="43" t="str">
        <f t="shared" si="0"/>
        <v>IDEAL</v>
      </c>
      <c r="G64" s="48" t="e">
        <f t="shared" si="1"/>
        <v>#DIV/0!</v>
      </c>
      <c r="H64" s="60"/>
      <c r="I64" s="41">
        <v>0</v>
      </c>
      <c r="J64" s="39">
        <f t="shared" si="2"/>
        <v>0</v>
      </c>
      <c r="K64" s="40">
        <f t="shared" si="3"/>
        <v>0</v>
      </c>
      <c r="L64" s="41">
        <f t="shared" si="4"/>
        <v>0</v>
      </c>
      <c r="M64" s="42"/>
    </row>
    <row r="65" spans="1:13" x14ac:dyDescent="0.3">
      <c r="A65" s="58" t="s">
        <v>222</v>
      </c>
      <c r="B65" s="59"/>
      <c r="C65" s="32"/>
      <c r="D65" s="32"/>
      <c r="E65" s="34">
        <f t="shared" si="5"/>
        <v>0</v>
      </c>
      <c r="F65" s="43" t="str">
        <f t="shared" si="0"/>
        <v>IDEAL</v>
      </c>
      <c r="G65" s="48" t="e">
        <f t="shared" si="1"/>
        <v>#DIV/0!</v>
      </c>
      <c r="H65" s="60"/>
      <c r="I65" s="41">
        <v>0</v>
      </c>
      <c r="J65" s="39">
        <f t="shared" si="2"/>
        <v>0</v>
      </c>
      <c r="K65" s="40">
        <f t="shared" si="3"/>
        <v>0</v>
      </c>
      <c r="L65" s="41">
        <f t="shared" si="4"/>
        <v>0</v>
      </c>
      <c r="M65" s="42"/>
    </row>
    <row r="66" spans="1:13" x14ac:dyDescent="0.3">
      <c r="A66" s="58" t="s">
        <v>223</v>
      </c>
      <c r="B66" s="59"/>
      <c r="C66" s="32"/>
      <c r="D66" s="32"/>
      <c r="E66" s="34">
        <f t="shared" si="5"/>
        <v>0</v>
      </c>
      <c r="F66" s="43" t="str">
        <f t="shared" si="0"/>
        <v>IDEAL</v>
      </c>
      <c r="G66" s="48" t="e">
        <f t="shared" si="1"/>
        <v>#DIV/0!</v>
      </c>
      <c r="H66" s="60"/>
      <c r="I66" s="41">
        <v>0</v>
      </c>
      <c r="J66" s="39">
        <f t="shared" si="2"/>
        <v>0</v>
      </c>
      <c r="K66" s="40">
        <f t="shared" si="3"/>
        <v>0</v>
      </c>
      <c r="L66" s="41">
        <f t="shared" si="4"/>
        <v>0</v>
      </c>
      <c r="M66" s="42"/>
    </row>
    <row r="67" spans="1:13" x14ac:dyDescent="0.3">
      <c r="A67" s="58" t="s">
        <v>224</v>
      </c>
      <c r="B67" s="59"/>
      <c r="C67" s="32"/>
      <c r="D67" s="32"/>
      <c r="E67" s="34">
        <f t="shared" si="5"/>
        <v>0</v>
      </c>
      <c r="F67" s="43" t="str">
        <f t="shared" si="0"/>
        <v>IDEAL</v>
      </c>
      <c r="G67" s="48" t="e">
        <f t="shared" si="1"/>
        <v>#DIV/0!</v>
      </c>
      <c r="H67" s="60"/>
      <c r="I67" s="41">
        <v>0</v>
      </c>
      <c r="J67" s="39">
        <f t="shared" si="2"/>
        <v>0</v>
      </c>
      <c r="K67" s="40">
        <f t="shared" si="3"/>
        <v>0</v>
      </c>
      <c r="L67" s="41">
        <f t="shared" si="4"/>
        <v>0</v>
      </c>
      <c r="M67" s="42"/>
    </row>
    <row r="68" spans="1:13" x14ac:dyDescent="0.3">
      <c r="A68" s="58" t="s">
        <v>225</v>
      </c>
      <c r="B68" s="59"/>
      <c r="C68" s="32"/>
      <c r="D68" s="32"/>
      <c r="E68" s="34">
        <f t="shared" si="5"/>
        <v>0</v>
      </c>
      <c r="F68" s="43" t="str">
        <f t="shared" si="0"/>
        <v>IDEAL</v>
      </c>
      <c r="G68" s="48" t="e">
        <f t="shared" si="1"/>
        <v>#DIV/0!</v>
      </c>
      <c r="H68" s="60"/>
      <c r="I68" s="41">
        <v>0</v>
      </c>
      <c r="J68" s="39">
        <f t="shared" si="2"/>
        <v>0</v>
      </c>
      <c r="K68" s="40">
        <f t="shared" si="3"/>
        <v>0</v>
      </c>
      <c r="L68" s="41">
        <f t="shared" si="4"/>
        <v>0</v>
      </c>
      <c r="M68" s="42"/>
    </row>
    <row r="69" spans="1:13" x14ac:dyDescent="0.3">
      <c r="A69" s="58" t="s">
        <v>226</v>
      </c>
      <c r="B69" s="59"/>
      <c r="C69" s="32"/>
      <c r="D69" s="32"/>
      <c r="E69" s="34">
        <f t="shared" si="5"/>
        <v>0</v>
      </c>
      <c r="F69" s="43" t="str">
        <f t="shared" si="0"/>
        <v>IDEAL</v>
      </c>
      <c r="G69" s="48" t="e">
        <f t="shared" si="1"/>
        <v>#DIV/0!</v>
      </c>
      <c r="H69" s="60"/>
      <c r="I69" s="41">
        <v>0</v>
      </c>
      <c r="J69" s="39">
        <f t="shared" si="2"/>
        <v>0</v>
      </c>
      <c r="K69" s="40">
        <f t="shared" si="3"/>
        <v>0</v>
      </c>
      <c r="L69" s="41">
        <f t="shared" si="4"/>
        <v>0</v>
      </c>
      <c r="M69" s="42"/>
    </row>
    <row r="70" spans="1:13" x14ac:dyDescent="0.3">
      <c r="A70" s="58" t="s">
        <v>227</v>
      </c>
      <c r="B70" s="59"/>
      <c r="C70" s="32"/>
      <c r="D70" s="32"/>
      <c r="E70" s="34">
        <f t="shared" si="5"/>
        <v>0</v>
      </c>
      <c r="F70" s="43" t="str">
        <f t="shared" si="0"/>
        <v>IDEAL</v>
      </c>
      <c r="G70" s="48" t="e">
        <f t="shared" si="1"/>
        <v>#DIV/0!</v>
      </c>
      <c r="H70" s="60"/>
      <c r="I70" s="41">
        <v>0</v>
      </c>
      <c r="J70" s="39">
        <f t="shared" si="2"/>
        <v>0</v>
      </c>
      <c r="K70" s="40">
        <f t="shared" si="3"/>
        <v>0</v>
      </c>
      <c r="L70" s="41">
        <f t="shared" si="4"/>
        <v>0</v>
      </c>
      <c r="M70" s="42"/>
    </row>
    <row r="71" spans="1:13" x14ac:dyDescent="0.3">
      <c r="A71" s="58" t="s">
        <v>228</v>
      </c>
      <c r="B71" s="59"/>
      <c r="C71" s="32"/>
      <c r="D71" s="32"/>
      <c r="E71" s="34">
        <f t="shared" ref="E71:E86" si="9">C71-D71</f>
        <v>0</v>
      </c>
      <c r="F71" s="43" t="str">
        <f t="shared" si="0"/>
        <v>COMPRAR</v>
      </c>
      <c r="G71" s="48">
        <f t="shared" si="1"/>
        <v>-1</v>
      </c>
      <c r="H71" s="60">
        <v>100</v>
      </c>
      <c r="I71" s="41">
        <v>0</v>
      </c>
      <c r="J71" s="39">
        <f t="shared" si="2"/>
        <v>0</v>
      </c>
      <c r="K71" s="40">
        <f t="shared" si="3"/>
        <v>0</v>
      </c>
      <c r="L71" s="41">
        <f t="shared" si="4"/>
        <v>0</v>
      </c>
      <c r="M71" s="42"/>
    </row>
    <row r="72" spans="1:13" x14ac:dyDescent="0.3">
      <c r="A72" s="58" t="s">
        <v>229</v>
      </c>
      <c r="B72" s="59"/>
      <c r="C72" s="32"/>
      <c r="D72" s="32"/>
      <c r="E72" s="34">
        <f t="shared" si="9"/>
        <v>0</v>
      </c>
      <c r="F72" s="43" t="str">
        <f t="shared" si="0"/>
        <v>COMPRAR</v>
      </c>
      <c r="G72" s="48">
        <f t="shared" si="1"/>
        <v>-1</v>
      </c>
      <c r="H72" s="60">
        <v>100</v>
      </c>
      <c r="I72" s="41">
        <v>0</v>
      </c>
      <c r="J72" s="39">
        <f t="shared" si="2"/>
        <v>0</v>
      </c>
      <c r="K72" s="40">
        <f t="shared" si="3"/>
        <v>0</v>
      </c>
      <c r="L72" s="41">
        <f t="shared" si="4"/>
        <v>0</v>
      </c>
      <c r="M72" s="42"/>
    </row>
    <row r="73" spans="1:13" x14ac:dyDescent="0.3">
      <c r="A73" s="58" t="s">
        <v>230</v>
      </c>
      <c r="B73" s="59"/>
      <c r="C73" s="32"/>
      <c r="D73" s="32"/>
      <c r="E73" s="34">
        <f t="shared" si="9"/>
        <v>0</v>
      </c>
      <c r="F73" s="43" t="str">
        <f t="shared" si="0"/>
        <v>COMPRAR</v>
      </c>
      <c r="G73" s="48">
        <f t="shared" si="1"/>
        <v>-1</v>
      </c>
      <c r="H73" s="60">
        <v>100</v>
      </c>
      <c r="I73" s="41">
        <v>0</v>
      </c>
      <c r="J73" s="39">
        <f t="shared" si="2"/>
        <v>0</v>
      </c>
      <c r="K73" s="40">
        <f t="shared" si="3"/>
        <v>0</v>
      </c>
      <c r="L73" s="41">
        <f t="shared" si="4"/>
        <v>0</v>
      </c>
      <c r="M73" s="42"/>
    </row>
    <row r="74" spans="1:13" x14ac:dyDescent="0.3">
      <c r="A74" s="58" t="s">
        <v>231</v>
      </c>
      <c r="B74" s="59"/>
      <c r="C74" s="32"/>
      <c r="D74" s="32"/>
      <c r="E74" s="34">
        <f t="shared" si="9"/>
        <v>0</v>
      </c>
      <c r="F74" s="43" t="str">
        <f t="shared" si="0"/>
        <v>COMPRAR</v>
      </c>
      <c r="G74" s="48">
        <f t="shared" si="1"/>
        <v>-1</v>
      </c>
      <c r="H74" s="60">
        <v>100</v>
      </c>
      <c r="I74" s="41">
        <v>0</v>
      </c>
      <c r="J74" s="39">
        <f t="shared" si="2"/>
        <v>0</v>
      </c>
      <c r="K74" s="40">
        <f t="shared" si="3"/>
        <v>0</v>
      </c>
      <c r="L74" s="41">
        <f t="shared" si="4"/>
        <v>0</v>
      </c>
      <c r="M74" s="42"/>
    </row>
    <row r="75" spans="1:13" x14ac:dyDescent="0.3">
      <c r="A75" s="58" t="s">
        <v>232</v>
      </c>
      <c r="B75" s="59"/>
      <c r="C75" s="32"/>
      <c r="D75" s="32"/>
      <c r="E75" s="34">
        <f t="shared" si="9"/>
        <v>0</v>
      </c>
      <c r="F75" s="43" t="str">
        <f t="shared" si="0"/>
        <v>COMPRAR</v>
      </c>
      <c r="G75" s="48">
        <f t="shared" si="1"/>
        <v>-1</v>
      </c>
      <c r="H75" s="60">
        <v>100</v>
      </c>
      <c r="I75" s="41">
        <v>0</v>
      </c>
      <c r="J75" s="39">
        <f t="shared" si="2"/>
        <v>0</v>
      </c>
      <c r="K75" s="40">
        <f t="shared" si="3"/>
        <v>0</v>
      </c>
      <c r="L75" s="41">
        <f t="shared" si="4"/>
        <v>0</v>
      </c>
      <c r="M75" s="42"/>
    </row>
    <row r="76" spans="1:13" x14ac:dyDescent="0.3">
      <c r="A76" s="58" t="s">
        <v>233</v>
      </c>
      <c r="B76" s="59"/>
      <c r="C76" s="32"/>
      <c r="D76" s="32"/>
      <c r="E76" s="34">
        <f t="shared" si="9"/>
        <v>0</v>
      </c>
      <c r="F76" s="43" t="str">
        <f t="shared" si="0"/>
        <v>COMPRAR</v>
      </c>
      <c r="G76" s="48">
        <f t="shared" si="1"/>
        <v>-1</v>
      </c>
      <c r="H76" s="60">
        <v>100</v>
      </c>
      <c r="I76" s="41">
        <v>0</v>
      </c>
      <c r="J76" s="39">
        <f t="shared" si="2"/>
        <v>0</v>
      </c>
      <c r="K76" s="40">
        <f t="shared" si="3"/>
        <v>0</v>
      </c>
      <c r="L76" s="41">
        <f t="shared" si="4"/>
        <v>0</v>
      </c>
      <c r="M76" s="42"/>
    </row>
    <row r="77" spans="1:13" x14ac:dyDescent="0.3">
      <c r="A77" s="58" t="s">
        <v>234</v>
      </c>
      <c r="B77" s="59"/>
      <c r="C77" s="32"/>
      <c r="D77" s="32"/>
      <c r="E77" s="34">
        <f t="shared" si="9"/>
        <v>0</v>
      </c>
      <c r="F77" s="43" t="str">
        <f t="shared" si="0"/>
        <v>COMPRAR</v>
      </c>
      <c r="G77" s="48">
        <f t="shared" si="1"/>
        <v>-1</v>
      </c>
      <c r="H77" s="60">
        <v>100</v>
      </c>
      <c r="I77" s="41">
        <v>0</v>
      </c>
      <c r="J77" s="39">
        <f t="shared" si="2"/>
        <v>0</v>
      </c>
      <c r="K77" s="40">
        <f t="shared" si="3"/>
        <v>0</v>
      </c>
      <c r="L77" s="41">
        <f t="shared" si="4"/>
        <v>0</v>
      </c>
      <c r="M77" s="42"/>
    </row>
    <row r="78" spans="1:13" x14ac:dyDescent="0.3">
      <c r="A78" s="58" t="s">
        <v>235</v>
      </c>
      <c r="B78" s="59"/>
      <c r="C78" s="32"/>
      <c r="D78" s="32"/>
      <c r="E78" s="34">
        <f t="shared" si="9"/>
        <v>0</v>
      </c>
      <c r="F78" s="43" t="str">
        <f t="shared" si="0"/>
        <v>COMPRAR</v>
      </c>
      <c r="G78" s="48">
        <f t="shared" si="1"/>
        <v>-1</v>
      </c>
      <c r="H78" s="60">
        <v>100</v>
      </c>
      <c r="I78" s="41">
        <v>0</v>
      </c>
      <c r="J78" s="39">
        <f t="shared" si="2"/>
        <v>0</v>
      </c>
      <c r="K78" s="40">
        <f t="shared" si="3"/>
        <v>0</v>
      </c>
      <c r="L78" s="41">
        <f t="shared" si="4"/>
        <v>0</v>
      </c>
      <c r="M78" s="42"/>
    </row>
    <row r="79" spans="1:13" x14ac:dyDescent="0.3">
      <c r="A79" s="58" t="s">
        <v>236</v>
      </c>
      <c r="B79" s="59"/>
      <c r="C79" s="32"/>
      <c r="D79" s="32"/>
      <c r="E79" s="34">
        <f t="shared" si="9"/>
        <v>0</v>
      </c>
      <c r="F79" s="43" t="str">
        <f t="shared" si="0"/>
        <v>COMPRAR</v>
      </c>
      <c r="G79" s="48">
        <f t="shared" si="1"/>
        <v>-1</v>
      </c>
      <c r="H79" s="60">
        <v>100</v>
      </c>
      <c r="I79" s="41">
        <v>0</v>
      </c>
      <c r="J79" s="39">
        <f t="shared" si="2"/>
        <v>0</v>
      </c>
      <c r="K79" s="40">
        <f t="shared" si="3"/>
        <v>0</v>
      </c>
      <c r="L79" s="41">
        <f t="shared" si="4"/>
        <v>0</v>
      </c>
      <c r="M79" s="42"/>
    </row>
    <row r="80" spans="1:13" x14ac:dyDescent="0.3">
      <c r="A80" s="58" t="s">
        <v>237</v>
      </c>
      <c r="B80" s="59"/>
      <c r="C80" s="32"/>
      <c r="D80" s="32"/>
      <c r="E80" s="34">
        <f t="shared" si="9"/>
        <v>0</v>
      </c>
      <c r="F80" s="43" t="str">
        <f t="shared" si="0"/>
        <v>COMPRAR</v>
      </c>
      <c r="G80" s="48">
        <f t="shared" si="1"/>
        <v>-1</v>
      </c>
      <c r="H80" s="60">
        <v>100</v>
      </c>
      <c r="I80" s="41">
        <v>0</v>
      </c>
      <c r="J80" s="39">
        <f t="shared" si="2"/>
        <v>0</v>
      </c>
      <c r="K80" s="40">
        <f t="shared" si="3"/>
        <v>0</v>
      </c>
      <c r="L80" s="41">
        <f t="shared" si="4"/>
        <v>0</v>
      </c>
      <c r="M80" s="42"/>
    </row>
    <row r="81" spans="1:13" x14ac:dyDescent="0.3">
      <c r="A81" s="58" t="s">
        <v>238</v>
      </c>
      <c r="B81" s="59"/>
      <c r="C81" s="32"/>
      <c r="D81" s="32"/>
      <c r="E81" s="34">
        <f t="shared" si="9"/>
        <v>0</v>
      </c>
      <c r="F81" s="43" t="str">
        <f t="shared" si="0"/>
        <v>COMPRAR</v>
      </c>
      <c r="G81" s="48">
        <f t="shared" si="1"/>
        <v>-1</v>
      </c>
      <c r="H81" s="60">
        <v>100</v>
      </c>
      <c r="I81" s="41">
        <v>0</v>
      </c>
      <c r="J81" s="39">
        <f t="shared" si="2"/>
        <v>0</v>
      </c>
      <c r="K81" s="40">
        <f t="shared" si="3"/>
        <v>0</v>
      </c>
      <c r="L81" s="41">
        <f t="shared" si="4"/>
        <v>0</v>
      </c>
      <c r="M81" s="42"/>
    </row>
    <row r="82" spans="1:13" x14ac:dyDescent="0.3">
      <c r="A82" s="58" t="s">
        <v>239</v>
      </c>
      <c r="B82" s="59"/>
      <c r="C82" s="32"/>
      <c r="D82" s="32"/>
      <c r="E82" s="34">
        <f t="shared" si="9"/>
        <v>0</v>
      </c>
      <c r="F82" s="43" t="str">
        <f t="shared" si="0"/>
        <v>COMPRAR</v>
      </c>
      <c r="G82" s="48">
        <f t="shared" si="1"/>
        <v>-1</v>
      </c>
      <c r="H82" s="60">
        <v>100</v>
      </c>
      <c r="I82" s="41">
        <v>0</v>
      </c>
      <c r="J82" s="39">
        <f t="shared" si="2"/>
        <v>0</v>
      </c>
      <c r="K82" s="40">
        <f t="shared" si="3"/>
        <v>0</v>
      </c>
      <c r="L82" s="41">
        <f t="shared" si="4"/>
        <v>0</v>
      </c>
      <c r="M82" s="42"/>
    </row>
    <row r="83" spans="1:13" x14ac:dyDescent="0.3">
      <c r="A83" s="58" t="s">
        <v>240</v>
      </c>
      <c r="B83" s="59"/>
      <c r="C83" s="32"/>
      <c r="D83" s="32"/>
      <c r="E83" s="34">
        <f t="shared" si="9"/>
        <v>0</v>
      </c>
      <c r="F83" s="43" t="str">
        <f t="shared" si="0"/>
        <v>COMPRAR</v>
      </c>
      <c r="G83" s="48">
        <f t="shared" si="1"/>
        <v>-1</v>
      </c>
      <c r="H83" s="60">
        <v>100</v>
      </c>
      <c r="I83" s="41">
        <v>0</v>
      </c>
      <c r="J83" s="39">
        <f t="shared" si="2"/>
        <v>0</v>
      </c>
      <c r="K83" s="40">
        <f t="shared" si="3"/>
        <v>0</v>
      </c>
      <c r="L83" s="41">
        <f t="shared" si="4"/>
        <v>0</v>
      </c>
      <c r="M83" s="29"/>
    </row>
    <row r="84" spans="1:13" x14ac:dyDescent="0.3">
      <c r="A84" s="58" t="s">
        <v>241</v>
      </c>
      <c r="B84" s="59"/>
      <c r="C84" s="32"/>
      <c r="D84" s="32"/>
      <c r="E84" s="34">
        <f t="shared" si="9"/>
        <v>0</v>
      </c>
      <c r="F84" s="43" t="str">
        <f t="shared" si="0"/>
        <v>COMPRAR</v>
      </c>
      <c r="G84" s="48">
        <f t="shared" si="1"/>
        <v>-1</v>
      </c>
      <c r="H84" s="60">
        <v>100</v>
      </c>
      <c r="I84" s="41">
        <v>0</v>
      </c>
      <c r="J84" s="39">
        <f t="shared" si="2"/>
        <v>0</v>
      </c>
      <c r="K84" s="40">
        <f t="shared" si="3"/>
        <v>0</v>
      </c>
      <c r="L84" s="41">
        <f t="shared" si="4"/>
        <v>0</v>
      </c>
      <c r="M84" s="29"/>
    </row>
    <row r="85" spans="1:13" x14ac:dyDescent="0.3">
      <c r="A85" s="58" t="s">
        <v>242</v>
      </c>
      <c r="B85" s="59"/>
      <c r="C85" s="32"/>
      <c r="D85" s="32"/>
      <c r="E85" s="34">
        <f t="shared" si="9"/>
        <v>0</v>
      </c>
      <c r="F85" s="43" t="str">
        <f t="shared" si="0"/>
        <v>COMPRAR</v>
      </c>
      <c r="G85" s="48">
        <f t="shared" si="1"/>
        <v>-1</v>
      </c>
      <c r="H85" s="60">
        <v>100</v>
      </c>
      <c r="I85" s="41">
        <v>0</v>
      </c>
      <c r="J85" s="39">
        <f t="shared" si="2"/>
        <v>0</v>
      </c>
      <c r="K85" s="40">
        <f t="shared" si="3"/>
        <v>0</v>
      </c>
      <c r="L85" s="41">
        <f t="shared" si="4"/>
        <v>0</v>
      </c>
      <c r="M85" s="29"/>
    </row>
    <row r="86" spans="1:13" x14ac:dyDescent="0.3">
      <c r="A86" s="58" t="s">
        <v>243</v>
      </c>
      <c r="B86" s="59"/>
      <c r="C86" s="32"/>
      <c r="D86" s="32"/>
      <c r="E86" s="34">
        <f t="shared" si="9"/>
        <v>0</v>
      </c>
      <c r="F86" s="43" t="str">
        <f t="shared" si="0"/>
        <v>COMPRAR</v>
      </c>
      <c r="G86" s="48">
        <f t="shared" si="1"/>
        <v>-1</v>
      </c>
      <c r="H86" s="60">
        <v>100</v>
      </c>
      <c r="I86" s="41">
        <v>0</v>
      </c>
      <c r="J86" s="39">
        <f t="shared" si="2"/>
        <v>0</v>
      </c>
      <c r="K86" s="40">
        <f t="shared" si="3"/>
        <v>0</v>
      </c>
      <c r="L86" s="41">
        <f t="shared" si="4"/>
        <v>0</v>
      </c>
      <c r="M86" s="29"/>
    </row>
  </sheetData>
  <mergeCells count="14">
    <mergeCell ref="J4:J5"/>
    <mergeCell ref="K4:K5"/>
    <mergeCell ref="L4:L5"/>
    <mergeCell ref="A1:J3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K1:O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7" r:id="rId3" name="Drop Down 5">
              <controlPr defaultSize="0" autoLine="0" autoPict="0">
                <anchor moveWithCells="1">
                  <from>
                    <xdr:col>13</xdr:col>
                    <xdr:colOff>30480</xdr:colOff>
                    <xdr:row>4</xdr:row>
                    <xdr:rowOff>0</xdr:rowOff>
                  </from>
                  <to>
                    <xdr:col>14</xdr:col>
                    <xdr:colOff>0</xdr:colOff>
                    <xdr:row>4</xdr:row>
                    <xdr:rowOff>434340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4" name="Drop Down 6">
              <controlPr defaultSize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13</xdr:col>
                    <xdr:colOff>1097280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5" name="Drop Down 7">
              <controlPr defaultSize="0" autoLine="0" autoPict="0">
                <anchor moveWithCells="1">
                  <from>
                    <xdr:col>13</xdr:col>
                    <xdr:colOff>15240</xdr:colOff>
                    <xdr:row>8</xdr:row>
                    <xdr:rowOff>22860</xdr:rowOff>
                  </from>
                  <to>
                    <xdr:col>13</xdr:col>
                    <xdr:colOff>1112520</xdr:colOff>
                    <xdr:row>8</xdr:row>
                    <xdr:rowOff>281940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0" r:id="rId6" name="Drop Down 8">
              <controlPr defaultSize="0" autoLine="0" autoPict="0">
                <anchor moveWithCells="1">
                  <from>
                    <xdr:col>13</xdr:col>
                    <xdr:colOff>15240</xdr:colOff>
                    <xdr:row>10</xdr:row>
                    <xdr:rowOff>22860</xdr:rowOff>
                  </from>
                  <to>
                    <xdr:col>13</xdr:col>
                    <xdr:colOff>1112520</xdr:colOff>
                    <xdr:row>10</xdr:row>
                    <xdr:rowOff>281940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7" name="Drop Down 9">
              <controlPr defaultSize="0" autoLine="0" autoPict="0">
                <anchor moveWithCells="1">
                  <from>
                    <xdr:col>13</xdr:col>
                    <xdr:colOff>15240</xdr:colOff>
                    <xdr:row>12</xdr:row>
                    <xdr:rowOff>15240</xdr:rowOff>
                  </from>
                  <to>
                    <xdr:col>13</xdr:col>
                    <xdr:colOff>1112520</xdr:colOff>
                    <xdr:row>12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195CA-83DA-43B5-8EA8-E66F03F03D17}">
  <sheetPr codeName="Planilha1"/>
  <dimension ref="A1:AY133"/>
  <sheetViews>
    <sheetView showGridLines="0" zoomScale="60" zoomScaleNormal="60" workbookViewId="0">
      <selection activeCell="F44" sqref="F44"/>
    </sheetView>
  </sheetViews>
  <sheetFormatPr defaultRowHeight="40.049999999999997" customHeight="1" x14ac:dyDescent="0.3"/>
  <cols>
    <col min="1" max="1" width="7.6640625" bestFit="1" customWidth="1"/>
    <col min="3" max="3" width="23.109375" customWidth="1"/>
    <col min="4" max="4" width="30.33203125" customWidth="1"/>
    <col min="5" max="5" width="10.88671875" bestFit="1" customWidth="1"/>
    <col min="6" max="6" width="10.33203125" bestFit="1" customWidth="1"/>
    <col min="7" max="7" width="17.33203125" bestFit="1" customWidth="1"/>
    <col min="8" max="8" width="19.109375" bestFit="1" customWidth="1"/>
    <col min="9" max="9" width="14.109375" bestFit="1" customWidth="1"/>
    <col min="10" max="10" width="16.5546875" bestFit="1" customWidth="1"/>
    <col min="11" max="11" width="16.109375" customWidth="1"/>
    <col min="13" max="13" width="15.88671875" bestFit="1" customWidth="1"/>
    <col min="14" max="14" width="16.33203125" customWidth="1"/>
    <col min="15" max="15" width="22" customWidth="1"/>
    <col min="26" max="26" width="3.88671875" hidden="1" customWidth="1"/>
    <col min="27" max="27" width="6.88671875" hidden="1" customWidth="1"/>
    <col min="28" max="28" width="0" hidden="1" customWidth="1"/>
    <col min="29" max="29" width="8" hidden="1" customWidth="1"/>
    <col min="30" max="30" width="4" style="228" hidden="1" customWidth="1"/>
    <col min="44" max="44" width="23.21875" customWidth="1"/>
    <col min="45" max="45" width="24" bestFit="1" customWidth="1"/>
    <col min="46" max="46" width="9" bestFit="1" customWidth="1"/>
    <col min="47" max="47" width="17.6640625" bestFit="1" customWidth="1"/>
    <col min="48" max="48" width="16.77734375" bestFit="1" customWidth="1"/>
    <col min="49" max="49" width="17.88671875" bestFit="1" customWidth="1"/>
    <col min="50" max="51" width="20.6640625" bestFit="1" customWidth="1"/>
  </cols>
  <sheetData>
    <row r="1" spans="1:30" ht="18" x14ac:dyDescent="0.3">
      <c r="A1" s="694" t="s">
        <v>244</v>
      </c>
      <c r="B1" s="694"/>
      <c r="C1" s="694"/>
      <c r="D1" s="695" t="s">
        <v>245</v>
      </c>
      <c r="E1" s="696"/>
      <c r="F1" s="696"/>
      <c r="G1" s="696"/>
      <c r="H1" s="696"/>
      <c r="I1" s="696"/>
      <c r="J1" s="696"/>
      <c r="K1" s="696"/>
      <c r="L1" s="697" t="s">
        <v>246</v>
      </c>
      <c r="M1" s="697"/>
      <c r="N1" s="683" t="s">
        <v>247</v>
      </c>
      <c r="O1" s="683"/>
      <c r="Z1" s="226" t="s">
        <v>248</v>
      </c>
      <c r="AA1" s="226" t="s">
        <v>249</v>
      </c>
      <c r="AD1" s="228">
        <v>1</v>
      </c>
    </row>
    <row r="2" spans="1:30" ht="18" x14ac:dyDescent="0.3">
      <c r="A2" s="694"/>
      <c r="B2" s="694"/>
      <c r="C2" s="694"/>
      <c r="D2" s="696"/>
      <c r="E2" s="696"/>
      <c r="F2" s="696"/>
      <c r="G2" s="696"/>
      <c r="H2" s="696"/>
      <c r="I2" s="696"/>
      <c r="J2" s="696"/>
      <c r="K2" s="696"/>
      <c r="L2" s="684"/>
      <c r="M2" s="684"/>
      <c r="N2" s="685"/>
      <c r="O2" s="685"/>
      <c r="Z2" s="226" t="s">
        <v>250</v>
      </c>
      <c r="AA2" s="227"/>
      <c r="AD2" s="228">
        <v>2</v>
      </c>
    </row>
    <row r="3" spans="1:30" ht="18" x14ac:dyDescent="0.3">
      <c r="A3" s="686" t="s">
        <v>251</v>
      </c>
      <c r="B3" s="686"/>
      <c r="C3" s="686"/>
      <c r="D3" s="687" t="s">
        <v>252</v>
      </c>
      <c r="E3" s="687"/>
      <c r="F3" s="687"/>
      <c r="G3" s="687"/>
      <c r="H3" s="687"/>
      <c r="I3" s="687"/>
      <c r="J3" s="687"/>
      <c r="K3" s="687"/>
      <c r="L3" s="687"/>
      <c r="M3" s="687"/>
      <c r="N3" s="687"/>
      <c r="O3" s="687"/>
      <c r="Z3" s="226" t="s">
        <v>253</v>
      </c>
      <c r="AA3" s="227"/>
      <c r="AD3" s="228">
        <v>3</v>
      </c>
    </row>
    <row r="4" spans="1:30" ht="18" x14ac:dyDescent="0.3">
      <c r="A4" s="686"/>
      <c r="B4" s="686"/>
      <c r="C4" s="686"/>
      <c r="D4" s="687"/>
      <c r="E4" s="687"/>
      <c r="F4" s="687"/>
      <c r="G4" s="687"/>
      <c r="H4" s="687"/>
      <c r="I4" s="687"/>
      <c r="J4" s="687"/>
      <c r="K4" s="687"/>
      <c r="L4" s="687"/>
      <c r="M4" s="687"/>
      <c r="N4" s="687"/>
      <c r="O4" s="687"/>
      <c r="Z4" s="226" t="s">
        <v>254</v>
      </c>
      <c r="AA4" s="227"/>
      <c r="AD4" s="228">
        <v>4</v>
      </c>
    </row>
    <row r="5" spans="1:30" ht="18" x14ac:dyDescent="0.3">
      <c r="A5" s="688" t="s">
        <v>255</v>
      </c>
      <c r="B5" s="688"/>
      <c r="C5" s="688" t="s">
        <v>256</v>
      </c>
      <c r="D5" s="687"/>
      <c r="E5" s="687"/>
      <c r="F5" s="687"/>
      <c r="G5" s="687"/>
      <c r="H5" s="687"/>
      <c r="I5" s="687"/>
      <c r="J5" s="687"/>
      <c r="K5" s="687"/>
      <c r="L5" s="687"/>
      <c r="M5" s="687"/>
      <c r="N5" s="687"/>
      <c r="O5" s="687"/>
      <c r="Z5" s="226" t="s">
        <v>257</v>
      </c>
      <c r="AA5" s="227"/>
      <c r="AD5" s="228">
        <v>5</v>
      </c>
    </row>
    <row r="6" spans="1:30" ht="18" x14ac:dyDescent="0.3">
      <c r="A6" s="688"/>
      <c r="B6" s="688"/>
      <c r="C6" s="688"/>
      <c r="D6" s="687" t="s">
        <v>258</v>
      </c>
      <c r="E6" s="689"/>
      <c r="F6" s="689"/>
      <c r="G6" s="690" t="s">
        <v>259</v>
      </c>
      <c r="H6" s="690"/>
      <c r="I6" s="690"/>
      <c r="J6" s="690"/>
      <c r="K6" s="690"/>
      <c r="L6" s="691" t="s">
        <v>260</v>
      </c>
      <c r="M6" s="691"/>
      <c r="N6" s="691"/>
      <c r="O6" s="691"/>
      <c r="Z6" s="226" t="s">
        <v>261</v>
      </c>
      <c r="AA6" s="227"/>
      <c r="AD6" s="228">
        <v>6</v>
      </c>
    </row>
    <row r="7" spans="1:30" ht="18" x14ac:dyDescent="0.3">
      <c r="A7" s="688"/>
      <c r="B7" s="688"/>
      <c r="C7" s="688"/>
      <c r="D7" s="689"/>
      <c r="E7" s="689"/>
      <c r="F7" s="689"/>
      <c r="G7" s="692"/>
      <c r="H7" s="692"/>
      <c r="I7" s="692"/>
      <c r="J7" s="692"/>
      <c r="K7" s="692"/>
      <c r="L7" s="693"/>
      <c r="M7" s="693"/>
      <c r="N7" s="693"/>
      <c r="O7" s="693"/>
      <c r="Z7" s="226" t="s">
        <v>262</v>
      </c>
      <c r="AA7" s="227"/>
      <c r="AD7" s="228">
        <v>7</v>
      </c>
    </row>
    <row r="8" spans="1:30" ht="18" x14ac:dyDescent="0.3">
      <c r="A8" s="681" t="s">
        <v>263</v>
      </c>
      <c r="B8" s="681"/>
      <c r="C8" s="681"/>
      <c r="D8" s="681"/>
      <c r="E8" s="460"/>
      <c r="F8" s="460"/>
      <c r="G8" s="460"/>
      <c r="H8" s="460"/>
      <c r="I8" s="460"/>
      <c r="J8" s="460"/>
      <c r="K8" s="8"/>
      <c r="O8" s="180"/>
      <c r="Z8" s="226" t="s">
        <v>264</v>
      </c>
      <c r="AA8" s="227"/>
      <c r="AD8" s="228">
        <v>8</v>
      </c>
    </row>
    <row r="9" spans="1:30" ht="18" x14ac:dyDescent="0.3">
      <c r="A9" s="681" t="s">
        <v>265</v>
      </c>
      <c r="B9" s="681" t="s">
        <v>266</v>
      </c>
      <c r="C9" s="681"/>
      <c r="D9" s="681"/>
      <c r="E9" s="460"/>
      <c r="F9" s="460"/>
      <c r="G9" s="460"/>
      <c r="H9" s="460"/>
      <c r="I9" s="460"/>
      <c r="J9" s="460"/>
      <c r="K9" s="8"/>
      <c r="O9" s="179"/>
      <c r="Z9" s="226" t="s">
        <v>267</v>
      </c>
      <c r="AA9" s="227"/>
      <c r="AD9" s="228">
        <v>9</v>
      </c>
    </row>
    <row r="10" spans="1:30" ht="18" x14ac:dyDescent="0.3">
      <c r="A10" s="681"/>
      <c r="B10" s="681"/>
      <c r="C10" s="681"/>
      <c r="D10" s="681"/>
      <c r="E10" s="460"/>
      <c r="F10" s="460"/>
      <c r="G10" s="460"/>
      <c r="H10" s="460"/>
      <c r="I10" s="460"/>
      <c r="J10" s="460"/>
      <c r="K10" s="8"/>
      <c r="O10" s="179"/>
      <c r="Z10" s="226" t="s">
        <v>268</v>
      </c>
      <c r="AA10" s="227"/>
      <c r="AD10" s="228">
        <v>10</v>
      </c>
    </row>
    <row r="11" spans="1:30" ht="18" x14ac:dyDescent="0.3">
      <c r="A11" s="682"/>
      <c r="B11" s="682"/>
      <c r="C11" s="682"/>
      <c r="D11" s="682"/>
      <c r="E11" s="460"/>
      <c r="F11" s="460"/>
      <c r="G11" s="460"/>
      <c r="H11" s="460"/>
      <c r="I11" s="460"/>
      <c r="J11" s="460"/>
      <c r="O11" s="179"/>
      <c r="AD11" s="228">
        <v>11</v>
      </c>
    </row>
    <row r="12" spans="1:30" ht="40.049999999999997" customHeight="1" x14ac:dyDescent="0.3">
      <c r="A12" s="184" t="s">
        <v>269</v>
      </c>
      <c r="B12" s="680" t="s">
        <v>371</v>
      </c>
      <c r="C12" s="680"/>
      <c r="D12" s="680"/>
      <c r="E12" s="185" t="s">
        <v>270</v>
      </c>
      <c r="F12" s="185" t="s">
        <v>271</v>
      </c>
      <c r="G12" s="185" t="s">
        <v>272</v>
      </c>
      <c r="H12" s="185" t="s">
        <v>273</v>
      </c>
      <c r="I12" s="186" t="s">
        <v>274</v>
      </c>
      <c r="J12" s="186" t="s">
        <v>275</v>
      </c>
      <c r="AD12" s="228">
        <v>12</v>
      </c>
    </row>
    <row r="13" spans="1:30" ht="40.049999999999997" customHeight="1" x14ac:dyDescent="0.3">
      <c r="A13" s="181" t="s">
        <v>276</v>
      </c>
      <c r="B13" s="678" t="s">
        <v>277</v>
      </c>
      <c r="C13" s="678"/>
      <c r="D13" s="678"/>
      <c r="E13" s="182" t="s">
        <v>268</v>
      </c>
      <c r="F13" s="183">
        <v>5</v>
      </c>
      <c r="G13" s="189">
        <v>3.6</v>
      </c>
      <c r="H13" s="191">
        <f>F13*G13</f>
        <v>18</v>
      </c>
      <c r="I13" s="188">
        <f>SUM(H13:H45)</f>
        <v>1188.5999999999999</v>
      </c>
      <c r="J13" s="187">
        <f>(I13*10)/100+I13</f>
        <v>1307.4599999999998</v>
      </c>
      <c r="AD13" s="228">
        <v>13</v>
      </c>
    </row>
    <row r="14" spans="1:30" ht="40.049999999999997" customHeight="1" x14ac:dyDescent="0.3">
      <c r="A14" s="176" t="s">
        <v>276</v>
      </c>
      <c r="B14" s="677" t="s">
        <v>278</v>
      </c>
      <c r="C14" s="677"/>
      <c r="D14" s="677"/>
      <c r="E14" s="182" t="s">
        <v>268</v>
      </c>
      <c r="F14" s="175">
        <v>5</v>
      </c>
      <c r="G14" s="190">
        <v>15</v>
      </c>
      <c r="H14" s="191">
        <f t="shared" ref="H14:H22" si="0">F14*G14</f>
        <v>75</v>
      </c>
      <c r="AD14" s="228">
        <v>14</v>
      </c>
    </row>
    <row r="15" spans="1:30" ht="40.049999999999997" customHeight="1" x14ac:dyDescent="0.3">
      <c r="A15" s="176" t="s">
        <v>276</v>
      </c>
      <c r="B15" s="677" t="s">
        <v>279</v>
      </c>
      <c r="C15" s="677"/>
      <c r="D15" s="677"/>
      <c r="E15" s="182" t="s">
        <v>280</v>
      </c>
      <c r="F15" s="175">
        <v>2</v>
      </c>
      <c r="G15" s="190">
        <v>9</v>
      </c>
      <c r="H15" s="191">
        <f t="shared" si="0"/>
        <v>18</v>
      </c>
      <c r="AD15" s="228">
        <v>15</v>
      </c>
    </row>
    <row r="16" spans="1:30" ht="40.049999999999997" customHeight="1" x14ac:dyDescent="0.3">
      <c r="A16" s="176" t="s">
        <v>276</v>
      </c>
      <c r="B16" s="677" t="s">
        <v>281</v>
      </c>
      <c r="C16" s="677"/>
      <c r="D16" s="677"/>
      <c r="E16" s="182" t="s">
        <v>280</v>
      </c>
      <c r="F16" s="175">
        <f>F15*4</f>
        <v>8</v>
      </c>
      <c r="G16" s="190">
        <v>1.5</v>
      </c>
      <c r="H16" s="191">
        <f t="shared" si="0"/>
        <v>12</v>
      </c>
      <c r="AD16" s="228">
        <v>16</v>
      </c>
    </row>
    <row r="17" spans="1:30" ht="40.049999999999997" customHeight="1" x14ac:dyDescent="0.3">
      <c r="A17" s="176" t="s">
        <v>276</v>
      </c>
      <c r="B17" s="679" t="s">
        <v>282</v>
      </c>
      <c r="C17" s="679"/>
      <c r="D17" s="679"/>
      <c r="E17" s="182" t="s">
        <v>280</v>
      </c>
      <c r="F17" s="175">
        <v>5</v>
      </c>
      <c r="G17" s="190">
        <v>11</v>
      </c>
      <c r="H17" s="191">
        <f t="shared" si="0"/>
        <v>55</v>
      </c>
      <c r="AD17" s="228">
        <v>17</v>
      </c>
    </row>
    <row r="18" spans="1:30" ht="40.049999999999997" customHeight="1" x14ac:dyDescent="0.3">
      <c r="A18" s="176" t="s">
        <v>276</v>
      </c>
      <c r="B18" s="677" t="s">
        <v>283</v>
      </c>
      <c r="C18" s="677"/>
      <c r="D18" s="677"/>
      <c r="E18" s="182" t="s">
        <v>268</v>
      </c>
      <c r="F18" s="175">
        <f>F15*4</f>
        <v>8</v>
      </c>
      <c r="G18" s="190">
        <v>3.2</v>
      </c>
      <c r="H18" s="191">
        <f t="shared" si="0"/>
        <v>25.6</v>
      </c>
      <c r="AD18" s="228">
        <v>18</v>
      </c>
    </row>
    <row r="19" spans="1:30" ht="40.049999999999997" customHeight="1" x14ac:dyDescent="0.3">
      <c r="A19" s="176" t="s">
        <v>276</v>
      </c>
      <c r="B19" s="676" t="s">
        <v>284</v>
      </c>
      <c r="C19" s="676"/>
      <c r="D19" s="676"/>
      <c r="E19" s="182" t="s">
        <v>268</v>
      </c>
      <c r="F19" s="175">
        <v>1</v>
      </c>
      <c r="G19" s="190">
        <v>50</v>
      </c>
      <c r="H19" s="191">
        <f t="shared" si="0"/>
        <v>50</v>
      </c>
      <c r="AD19" s="228">
        <v>19</v>
      </c>
    </row>
    <row r="20" spans="1:30" ht="40.049999999999997" customHeight="1" x14ac:dyDescent="0.3">
      <c r="A20" s="176" t="s">
        <v>276</v>
      </c>
      <c r="B20" s="676" t="s">
        <v>285</v>
      </c>
      <c r="C20" s="676"/>
      <c r="D20" s="676"/>
      <c r="E20" s="182" t="s">
        <v>268</v>
      </c>
      <c r="F20" s="175">
        <v>2</v>
      </c>
      <c r="G20" s="190">
        <v>42</v>
      </c>
      <c r="H20" s="191">
        <f t="shared" si="0"/>
        <v>84</v>
      </c>
      <c r="K20" s="177"/>
      <c r="AD20" s="228">
        <v>20</v>
      </c>
    </row>
    <row r="21" spans="1:30" ht="40.049999999999997" customHeight="1" x14ac:dyDescent="0.3">
      <c r="A21" s="176" t="s">
        <v>276</v>
      </c>
      <c r="B21" s="676" t="s">
        <v>286</v>
      </c>
      <c r="C21" s="676"/>
      <c r="D21" s="676"/>
      <c r="E21" s="182" t="s">
        <v>268</v>
      </c>
      <c r="F21" s="175">
        <v>1</v>
      </c>
      <c r="G21" s="190">
        <v>55</v>
      </c>
      <c r="H21" s="191">
        <f t="shared" si="0"/>
        <v>55</v>
      </c>
      <c r="AD21" s="228">
        <v>21</v>
      </c>
    </row>
    <row r="22" spans="1:30" ht="40.049999999999997" customHeight="1" x14ac:dyDescent="0.3">
      <c r="A22" s="176" t="s">
        <v>276</v>
      </c>
      <c r="B22" s="676" t="s">
        <v>287</v>
      </c>
      <c r="C22" s="676"/>
      <c r="D22" s="676"/>
      <c r="E22" s="182" t="s">
        <v>268</v>
      </c>
      <c r="F22" s="175">
        <v>2</v>
      </c>
      <c r="G22" s="190">
        <v>60</v>
      </c>
      <c r="H22" s="191">
        <f t="shared" si="0"/>
        <v>120</v>
      </c>
      <c r="N22" s="178"/>
      <c r="AD22" s="228">
        <v>22</v>
      </c>
    </row>
    <row r="23" spans="1:30" ht="40.049999999999997" customHeight="1" x14ac:dyDescent="0.3">
      <c r="A23" s="176" t="s">
        <v>276</v>
      </c>
      <c r="B23" s="676" t="s">
        <v>288</v>
      </c>
      <c r="C23" s="676"/>
      <c r="D23" s="676"/>
      <c r="E23" s="182" t="s">
        <v>268</v>
      </c>
      <c r="F23" s="175">
        <v>30</v>
      </c>
      <c r="G23" s="190">
        <v>6</v>
      </c>
      <c r="H23" s="191">
        <f t="shared" ref="H23:H27" si="1">F23*G23</f>
        <v>180</v>
      </c>
      <c r="AD23" s="228">
        <v>23</v>
      </c>
    </row>
    <row r="24" spans="1:30" ht="40.049999999999997" customHeight="1" x14ac:dyDescent="0.3">
      <c r="A24" s="176" t="s">
        <v>276</v>
      </c>
      <c r="B24" s="676" t="s">
        <v>289</v>
      </c>
      <c r="C24" s="676"/>
      <c r="D24" s="676"/>
      <c r="E24" s="182" t="s">
        <v>268</v>
      </c>
      <c r="F24" s="175">
        <v>30</v>
      </c>
      <c r="G24" s="190">
        <v>6</v>
      </c>
      <c r="H24" s="191">
        <f t="shared" si="1"/>
        <v>180</v>
      </c>
      <c r="AD24" s="228">
        <v>24</v>
      </c>
    </row>
    <row r="25" spans="1:30" ht="40.049999999999997" customHeight="1" x14ac:dyDescent="0.3">
      <c r="A25" s="176" t="s">
        <v>276</v>
      </c>
      <c r="B25" s="676" t="s">
        <v>290</v>
      </c>
      <c r="C25" s="676"/>
      <c r="D25" s="676"/>
      <c r="E25" s="182" t="s">
        <v>268</v>
      </c>
      <c r="F25" s="175">
        <v>0</v>
      </c>
      <c r="G25" s="190">
        <v>4</v>
      </c>
      <c r="H25" s="191">
        <f t="shared" si="1"/>
        <v>0</v>
      </c>
      <c r="AD25" s="228">
        <v>25</v>
      </c>
    </row>
    <row r="26" spans="1:30" ht="40.049999999999997" customHeight="1" x14ac:dyDescent="0.3">
      <c r="A26" s="176" t="s">
        <v>276</v>
      </c>
      <c r="B26" s="676" t="s">
        <v>291</v>
      </c>
      <c r="C26" s="676"/>
      <c r="D26" s="676"/>
      <c r="E26" s="182" t="s">
        <v>268</v>
      </c>
      <c r="F26" s="175">
        <v>0</v>
      </c>
      <c r="G26" s="190">
        <v>4</v>
      </c>
      <c r="H26" s="191">
        <f>F26*G26</f>
        <v>0</v>
      </c>
      <c r="AD26" s="228">
        <v>26</v>
      </c>
    </row>
    <row r="27" spans="1:30" ht="40.049999999999997" customHeight="1" x14ac:dyDescent="0.3">
      <c r="A27" s="176" t="s">
        <v>276</v>
      </c>
      <c r="B27" s="676" t="s">
        <v>292</v>
      </c>
      <c r="C27" s="676"/>
      <c r="D27" s="676"/>
      <c r="E27" s="182" t="s">
        <v>268</v>
      </c>
      <c r="F27" s="175">
        <v>1</v>
      </c>
      <c r="G27" s="190">
        <v>180</v>
      </c>
      <c r="H27" s="191">
        <f t="shared" si="1"/>
        <v>180</v>
      </c>
      <c r="AD27" s="228">
        <v>27</v>
      </c>
    </row>
    <row r="28" spans="1:30" s="438" customFormat="1" ht="40.049999999999997" customHeight="1" x14ac:dyDescent="0.3">
      <c r="A28" s="176" t="s">
        <v>276</v>
      </c>
      <c r="B28" s="676" t="s">
        <v>379</v>
      </c>
      <c r="C28" s="676"/>
      <c r="D28" s="676"/>
      <c r="E28" s="182" t="s">
        <v>268</v>
      </c>
      <c r="F28" s="175">
        <v>1</v>
      </c>
      <c r="G28" s="190">
        <v>15</v>
      </c>
      <c r="H28" s="191">
        <f>F28*G28</f>
        <v>15</v>
      </c>
      <c r="AD28" s="228"/>
    </row>
    <row r="29" spans="1:30" s="438" customFormat="1" ht="40.049999999999997" customHeight="1" x14ac:dyDescent="0.3">
      <c r="A29" s="176" t="s">
        <v>276</v>
      </c>
      <c r="B29" s="676" t="s">
        <v>294</v>
      </c>
      <c r="C29" s="676"/>
      <c r="D29" s="676"/>
      <c r="E29" s="182" t="s">
        <v>268</v>
      </c>
      <c r="F29" s="175">
        <v>1</v>
      </c>
      <c r="G29" s="190">
        <v>27</v>
      </c>
      <c r="H29" s="191">
        <f t="shared" ref="H29" si="2">F29*G29</f>
        <v>27</v>
      </c>
      <c r="AD29" s="228"/>
    </row>
    <row r="30" spans="1:30" s="438" customFormat="1" ht="40.049999999999997" customHeight="1" x14ac:dyDescent="0.3">
      <c r="A30" s="176" t="s">
        <v>276</v>
      </c>
      <c r="B30" s="676" t="s">
        <v>295</v>
      </c>
      <c r="C30" s="676"/>
      <c r="D30" s="676"/>
      <c r="E30" s="182" t="s">
        <v>268</v>
      </c>
      <c r="F30" s="175">
        <v>1</v>
      </c>
      <c r="G30" s="190">
        <v>4</v>
      </c>
      <c r="H30" s="191">
        <f>F30*G30</f>
        <v>4</v>
      </c>
      <c r="AD30" s="228"/>
    </row>
    <row r="31" spans="1:30" s="438" customFormat="1" ht="40.049999999999997" customHeight="1" x14ac:dyDescent="0.3">
      <c r="A31" s="176" t="s">
        <v>276</v>
      </c>
      <c r="B31" s="676" t="s">
        <v>296</v>
      </c>
      <c r="C31" s="676"/>
      <c r="D31" s="676"/>
      <c r="E31" s="182" t="s">
        <v>261</v>
      </c>
      <c r="F31" s="175">
        <v>1</v>
      </c>
      <c r="G31" s="190">
        <v>90</v>
      </c>
      <c r="H31" s="191">
        <f>F31*G31</f>
        <v>90</v>
      </c>
      <c r="AD31" s="228"/>
    </row>
    <row r="32" spans="1:30" s="438" customFormat="1" ht="40.049999999999997" customHeight="1" x14ac:dyDescent="0.3">
      <c r="A32" s="176" t="s">
        <v>276</v>
      </c>
      <c r="B32" s="698" t="s">
        <v>297</v>
      </c>
      <c r="C32" s="699"/>
      <c r="D32" s="700"/>
      <c r="E32" s="182" t="s">
        <v>268</v>
      </c>
      <c r="F32" s="175">
        <v>0</v>
      </c>
      <c r="G32" s="190">
        <v>5</v>
      </c>
      <c r="H32" s="191">
        <f>F32*G32</f>
        <v>0</v>
      </c>
      <c r="AD32" s="228"/>
    </row>
    <row r="33" spans="1:48" ht="40.049999999999997" customHeight="1" x14ac:dyDescent="0.3">
      <c r="A33" s="450" t="s">
        <v>276</v>
      </c>
      <c r="B33" s="702" t="s">
        <v>408</v>
      </c>
      <c r="C33" s="702"/>
      <c r="D33" s="702"/>
      <c r="E33" s="451" t="s">
        <v>261</v>
      </c>
      <c r="F33" s="452">
        <v>0</v>
      </c>
      <c r="G33" s="453">
        <v>700</v>
      </c>
      <c r="H33" s="454">
        <f t="shared" ref="H33:H37" si="3">F33*G33</f>
        <v>0</v>
      </c>
      <c r="AD33" s="228">
        <v>28</v>
      </c>
    </row>
    <row r="34" spans="1:48" s="353" customFormat="1" ht="40.049999999999997" customHeight="1" x14ac:dyDescent="0.3">
      <c r="A34" s="450" t="s">
        <v>276</v>
      </c>
      <c r="B34" s="702" t="s">
        <v>402</v>
      </c>
      <c r="C34" s="702"/>
      <c r="D34" s="702"/>
      <c r="E34" s="451" t="s">
        <v>261</v>
      </c>
      <c r="F34" s="452">
        <v>0</v>
      </c>
      <c r="G34" s="453">
        <v>1300</v>
      </c>
      <c r="H34" s="454">
        <f t="shared" si="3"/>
        <v>0</v>
      </c>
      <c r="J34"/>
      <c r="AD34" s="228"/>
    </row>
    <row r="35" spans="1:48" s="353" customFormat="1" ht="40.049999999999997" customHeight="1" x14ac:dyDescent="0.3">
      <c r="A35" s="450" t="s">
        <v>276</v>
      </c>
      <c r="B35" s="702" t="s">
        <v>403</v>
      </c>
      <c r="C35" s="702"/>
      <c r="D35" s="702"/>
      <c r="E35" s="451" t="s">
        <v>261</v>
      </c>
      <c r="F35" s="452">
        <v>0</v>
      </c>
      <c r="G35" s="453">
        <v>1900</v>
      </c>
      <c r="H35" s="454">
        <f t="shared" si="3"/>
        <v>0</v>
      </c>
      <c r="J35"/>
      <c r="AD35" s="228"/>
      <c r="AU35"/>
      <c r="AV35"/>
    </row>
    <row r="36" spans="1:48" s="353" customFormat="1" ht="40.049999999999997" customHeight="1" x14ac:dyDescent="0.3">
      <c r="A36" s="450" t="s">
        <v>276</v>
      </c>
      <c r="B36" s="702" t="s">
        <v>404</v>
      </c>
      <c r="C36" s="702"/>
      <c r="D36" s="702"/>
      <c r="E36" s="451" t="s">
        <v>261</v>
      </c>
      <c r="F36" s="452">
        <v>0</v>
      </c>
      <c r="G36" s="453">
        <v>2800</v>
      </c>
      <c r="H36" s="454">
        <f t="shared" si="3"/>
        <v>0</v>
      </c>
      <c r="J36"/>
      <c r="AD36" s="228"/>
    </row>
    <row r="37" spans="1:48" s="353" customFormat="1" ht="40.049999999999997" customHeight="1" thickBot="1" x14ac:dyDescent="0.35">
      <c r="A37" s="450" t="s">
        <v>276</v>
      </c>
      <c r="B37" s="702" t="s">
        <v>405</v>
      </c>
      <c r="C37" s="702"/>
      <c r="D37" s="702"/>
      <c r="E37" s="451" t="s">
        <v>261</v>
      </c>
      <c r="F37" s="452">
        <v>0</v>
      </c>
      <c r="G37" s="453">
        <v>3400</v>
      </c>
      <c r="H37" s="454">
        <f t="shared" si="3"/>
        <v>0</v>
      </c>
      <c r="I37"/>
      <c r="J37"/>
      <c r="K37"/>
      <c r="L37"/>
      <c r="AD37" s="228"/>
    </row>
    <row r="38" spans="1:48" s="353" customFormat="1" ht="40.049999999999997" customHeight="1" thickBot="1" x14ac:dyDescent="0.35">
      <c r="A38" s="426" t="s">
        <v>276</v>
      </c>
      <c r="B38" s="701" t="s">
        <v>490</v>
      </c>
      <c r="C38" s="701"/>
      <c r="D38" s="701"/>
      <c r="E38" s="430" t="s">
        <v>261</v>
      </c>
      <c r="F38" s="427">
        <v>0</v>
      </c>
      <c r="G38" s="428">
        <f>AX53+AY55+AY57+AX59+AY61+AY63</f>
        <v>309.61032000000006</v>
      </c>
      <c r="H38" s="425">
        <f>F38*G38</f>
        <v>0</v>
      </c>
      <c r="AD38" s="228"/>
    </row>
    <row r="39" spans="1:48" s="353" customFormat="1" ht="40.049999999999997" customHeight="1" x14ac:dyDescent="0.3">
      <c r="A39" s="455" t="s">
        <v>276</v>
      </c>
      <c r="B39" s="675" t="s">
        <v>471</v>
      </c>
      <c r="C39" s="675"/>
      <c r="D39" s="675"/>
      <c r="E39" s="182" t="s">
        <v>268</v>
      </c>
      <c r="F39" s="175">
        <v>0</v>
      </c>
      <c r="G39" s="190">
        <v>27000</v>
      </c>
      <c r="H39" s="191">
        <f t="shared" ref="H39:H44" si="4">F39*G39</f>
        <v>0</v>
      </c>
      <c r="AD39" s="228"/>
    </row>
    <row r="40" spans="1:48" s="353" customFormat="1" ht="40.049999999999997" customHeight="1" x14ac:dyDescent="0.3">
      <c r="A40" s="455" t="s">
        <v>276</v>
      </c>
      <c r="B40" s="675" t="s">
        <v>298</v>
      </c>
      <c r="C40" s="675"/>
      <c r="D40" s="675"/>
      <c r="E40" s="182" t="s">
        <v>268</v>
      </c>
      <c r="F40" s="175">
        <v>0</v>
      </c>
      <c r="G40" s="190">
        <v>3800</v>
      </c>
      <c r="H40" s="191">
        <f t="shared" si="4"/>
        <v>0</v>
      </c>
      <c r="AD40" s="228"/>
    </row>
    <row r="41" spans="1:48" ht="40.049999999999997" customHeight="1" x14ac:dyDescent="0.3">
      <c r="A41" s="455" t="s">
        <v>276</v>
      </c>
      <c r="B41" s="675" t="s">
        <v>472</v>
      </c>
      <c r="C41" s="675"/>
      <c r="D41" s="675"/>
      <c r="E41" s="182" t="s">
        <v>268</v>
      </c>
      <c r="F41" s="175">
        <v>0</v>
      </c>
      <c r="G41" s="190">
        <v>4000</v>
      </c>
      <c r="H41" s="191">
        <f t="shared" si="4"/>
        <v>0</v>
      </c>
      <c r="AD41" s="228">
        <v>29</v>
      </c>
    </row>
    <row r="42" spans="1:48" ht="40.049999999999997" customHeight="1" x14ac:dyDescent="0.3">
      <c r="A42" s="455" t="s">
        <v>276</v>
      </c>
      <c r="B42" s="675" t="s">
        <v>473</v>
      </c>
      <c r="C42" s="675"/>
      <c r="D42" s="675"/>
      <c r="E42" s="182" t="s">
        <v>268</v>
      </c>
      <c r="F42" s="175">
        <v>0</v>
      </c>
      <c r="G42" s="190">
        <v>4800</v>
      </c>
      <c r="H42" s="191">
        <f t="shared" si="4"/>
        <v>0</v>
      </c>
      <c r="AD42" s="228">
        <v>30</v>
      </c>
    </row>
    <row r="43" spans="1:48" ht="40.049999999999997" customHeight="1" x14ac:dyDescent="0.3">
      <c r="A43" s="455" t="s">
        <v>276</v>
      </c>
      <c r="B43" s="675" t="s">
        <v>474</v>
      </c>
      <c r="C43" s="675"/>
      <c r="D43" s="675"/>
      <c r="E43" s="182" t="s">
        <v>268</v>
      </c>
      <c r="F43" s="175">
        <v>0</v>
      </c>
      <c r="G43" s="190">
        <v>5580</v>
      </c>
      <c r="H43" s="191">
        <f t="shared" si="4"/>
        <v>0</v>
      </c>
      <c r="AD43" s="228">
        <v>31</v>
      </c>
    </row>
    <row r="44" spans="1:48" ht="40.049999999999997" customHeight="1" x14ac:dyDescent="0.3">
      <c r="A44" s="455" t="s">
        <v>276</v>
      </c>
      <c r="B44" s="675" t="s">
        <v>475</v>
      </c>
      <c r="C44" s="675"/>
      <c r="D44" s="675"/>
      <c r="E44" s="182" t="s">
        <v>268</v>
      </c>
      <c r="F44" s="175">
        <v>0</v>
      </c>
      <c r="G44" s="190">
        <v>12000</v>
      </c>
      <c r="H44" s="191">
        <f t="shared" si="4"/>
        <v>0</v>
      </c>
      <c r="AD44" s="228">
        <v>32</v>
      </c>
    </row>
    <row r="45" spans="1:48" ht="40.049999999999997" customHeight="1" x14ac:dyDescent="0.3">
      <c r="A45" s="455" t="s">
        <v>276</v>
      </c>
      <c r="B45" s="675" t="s">
        <v>377</v>
      </c>
      <c r="C45" s="675"/>
      <c r="D45" s="675"/>
      <c r="E45" s="182" t="s">
        <v>268</v>
      </c>
      <c r="F45" s="175">
        <v>0</v>
      </c>
      <c r="G45" s="190">
        <v>13000</v>
      </c>
      <c r="H45" s="191">
        <f>F45*G45</f>
        <v>0</v>
      </c>
    </row>
    <row r="46" spans="1:48" ht="40.049999999999997" customHeight="1" x14ac:dyDescent="0.3">
      <c r="A46" s="184" t="s">
        <v>269</v>
      </c>
      <c r="B46" s="680" t="s">
        <v>370</v>
      </c>
      <c r="C46" s="680"/>
      <c r="D46" s="680"/>
      <c r="E46" s="185" t="s">
        <v>270</v>
      </c>
      <c r="F46" s="185" t="s">
        <v>271</v>
      </c>
      <c r="G46" s="185" t="s">
        <v>272</v>
      </c>
      <c r="H46" s="185" t="s">
        <v>273</v>
      </c>
      <c r="I46" s="186" t="s">
        <v>274</v>
      </c>
      <c r="J46" s="186" t="s">
        <v>275</v>
      </c>
      <c r="AD46" s="228">
        <v>34</v>
      </c>
    </row>
    <row r="47" spans="1:48" ht="40.049999999999997" customHeight="1" x14ac:dyDescent="0.3">
      <c r="A47" s="181" t="s">
        <v>276</v>
      </c>
      <c r="B47" s="678" t="s">
        <v>277</v>
      </c>
      <c r="C47" s="678"/>
      <c r="D47" s="678"/>
      <c r="E47" s="182" t="s">
        <v>268</v>
      </c>
      <c r="F47" s="183">
        <v>20</v>
      </c>
      <c r="G47" s="189">
        <v>3.6</v>
      </c>
      <c r="H47" s="191">
        <f>F47*G47</f>
        <v>72</v>
      </c>
      <c r="I47" s="188">
        <f>SUM(H47:H67)</f>
        <v>1697.8</v>
      </c>
      <c r="J47" s="187">
        <f>(I47*10)/100+I47</f>
        <v>1867.58</v>
      </c>
      <c r="AD47" s="228">
        <v>35</v>
      </c>
    </row>
    <row r="48" spans="1:48" ht="40.049999999999997" customHeight="1" x14ac:dyDescent="0.3">
      <c r="A48" s="176" t="s">
        <v>276</v>
      </c>
      <c r="B48" s="677" t="s">
        <v>278</v>
      </c>
      <c r="C48" s="677"/>
      <c r="D48" s="677"/>
      <c r="E48" s="182" t="s">
        <v>268</v>
      </c>
      <c r="F48" s="175">
        <v>2</v>
      </c>
      <c r="G48" s="190">
        <v>15</v>
      </c>
      <c r="H48" s="191">
        <f t="shared" ref="H48:H59" si="5">F48*G48</f>
        <v>30</v>
      </c>
      <c r="AD48" s="228">
        <v>36</v>
      </c>
    </row>
    <row r="49" spans="1:51" ht="40.049999999999997" customHeight="1" x14ac:dyDescent="0.3">
      <c r="A49" s="176" t="s">
        <v>276</v>
      </c>
      <c r="B49" s="677" t="s">
        <v>279</v>
      </c>
      <c r="C49" s="677"/>
      <c r="D49" s="677"/>
      <c r="E49" s="182" t="s">
        <v>280</v>
      </c>
      <c r="F49" s="175">
        <v>6</v>
      </c>
      <c r="G49" s="190">
        <v>9</v>
      </c>
      <c r="H49" s="191">
        <f t="shared" si="5"/>
        <v>54</v>
      </c>
    </row>
    <row r="50" spans="1:51" ht="40.049999999999997" customHeight="1" x14ac:dyDescent="0.3">
      <c r="A50" s="176" t="s">
        <v>276</v>
      </c>
      <c r="B50" s="677" t="s">
        <v>281</v>
      </c>
      <c r="C50" s="677"/>
      <c r="D50" s="677"/>
      <c r="E50" s="182" t="s">
        <v>280</v>
      </c>
      <c r="F50" s="175">
        <f>F49*4</f>
        <v>24</v>
      </c>
      <c r="G50" s="190">
        <v>1.5</v>
      </c>
      <c r="H50" s="191">
        <f t="shared" si="5"/>
        <v>36</v>
      </c>
    </row>
    <row r="51" spans="1:51" ht="40.049999999999997" customHeight="1" thickBot="1" x14ac:dyDescent="0.35">
      <c r="A51" s="176" t="s">
        <v>276</v>
      </c>
      <c r="B51" s="679" t="s">
        <v>282</v>
      </c>
      <c r="C51" s="679"/>
      <c r="D51" s="679"/>
      <c r="E51" s="182" t="s">
        <v>280</v>
      </c>
      <c r="F51" s="175">
        <v>5</v>
      </c>
      <c r="G51" s="190">
        <v>11</v>
      </c>
      <c r="H51" s="191">
        <f t="shared" si="5"/>
        <v>55</v>
      </c>
    </row>
    <row r="52" spans="1:51" ht="40.049999999999997" customHeight="1" x14ac:dyDescent="0.3">
      <c r="A52" s="176" t="s">
        <v>276</v>
      </c>
      <c r="B52" s="677" t="s">
        <v>283</v>
      </c>
      <c r="C52" s="677"/>
      <c r="D52" s="677"/>
      <c r="E52" s="182" t="s">
        <v>268</v>
      </c>
      <c r="F52" s="175">
        <f>F49*4</f>
        <v>24</v>
      </c>
      <c r="G52" s="190">
        <v>3.2</v>
      </c>
      <c r="H52" s="191">
        <f t="shared" si="5"/>
        <v>76.800000000000011</v>
      </c>
      <c r="AO52" s="657" t="s">
        <v>481</v>
      </c>
      <c r="AP52" s="659" t="s">
        <v>484</v>
      </c>
      <c r="AQ52" s="659"/>
      <c r="AR52" s="673"/>
      <c r="AS52" s="417" t="s">
        <v>479</v>
      </c>
      <c r="AT52" s="418" t="s">
        <v>257</v>
      </c>
      <c r="AU52" s="418" t="s">
        <v>253</v>
      </c>
      <c r="AV52" s="418" t="s">
        <v>254</v>
      </c>
      <c r="AW52" s="418" t="s">
        <v>486</v>
      </c>
      <c r="AX52" s="419" t="s">
        <v>487</v>
      </c>
      <c r="AY52" s="353"/>
    </row>
    <row r="53" spans="1:51" ht="40.049999999999997" customHeight="1" thickBot="1" x14ac:dyDescent="0.35">
      <c r="A53" s="176" t="s">
        <v>276</v>
      </c>
      <c r="B53" s="676" t="s">
        <v>284</v>
      </c>
      <c r="C53" s="676"/>
      <c r="D53" s="676"/>
      <c r="E53" s="182" t="s">
        <v>268</v>
      </c>
      <c r="F53" s="175">
        <v>1</v>
      </c>
      <c r="G53" s="190">
        <v>50</v>
      </c>
      <c r="H53" s="191">
        <f t="shared" si="5"/>
        <v>50</v>
      </c>
      <c r="AO53" s="658"/>
      <c r="AP53" s="660"/>
      <c r="AQ53" s="660"/>
      <c r="AR53" s="674"/>
      <c r="AS53" s="433">
        <v>2</v>
      </c>
      <c r="AT53" s="413">
        <v>7.0680000000000007E-2</v>
      </c>
      <c r="AU53" s="413">
        <v>2</v>
      </c>
      <c r="AV53" s="413">
        <f>AT53*AU53</f>
        <v>0.14136000000000001</v>
      </c>
      <c r="AW53" s="414">
        <v>331</v>
      </c>
      <c r="AX53" s="415">
        <f>(AV53*AW53)*AS53</f>
        <v>93.580320000000015</v>
      </c>
      <c r="AY53" s="353"/>
    </row>
    <row r="54" spans="1:51" ht="40.049999999999997" customHeight="1" x14ac:dyDescent="0.3">
      <c r="A54" s="176" t="s">
        <v>276</v>
      </c>
      <c r="B54" s="676" t="s">
        <v>285</v>
      </c>
      <c r="C54" s="676"/>
      <c r="D54" s="676"/>
      <c r="E54" s="182" t="s">
        <v>268</v>
      </c>
      <c r="F54" s="175">
        <v>1</v>
      </c>
      <c r="G54" s="190">
        <v>42</v>
      </c>
      <c r="H54" s="191">
        <f t="shared" si="5"/>
        <v>42</v>
      </c>
      <c r="AO54" s="657" t="s">
        <v>481</v>
      </c>
      <c r="AP54" s="659" t="s">
        <v>482</v>
      </c>
      <c r="AQ54" s="659"/>
      <c r="AR54" s="659"/>
      <c r="AS54" s="418" t="s">
        <v>489</v>
      </c>
      <c r="AT54" s="418" t="s">
        <v>268</v>
      </c>
      <c r="AU54" s="418" t="s">
        <v>480</v>
      </c>
      <c r="AV54" s="418" t="s">
        <v>488</v>
      </c>
      <c r="AW54" s="418" t="s">
        <v>262</v>
      </c>
      <c r="AX54" s="418" t="s">
        <v>486</v>
      </c>
      <c r="AY54" s="419" t="s">
        <v>487</v>
      </c>
    </row>
    <row r="55" spans="1:51" ht="40.049999999999997" customHeight="1" thickBot="1" x14ac:dyDescent="0.35">
      <c r="A55" s="176" t="s">
        <v>276</v>
      </c>
      <c r="B55" s="676" t="s">
        <v>286</v>
      </c>
      <c r="C55" s="676"/>
      <c r="D55" s="676"/>
      <c r="E55" s="182" t="s">
        <v>268</v>
      </c>
      <c r="F55" s="175">
        <v>0</v>
      </c>
      <c r="G55" s="190">
        <v>55</v>
      </c>
      <c r="H55" s="191">
        <f t="shared" si="5"/>
        <v>0</v>
      </c>
      <c r="AO55" s="658"/>
      <c r="AP55" s="660"/>
      <c r="AQ55" s="660"/>
      <c r="AR55" s="660"/>
      <c r="AS55" s="416">
        <v>2</v>
      </c>
      <c r="AT55" s="413">
        <v>2</v>
      </c>
      <c r="AU55" s="413">
        <v>0.4</v>
      </c>
      <c r="AV55" s="416">
        <v>4</v>
      </c>
      <c r="AW55" s="413">
        <f>((AT55*AV55)*AU55)*AS55</f>
        <v>6.4</v>
      </c>
      <c r="AX55" s="414">
        <v>11.9</v>
      </c>
      <c r="AY55" s="415">
        <f>(AW55*AX55)</f>
        <v>76.160000000000011</v>
      </c>
    </row>
    <row r="56" spans="1:51" ht="40.049999999999997" customHeight="1" x14ac:dyDescent="0.3">
      <c r="A56" s="176" t="s">
        <v>276</v>
      </c>
      <c r="B56" s="676" t="s">
        <v>287</v>
      </c>
      <c r="C56" s="676"/>
      <c r="D56" s="676"/>
      <c r="E56" s="182" t="s">
        <v>268</v>
      </c>
      <c r="F56" s="175">
        <v>4</v>
      </c>
      <c r="G56" s="190">
        <v>60</v>
      </c>
      <c r="H56" s="191">
        <f t="shared" si="5"/>
        <v>240</v>
      </c>
      <c r="AO56" s="661" t="s">
        <v>481</v>
      </c>
      <c r="AP56" s="662" t="s">
        <v>483</v>
      </c>
      <c r="AQ56" s="662"/>
      <c r="AR56" s="663"/>
      <c r="AS56" s="431" t="s">
        <v>489</v>
      </c>
      <c r="AT56" s="429" t="s">
        <v>268</v>
      </c>
      <c r="AU56" s="429" t="s">
        <v>480</v>
      </c>
      <c r="AV56" s="429" t="s">
        <v>488</v>
      </c>
      <c r="AW56" s="429" t="s">
        <v>262</v>
      </c>
      <c r="AX56" s="429" t="s">
        <v>486</v>
      </c>
      <c r="AY56" s="432" t="s">
        <v>487</v>
      </c>
    </row>
    <row r="57" spans="1:51" ht="40.049999999999997" customHeight="1" thickBot="1" x14ac:dyDescent="0.35">
      <c r="A57" s="176" t="s">
        <v>276</v>
      </c>
      <c r="B57" s="676" t="s">
        <v>288</v>
      </c>
      <c r="C57" s="676"/>
      <c r="D57" s="676"/>
      <c r="E57" s="182" t="s">
        <v>268</v>
      </c>
      <c r="F57" s="175">
        <v>30</v>
      </c>
      <c r="G57" s="190">
        <v>6</v>
      </c>
      <c r="H57" s="191">
        <f t="shared" si="5"/>
        <v>180</v>
      </c>
      <c r="AO57" s="658"/>
      <c r="AP57" s="660"/>
      <c r="AQ57" s="660"/>
      <c r="AR57" s="664"/>
      <c r="AS57" s="416">
        <f>$F$38*2*0</f>
        <v>0</v>
      </c>
      <c r="AT57" s="413">
        <v>2</v>
      </c>
      <c r="AU57" s="413">
        <v>0.63</v>
      </c>
      <c r="AV57" s="416">
        <v>4</v>
      </c>
      <c r="AW57" s="413">
        <f>((AT57*AV57)*AU57)*AS57</f>
        <v>0</v>
      </c>
      <c r="AX57" s="414">
        <v>11.9</v>
      </c>
      <c r="AY57" s="415">
        <f>(AW57*AX57)</f>
        <v>0</v>
      </c>
    </row>
    <row r="58" spans="1:51" ht="40.049999999999997" customHeight="1" x14ac:dyDescent="0.3">
      <c r="A58" s="176" t="s">
        <v>276</v>
      </c>
      <c r="B58" s="676" t="s">
        <v>289</v>
      </c>
      <c r="C58" s="676"/>
      <c r="D58" s="676"/>
      <c r="E58" s="182" t="s">
        <v>268</v>
      </c>
      <c r="F58" s="175">
        <v>30</v>
      </c>
      <c r="G58" s="190">
        <v>6</v>
      </c>
      <c r="H58" s="191">
        <f t="shared" si="5"/>
        <v>180</v>
      </c>
      <c r="AO58" s="665" t="s">
        <v>481</v>
      </c>
      <c r="AP58" s="667" t="s">
        <v>485</v>
      </c>
      <c r="AQ58" s="667"/>
      <c r="AR58" s="668"/>
      <c r="AS58" s="421" t="s">
        <v>479</v>
      </c>
      <c r="AT58" s="422" t="s">
        <v>257</v>
      </c>
      <c r="AU58" s="422" t="s">
        <v>253</v>
      </c>
      <c r="AV58" s="422" t="s">
        <v>254</v>
      </c>
      <c r="AW58" s="422" t="s">
        <v>486</v>
      </c>
      <c r="AX58" s="423" t="s">
        <v>487</v>
      </c>
      <c r="AY58" s="353"/>
    </row>
    <row r="59" spans="1:51" ht="40.049999999999997" customHeight="1" thickBot="1" x14ac:dyDescent="0.35">
      <c r="A59" s="176" t="s">
        <v>276</v>
      </c>
      <c r="B59" s="676" t="s">
        <v>290</v>
      </c>
      <c r="C59" s="676"/>
      <c r="D59" s="676"/>
      <c r="E59" s="182" t="s">
        <v>268</v>
      </c>
      <c r="F59" s="175">
        <v>30</v>
      </c>
      <c r="G59" s="190">
        <v>4</v>
      </c>
      <c r="H59" s="191">
        <f t="shared" si="5"/>
        <v>120</v>
      </c>
      <c r="AO59" s="666"/>
      <c r="AP59" s="669"/>
      <c r="AQ59" s="669"/>
      <c r="AR59" s="670"/>
      <c r="AS59" s="416">
        <v>2</v>
      </c>
      <c r="AT59" s="411">
        <v>0.25</v>
      </c>
      <c r="AU59" s="411">
        <v>0.5</v>
      </c>
      <c r="AV59" s="411">
        <f>AT59*AU59</f>
        <v>0.125</v>
      </c>
      <c r="AW59" s="412">
        <v>331</v>
      </c>
      <c r="AX59" s="420">
        <f>(AV59*AW59)*AS59</f>
        <v>82.75</v>
      </c>
      <c r="AY59" s="353"/>
    </row>
    <row r="60" spans="1:51" ht="40.049999999999997" customHeight="1" x14ac:dyDescent="0.3">
      <c r="A60" s="176" t="s">
        <v>276</v>
      </c>
      <c r="B60" s="676" t="s">
        <v>291</v>
      </c>
      <c r="C60" s="676"/>
      <c r="D60" s="676"/>
      <c r="E60" s="182" t="s">
        <v>268</v>
      </c>
      <c r="F60" s="175">
        <v>30</v>
      </c>
      <c r="G60" s="190">
        <v>4</v>
      </c>
      <c r="H60" s="191">
        <f>F60*G60</f>
        <v>120</v>
      </c>
      <c r="AO60" s="665" t="s">
        <v>481</v>
      </c>
      <c r="AP60" s="667" t="s">
        <v>482</v>
      </c>
      <c r="AQ60" s="667"/>
      <c r="AR60" s="671"/>
      <c r="AS60" s="424" t="s">
        <v>489</v>
      </c>
      <c r="AT60" s="422" t="s">
        <v>268</v>
      </c>
      <c r="AU60" s="422" t="s">
        <v>480</v>
      </c>
      <c r="AV60" s="422" t="s">
        <v>488</v>
      </c>
      <c r="AW60" s="422" t="s">
        <v>262</v>
      </c>
      <c r="AX60" s="422" t="s">
        <v>486</v>
      </c>
      <c r="AY60" s="423" t="s">
        <v>487</v>
      </c>
    </row>
    <row r="61" spans="1:51" ht="40.049999999999997" customHeight="1" thickBot="1" x14ac:dyDescent="0.35">
      <c r="A61" s="176" t="s">
        <v>276</v>
      </c>
      <c r="B61" s="676" t="s">
        <v>292</v>
      </c>
      <c r="C61" s="676"/>
      <c r="D61" s="676"/>
      <c r="E61" s="182" t="s">
        <v>268</v>
      </c>
      <c r="F61" s="175">
        <v>1</v>
      </c>
      <c r="G61" s="190">
        <v>180</v>
      </c>
      <c r="H61" s="191">
        <f t="shared" ref="H61:H63" si="6">F61*G61</f>
        <v>180</v>
      </c>
      <c r="AO61" s="666"/>
      <c r="AP61" s="669"/>
      <c r="AQ61" s="669"/>
      <c r="AR61" s="672"/>
      <c r="AS61" s="416">
        <v>2</v>
      </c>
      <c r="AT61" s="413">
        <v>2</v>
      </c>
      <c r="AU61" s="413">
        <v>0.4</v>
      </c>
      <c r="AV61" s="416">
        <v>3</v>
      </c>
      <c r="AW61" s="413">
        <f>((AT61*AV61)*AU61)*AS61</f>
        <v>4.8000000000000007</v>
      </c>
      <c r="AX61" s="414">
        <v>11.9</v>
      </c>
      <c r="AY61" s="415">
        <f>(AW61*AX61)</f>
        <v>57.120000000000012</v>
      </c>
    </row>
    <row r="62" spans="1:51" ht="40.049999999999997" customHeight="1" x14ac:dyDescent="0.3">
      <c r="A62" s="176" t="s">
        <v>276</v>
      </c>
      <c r="B62" s="676" t="s">
        <v>293</v>
      </c>
      <c r="C62" s="676"/>
      <c r="D62" s="676"/>
      <c r="E62" s="182" t="s">
        <v>268</v>
      </c>
      <c r="F62" s="175">
        <v>1</v>
      </c>
      <c r="G62" s="190">
        <v>15</v>
      </c>
      <c r="H62" s="191">
        <f t="shared" si="6"/>
        <v>15</v>
      </c>
      <c r="AC62" s="174" t="s">
        <v>248</v>
      </c>
      <c r="AD62" s="229"/>
      <c r="AO62" s="665" t="s">
        <v>481</v>
      </c>
      <c r="AP62" s="667" t="s">
        <v>483</v>
      </c>
      <c r="AQ62" s="667"/>
      <c r="AR62" s="671"/>
      <c r="AS62" s="424" t="s">
        <v>489</v>
      </c>
      <c r="AT62" s="422" t="s">
        <v>268</v>
      </c>
      <c r="AU62" s="422" t="s">
        <v>480</v>
      </c>
      <c r="AV62" s="422" t="s">
        <v>488</v>
      </c>
      <c r="AW62" s="422" t="s">
        <v>262</v>
      </c>
      <c r="AX62" s="422" t="s">
        <v>486</v>
      </c>
      <c r="AY62" s="423" t="s">
        <v>487</v>
      </c>
    </row>
    <row r="63" spans="1:51" ht="40.049999999999997" customHeight="1" thickBot="1" x14ac:dyDescent="0.35">
      <c r="A63" s="176" t="s">
        <v>276</v>
      </c>
      <c r="B63" s="676" t="s">
        <v>294</v>
      </c>
      <c r="C63" s="676"/>
      <c r="D63" s="676"/>
      <c r="E63" s="182" t="s">
        <v>268</v>
      </c>
      <c r="F63" s="175">
        <v>1</v>
      </c>
      <c r="G63" s="190">
        <v>27</v>
      </c>
      <c r="H63" s="191">
        <f t="shared" si="6"/>
        <v>27</v>
      </c>
      <c r="AC63" s="174" t="s">
        <v>250</v>
      </c>
      <c r="AD63" s="230"/>
      <c r="AO63" s="666"/>
      <c r="AP63" s="669"/>
      <c r="AQ63" s="669"/>
      <c r="AR63" s="672"/>
      <c r="AS63" s="416">
        <f>$F$38*2*0</f>
        <v>0</v>
      </c>
      <c r="AT63" s="413">
        <v>2</v>
      </c>
      <c r="AU63" s="413">
        <v>0.63</v>
      </c>
      <c r="AV63" s="416">
        <v>3</v>
      </c>
      <c r="AW63" s="413">
        <f>((AT63*AV63)*AU63)*AS63</f>
        <v>0</v>
      </c>
      <c r="AX63" s="414">
        <v>11.9</v>
      </c>
      <c r="AY63" s="415">
        <f>(AW63*AX63)</f>
        <v>0</v>
      </c>
    </row>
    <row r="64" spans="1:51" ht="40.049999999999997" customHeight="1" x14ac:dyDescent="0.3">
      <c r="A64" s="176" t="s">
        <v>276</v>
      </c>
      <c r="B64" s="676" t="s">
        <v>295</v>
      </c>
      <c r="C64" s="676"/>
      <c r="D64" s="676"/>
      <c r="E64" s="182" t="s">
        <v>268</v>
      </c>
      <c r="F64" s="175">
        <v>10</v>
      </c>
      <c r="G64" s="190">
        <v>4</v>
      </c>
      <c r="H64" s="191">
        <f>F64*G64</f>
        <v>40</v>
      </c>
      <c r="AC64" s="174" t="s">
        <v>253</v>
      </c>
      <c r="AD64" s="230"/>
    </row>
    <row r="65" spans="1:30" ht="40.049999999999997" customHeight="1" x14ac:dyDescent="0.3">
      <c r="A65" s="176" t="s">
        <v>276</v>
      </c>
      <c r="B65" s="676" t="s">
        <v>296</v>
      </c>
      <c r="C65" s="676"/>
      <c r="D65" s="676"/>
      <c r="E65" s="182" t="s">
        <v>261</v>
      </c>
      <c r="F65" s="175">
        <v>2</v>
      </c>
      <c r="G65" s="190">
        <v>90</v>
      </c>
      <c r="H65" s="191">
        <f t="shared" ref="H65:H66" si="7">F65*G65</f>
        <v>180</v>
      </c>
      <c r="AC65" s="174" t="s">
        <v>254</v>
      </c>
      <c r="AD65" s="230"/>
    </row>
    <row r="66" spans="1:30" ht="40.049999999999997" customHeight="1" x14ac:dyDescent="0.3">
      <c r="A66" s="176" t="s">
        <v>276</v>
      </c>
      <c r="B66" s="676" t="s">
        <v>297</v>
      </c>
      <c r="C66" s="676"/>
      <c r="D66" s="676"/>
      <c r="E66" s="182" t="s">
        <v>268</v>
      </c>
      <c r="F66" s="175">
        <v>0</v>
      </c>
      <c r="G66" s="190">
        <v>5</v>
      </c>
      <c r="H66" s="191">
        <f t="shared" si="7"/>
        <v>0</v>
      </c>
      <c r="AC66" s="174" t="s">
        <v>257</v>
      </c>
      <c r="AD66" s="230"/>
    </row>
    <row r="67" spans="1:30" ht="40.049999999999997" customHeight="1" x14ac:dyDescent="0.3">
      <c r="A67" s="176" t="s">
        <v>276</v>
      </c>
      <c r="B67" s="676" t="s">
        <v>298</v>
      </c>
      <c r="C67" s="676"/>
      <c r="D67" s="676"/>
      <c r="E67" s="182" t="s">
        <v>268</v>
      </c>
      <c r="F67" s="175">
        <v>0</v>
      </c>
      <c r="G67" s="190">
        <v>6000</v>
      </c>
      <c r="H67" s="191">
        <f>F67*G67</f>
        <v>0</v>
      </c>
      <c r="AC67" s="174" t="s">
        <v>261</v>
      </c>
      <c r="AD67" s="230"/>
    </row>
    <row r="68" spans="1:30" ht="40.049999999999997" customHeight="1" x14ac:dyDescent="0.3">
      <c r="A68" s="184" t="s">
        <v>269</v>
      </c>
      <c r="B68" s="680" t="s">
        <v>372</v>
      </c>
      <c r="C68" s="680"/>
      <c r="D68" s="680"/>
      <c r="E68" s="185" t="s">
        <v>270</v>
      </c>
      <c r="F68" s="185" t="s">
        <v>271</v>
      </c>
      <c r="G68" s="185" t="s">
        <v>272</v>
      </c>
      <c r="H68" s="185" t="s">
        <v>273</v>
      </c>
      <c r="I68" s="186" t="s">
        <v>274</v>
      </c>
      <c r="J68" s="186" t="s">
        <v>275</v>
      </c>
      <c r="AC68" s="174" t="s">
        <v>262</v>
      </c>
      <c r="AD68" s="230"/>
    </row>
    <row r="69" spans="1:30" ht="40.049999999999997" customHeight="1" x14ac:dyDescent="0.3">
      <c r="A69" s="181" t="s">
        <v>276</v>
      </c>
      <c r="B69" s="678" t="s">
        <v>277</v>
      </c>
      <c r="C69" s="678"/>
      <c r="D69" s="678"/>
      <c r="E69" s="182" t="s">
        <v>268</v>
      </c>
      <c r="F69" s="183">
        <v>20</v>
      </c>
      <c r="G69" s="189">
        <v>3.6</v>
      </c>
      <c r="H69" s="191">
        <f>F69*G69</f>
        <v>72</v>
      </c>
      <c r="I69" s="188">
        <f>SUM(H69:H89)</f>
        <v>1697.8</v>
      </c>
      <c r="J69" s="187">
        <f>(I69*10)/100+I69</f>
        <v>1867.58</v>
      </c>
      <c r="AC69" s="174" t="s">
        <v>264</v>
      </c>
      <c r="AD69" s="230"/>
    </row>
    <row r="70" spans="1:30" ht="40.049999999999997" customHeight="1" x14ac:dyDescent="0.3">
      <c r="A70" s="176" t="s">
        <v>276</v>
      </c>
      <c r="B70" s="677" t="s">
        <v>278</v>
      </c>
      <c r="C70" s="677"/>
      <c r="D70" s="677"/>
      <c r="E70" s="182" t="s">
        <v>268</v>
      </c>
      <c r="F70" s="175">
        <v>2</v>
      </c>
      <c r="G70" s="190">
        <v>15</v>
      </c>
      <c r="H70" s="191">
        <f t="shared" ref="H70:H81" si="8">F70*G70</f>
        <v>30</v>
      </c>
      <c r="AC70" s="174" t="s">
        <v>267</v>
      </c>
      <c r="AD70" s="230"/>
    </row>
    <row r="71" spans="1:30" ht="40.049999999999997" customHeight="1" x14ac:dyDescent="0.3">
      <c r="A71" s="176" t="s">
        <v>276</v>
      </c>
      <c r="B71" s="677" t="s">
        <v>279</v>
      </c>
      <c r="C71" s="677"/>
      <c r="D71" s="677"/>
      <c r="E71" s="182" t="s">
        <v>280</v>
      </c>
      <c r="F71" s="175">
        <v>6</v>
      </c>
      <c r="G71" s="190">
        <v>9</v>
      </c>
      <c r="H71" s="191">
        <f t="shared" si="8"/>
        <v>54</v>
      </c>
      <c r="AC71" s="174" t="s">
        <v>268</v>
      </c>
      <c r="AD71" s="230"/>
    </row>
    <row r="72" spans="1:30" ht="40.049999999999997" customHeight="1" x14ac:dyDescent="0.3">
      <c r="A72" s="176" t="s">
        <v>276</v>
      </c>
      <c r="B72" s="677" t="s">
        <v>281</v>
      </c>
      <c r="C72" s="677"/>
      <c r="D72" s="677"/>
      <c r="E72" s="182" t="s">
        <v>280</v>
      </c>
      <c r="F72" s="175">
        <f>F71*4</f>
        <v>24</v>
      </c>
      <c r="G72" s="190">
        <v>1.5</v>
      </c>
      <c r="H72" s="191">
        <f t="shared" si="8"/>
        <v>36</v>
      </c>
      <c r="AC72" s="174" t="s">
        <v>280</v>
      </c>
    </row>
    <row r="73" spans="1:30" ht="40.049999999999997" customHeight="1" x14ac:dyDescent="0.3">
      <c r="A73" s="176" t="s">
        <v>276</v>
      </c>
      <c r="B73" s="679" t="s">
        <v>282</v>
      </c>
      <c r="C73" s="679"/>
      <c r="D73" s="679"/>
      <c r="E73" s="182" t="s">
        <v>280</v>
      </c>
      <c r="F73" s="175">
        <v>5</v>
      </c>
      <c r="G73" s="190">
        <v>11</v>
      </c>
      <c r="H73" s="191">
        <f t="shared" si="8"/>
        <v>55</v>
      </c>
    </row>
    <row r="74" spans="1:30" ht="40.049999999999997" customHeight="1" x14ac:dyDescent="0.3">
      <c r="A74" s="176" t="s">
        <v>276</v>
      </c>
      <c r="B74" s="677" t="s">
        <v>283</v>
      </c>
      <c r="C74" s="677"/>
      <c r="D74" s="677"/>
      <c r="E74" s="182" t="s">
        <v>268</v>
      </c>
      <c r="F74" s="175">
        <f>F71*4</f>
        <v>24</v>
      </c>
      <c r="G74" s="190">
        <v>3.2</v>
      </c>
      <c r="H74" s="191">
        <f t="shared" si="8"/>
        <v>76.800000000000011</v>
      </c>
    </row>
    <row r="75" spans="1:30" ht="40.049999999999997" customHeight="1" x14ac:dyDescent="0.3">
      <c r="A75" s="176" t="s">
        <v>276</v>
      </c>
      <c r="B75" s="676" t="s">
        <v>284</v>
      </c>
      <c r="C75" s="676"/>
      <c r="D75" s="676"/>
      <c r="E75" s="182" t="s">
        <v>268</v>
      </c>
      <c r="F75" s="175">
        <v>1</v>
      </c>
      <c r="G75" s="190">
        <v>50</v>
      </c>
      <c r="H75" s="191">
        <f t="shared" si="8"/>
        <v>50</v>
      </c>
    </row>
    <row r="76" spans="1:30" ht="40.049999999999997" customHeight="1" x14ac:dyDescent="0.3">
      <c r="A76" s="176" t="s">
        <v>276</v>
      </c>
      <c r="B76" s="676" t="s">
        <v>285</v>
      </c>
      <c r="C76" s="676"/>
      <c r="D76" s="676"/>
      <c r="E76" s="182" t="s">
        <v>268</v>
      </c>
      <c r="F76" s="175">
        <v>1</v>
      </c>
      <c r="G76" s="190">
        <v>42</v>
      </c>
      <c r="H76" s="191">
        <f t="shared" si="8"/>
        <v>42</v>
      </c>
    </row>
    <row r="77" spans="1:30" ht="40.049999999999997" customHeight="1" x14ac:dyDescent="0.3">
      <c r="A77" s="176" t="s">
        <v>276</v>
      </c>
      <c r="B77" s="676" t="s">
        <v>286</v>
      </c>
      <c r="C77" s="676"/>
      <c r="D77" s="676"/>
      <c r="E77" s="182" t="s">
        <v>268</v>
      </c>
      <c r="F77" s="175">
        <v>0</v>
      </c>
      <c r="G77" s="190">
        <v>55</v>
      </c>
      <c r="H77" s="191">
        <f t="shared" si="8"/>
        <v>0</v>
      </c>
    </row>
    <row r="78" spans="1:30" ht="40.049999999999997" customHeight="1" x14ac:dyDescent="0.3">
      <c r="A78" s="176" t="s">
        <v>276</v>
      </c>
      <c r="B78" s="676" t="s">
        <v>287</v>
      </c>
      <c r="C78" s="676"/>
      <c r="D78" s="676"/>
      <c r="E78" s="182" t="s">
        <v>268</v>
      </c>
      <c r="F78" s="175">
        <v>4</v>
      </c>
      <c r="G78" s="190">
        <v>60</v>
      </c>
      <c r="H78" s="191">
        <f t="shared" si="8"/>
        <v>240</v>
      </c>
    </row>
    <row r="79" spans="1:30" ht="40.049999999999997" customHeight="1" x14ac:dyDescent="0.3">
      <c r="A79" s="176" t="s">
        <v>276</v>
      </c>
      <c r="B79" s="676" t="s">
        <v>288</v>
      </c>
      <c r="C79" s="676"/>
      <c r="D79" s="676"/>
      <c r="E79" s="182" t="s">
        <v>268</v>
      </c>
      <c r="F79" s="175">
        <v>30</v>
      </c>
      <c r="G79" s="190">
        <v>6</v>
      </c>
      <c r="H79" s="191">
        <f t="shared" si="8"/>
        <v>180</v>
      </c>
    </row>
    <row r="80" spans="1:30" ht="40.049999999999997" customHeight="1" x14ac:dyDescent="0.3">
      <c r="A80" s="176" t="s">
        <v>276</v>
      </c>
      <c r="B80" s="676" t="s">
        <v>289</v>
      </c>
      <c r="C80" s="676"/>
      <c r="D80" s="676"/>
      <c r="E80" s="182" t="s">
        <v>268</v>
      </c>
      <c r="F80" s="175">
        <v>30</v>
      </c>
      <c r="G80" s="190">
        <v>6</v>
      </c>
      <c r="H80" s="191">
        <f t="shared" si="8"/>
        <v>180</v>
      </c>
    </row>
    <row r="81" spans="1:10" ht="40.049999999999997" customHeight="1" x14ac:dyDescent="0.3">
      <c r="A81" s="176" t="s">
        <v>276</v>
      </c>
      <c r="B81" s="676" t="s">
        <v>290</v>
      </c>
      <c r="C81" s="676"/>
      <c r="D81" s="676"/>
      <c r="E81" s="182" t="s">
        <v>268</v>
      </c>
      <c r="F81" s="175">
        <v>30</v>
      </c>
      <c r="G81" s="190">
        <v>4</v>
      </c>
      <c r="H81" s="191">
        <f t="shared" si="8"/>
        <v>120</v>
      </c>
    </row>
    <row r="82" spans="1:10" ht="40.049999999999997" customHeight="1" x14ac:dyDescent="0.3">
      <c r="A82" s="176" t="s">
        <v>276</v>
      </c>
      <c r="B82" s="676" t="s">
        <v>291</v>
      </c>
      <c r="C82" s="676"/>
      <c r="D82" s="676"/>
      <c r="E82" s="182" t="s">
        <v>268</v>
      </c>
      <c r="F82" s="175">
        <v>30</v>
      </c>
      <c r="G82" s="190">
        <v>4</v>
      </c>
      <c r="H82" s="191">
        <f>F82*G82</f>
        <v>120</v>
      </c>
    </row>
    <row r="83" spans="1:10" ht="40.049999999999997" customHeight="1" x14ac:dyDescent="0.3">
      <c r="A83" s="176" t="s">
        <v>276</v>
      </c>
      <c r="B83" s="676" t="s">
        <v>292</v>
      </c>
      <c r="C83" s="676"/>
      <c r="D83" s="676"/>
      <c r="E83" s="182" t="s">
        <v>268</v>
      </c>
      <c r="F83" s="175">
        <v>1</v>
      </c>
      <c r="G83" s="190">
        <v>180</v>
      </c>
      <c r="H83" s="191">
        <f t="shared" ref="H83:H85" si="9">F83*G83</f>
        <v>180</v>
      </c>
    </row>
    <row r="84" spans="1:10" ht="40.049999999999997" customHeight="1" x14ac:dyDescent="0.3">
      <c r="A84" s="176" t="s">
        <v>276</v>
      </c>
      <c r="B84" s="676" t="s">
        <v>293</v>
      </c>
      <c r="C84" s="676"/>
      <c r="D84" s="676"/>
      <c r="E84" s="182" t="s">
        <v>268</v>
      </c>
      <c r="F84" s="175">
        <v>1</v>
      </c>
      <c r="G84" s="190">
        <v>15</v>
      </c>
      <c r="H84" s="191">
        <f t="shared" si="9"/>
        <v>15</v>
      </c>
    </row>
    <row r="85" spans="1:10" ht="40.049999999999997" customHeight="1" x14ac:dyDescent="0.3">
      <c r="A85" s="176" t="s">
        <v>276</v>
      </c>
      <c r="B85" s="676" t="s">
        <v>294</v>
      </c>
      <c r="C85" s="676"/>
      <c r="D85" s="676"/>
      <c r="E85" s="182" t="s">
        <v>268</v>
      </c>
      <c r="F85" s="175">
        <v>1</v>
      </c>
      <c r="G85" s="190">
        <v>27</v>
      </c>
      <c r="H85" s="191">
        <f t="shared" si="9"/>
        <v>27</v>
      </c>
    </row>
    <row r="86" spans="1:10" ht="40.049999999999997" customHeight="1" x14ac:dyDescent="0.3">
      <c r="A86" s="176" t="s">
        <v>276</v>
      </c>
      <c r="B86" s="676" t="s">
        <v>295</v>
      </c>
      <c r="C86" s="676"/>
      <c r="D86" s="676"/>
      <c r="E86" s="182" t="s">
        <v>268</v>
      </c>
      <c r="F86" s="175">
        <v>10</v>
      </c>
      <c r="G86" s="190">
        <v>4</v>
      </c>
      <c r="H86" s="191">
        <f>F86*G86</f>
        <v>40</v>
      </c>
    </row>
    <row r="87" spans="1:10" ht="40.049999999999997" customHeight="1" x14ac:dyDescent="0.3">
      <c r="A87" s="176" t="s">
        <v>276</v>
      </c>
      <c r="B87" s="676" t="s">
        <v>296</v>
      </c>
      <c r="C87" s="676"/>
      <c r="D87" s="676"/>
      <c r="E87" s="182" t="s">
        <v>261</v>
      </c>
      <c r="F87" s="175">
        <v>2</v>
      </c>
      <c r="G87" s="190">
        <v>90</v>
      </c>
      <c r="H87" s="191">
        <f t="shared" ref="H87:H88" si="10">F87*G87</f>
        <v>180</v>
      </c>
    </row>
    <row r="88" spans="1:10" ht="40.049999999999997" customHeight="1" x14ac:dyDescent="0.3">
      <c r="A88" s="176" t="s">
        <v>276</v>
      </c>
      <c r="B88" s="676" t="s">
        <v>297</v>
      </c>
      <c r="C88" s="676"/>
      <c r="D88" s="676"/>
      <c r="E88" s="182" t="s">
        <v>268</v>
      </c>
      <c r="F88" s="175">
        <v>0</v>
      </c>
      <c r="G88" s="190">
        <v>5</v>
      </c>
      <c r="H88" s="191">
        <f t="shared" si="10"/>
        <v>0</v>
      </c>
    </row>
    <row r="89" spans="1:10" ht="40.049999999999997" customHeight="1" x14ac:dyDescent="0.3">
      <c r="A89" s="176" t="s">
        <v>276</v>
      </c>
      <c r="B89" s="676" t="s">
        <v>298</v>
      </c>
      <c r="C89" s="676"/>
      <c r="D89" s="676"/>
      <c r="E89" s="182" t="s">
        <v>268</v>
      </c>
      <c r="F89" s="175">
        <v>0</v>
      </c>
      <c r="G89" s="190">
        <v>6000</v>
      </c>
      <c r="H89" s="191">
        <f>F89*G89</f>
        <v>0</v>
      </c>
    </row>
    <row r="90" spans="1:10" ht="40.049999999999997" customHeight="1" x14ac:dyDescent="0.3">
      <c r="A90" s="184" t="s">
        <v>269</v>
      </c>
      <c r="B90" s="680" t="s">
        <v>373</v>
      </c>
      <c r="C90" s="680"/>
      <c r="D90" s="680"/>
      <c r="E90" s="185" t="s">
        <v>270</v>
      </c>
      <c r="F90" s="185" t="s">
        <v>271</v>
      </c>
      <c r="G90" s="185" t="s">
        <v>272</v>
      </c>
      <c r="H90" s="185" t="s">
        <v>273</v>
      </c>
      <c r="I90" s="186" t="s">
        <v>274</v>
      </c>
      <c r="J90" s="186" t="s">
        <v>275</v>
      </c>
    </row>
    <row r="91" spans="1:10" ht="40.049999999999997" customHeight="1" x14ac:dyDescent="0.3">
      <c r="A91" s="181" t="s">
        <v>276</v>
      </c>
      <c r="B91" s="678" t="s">
        <v>277</v>
      </c>
      <c r="C91" s="678"/>
      <c r="D91" s="678"/>
      <c r="E91" s="182" t="s">
        <v>268</v>
      </c>
      <c r="F91" s="183">
        <v>20</v>
      </c>
      <c r="G91" s="189">
        <v>3.6</v>
      </c>
      <c r="H91" s="191">
        <f>F91*G91</f>
        <v>72</v>
      </c>
      <c r="I91" s="188">
        <f>SUM(H91:H111)</f>
        <v>1697.8</v>
      </c>
      <c r="J91" s="187">
        <f>(I91*10)/100+I91</f>
        <v>1867.58</v>
      </c>
    </row>
    <row r="92" spans="1:10" ht="40.049999999999997" customHeight="1" x14ac:dyDescent="0.3">
      <c r="A92" s="176" t="s">
        <v>276</v>
      </c>
      <c r="B92" s="677" t="s">
        <v>278</v>
      </c>
      <c r="C92" s="677"/>
      <c r="D92" s="677"/>
      <c r="E92" s="182" t="s">
        <v>268</v>
      </c>
      <c r="F92" s="175">
        <v>2</v>
      </c>
      <c r="G92" s="190">
        <v>15</v>
      </c>
      <c r="H92" s="191">
        <f t="shared" ref="H92:H103" si="11">F92*G92</f>
        <v>30</v>
      </c>
    </row>
    <row r="93" spans="1:10" ht="40.049999999999997" customHeight="1" x14ac:dyDescent="0.3">
      <c r="A93" s="176" t="s">
        <v>276</v>
      </c>
      <c r="B93" s="677" t="s">
        <v>279</v>
      </c>
      <c r="C93" s="677"/>
      <c r="D93" s="677"/>
      <c r="E93" s="182" t="s">
        <v>280</v>
      </c>
      <c r="F93" s="175">
        <v>6</v>
      </c>
      <c r="G93" s="190">
        <v>9</v>
      </c>
      <c r="H93" s="191">
        <f t="shared" si="11"/>
        <v>54</v>
      </c>
    </row>
    <row r="94" spans="1:10" ht="40.049999999999997" customHeight="1" x14ac:dyDescent="0.3">
      <c r="A94" s="176" t="s">
        <v>276</v>
      </c>
      <c r="B94" s="677" t="s">
        <v>281</v>
      </c>
      <c r="C94" s="677"/>
      <c r="D94" s="677"/>
      <c r="E94" s="182" t="s">
        <v>280</v>
      </c>
      <c r="F94" s="175">
        <f>F93*4</f>
        <v>24</v>
      </c>
      <c r="G94" s="190">
        <v>1.5</v>
      </c>
      <c r="H94" s="191">
        <f t="shared" si="11"/>
        <v>36</v>
      </c>
    </row>
    <row r="95" spans="1:10" ht="40.049999999999997" customHeight="1" x14ac:dyDescent="0.3">
      <c r="A95" s="176" t="s">
        <v>276</v>
      </c>
      <c r="B95" s="679" t="s">
        <v>282</v>
      </c>
      <c r="C95" s="679"/>
      <c r="D95" s="679"/>
      <c r="E95" s="182" t="s">
        <v>280</v>
      </c>
      <c r="F95" s="175">
        <v>5</v>
      </c>
      <c r="G95" s="190">
        <v>11</v>
      </c>
      <c r="H95" s="191">
        <f t="shared" si="11"/>
        <v>55</v>
      </c>
    </row>
    <row r="96" spans="1:10" ht="40.049999999999997" customHeight="1" x14ac:dyDescent="0.3">
      <c r="A96" s="176" t="s">
        <v>276</v>
      </c>
      <c r="B96" s="677" t="s">
        <v>283</v>
      </c>
      <c r="C96" s="677"/>
      <c r="D96" s="677"/>
      <c r="E96" s="182" t="s">
        <v>268</v>
      </c>
      <c r="F96" s="175">
        <f>F93*4</f>
        <v>24</v>
      </c>
      <c r="G96" s="190">
        <v>3.2</v>
      </c>
      <c r="H96" s="191">
        <f t="shared" si="11"/>
        <v>76.800000000000011</v>
      </c>
    </row>
    <row r="97" spans="1:10" ht="40.049999999999997" customHeight="1" x14ac:dyDescent="0.3">
      <c r="A97" s="176" t="s">
        <v>276</v>
      </c>
      <c r="B97" s="676" t="s">
        <v>284</v>
      </c>
      <c r="C97" s="676"/>
      <c r="D97" s="676"/>
      <c r="E97" s="182" t="s">
        <v>268</v>
      </c>
      <c r="F97" s="175">
        <v>1</v>
      </c>
      <c r="G97" s="190">
        <v>50</v>
      </c>
      <c r="H97" s="191">
        <f t="shared" si="11"/>
        <v>50</v>
      </c>
    </row>
    <row r="98" spans="1:10" ht="40.049999999999997" customHeight="1" x14ac:dyDescent="0.3">
      <c r="A98" s="176" t="s">
        <v>276</v>
      </c>
      <c r="B98" s="676" t="s">
        <v>285</v>
      </c>
      <c r="C98" s="676"/>
      <c r="D98" s="676"/>
      <c r="E98" s="182" t="s">
        <v>268</v>
      </c>
      <c r="F98" s="175">
        <v>1</v>
      </c>
      <c r="G98" s="190">
        <v>42</v>
      </c>
      <c r="H98" s="191">
        <f t="shared" si="11"/>
        <v>42</v>
      </c>
    </row>
    <row r="99" spans="1:10" ht="40.049999999999997" customHeight="1" x14ac:dyDescent="0.3">
      <c r="A99" s="176" t="s">
        <v>276</v>
      </c>
      <c r="B99" s="676" t="s">
        <v>286</v>
      </c>
      <c r="C99" s="676"/>
      <c r="D99" s="676"/>
      <c r="E99" s="182" t="s">
        <v>268</v>
      </c>
      <c r="F99" s="175">
        <v>0</v>
      </c>
      <c r="G99" s="190">
        <v>55</v>
      </c>
      <c r="H99" s="191">
        <f t="shared" si="11"/>
        <v>0</v>
      </c>
    </row>
    <row r="100" spans="1:10" ht="40.049999999999997" customHeight="1" x14ac:dyDescent="0.3">
      <c r="A100" s="176" t="s">
        <v>276</v>
      </c>
      <c r="B100" s="676" t="s">
        <v>287</v>
      </c>
      <c r="C100" s="676"/>
      <c r="D100" s="676"/>
      <c r="E100" s="182" t="s">
        <v>268</v>
      </c>
      <c r="F100" s="175">
        <v>4</v>
      </c>
      <c r="G100" s="190">
        <v>60</v>
      </c>
      <c r="H100" s="191">
        <f t="shared" si="11"/>
        <v>240</v>
      </c>
    </row>
    <row r="101" spans="1:10" ht="40.049999999999997" customHeight="1" x14ac:dyDescent="0.3">
      <c r="A101" s="176" t="s">
        <v>276</v>
      </c>
      <c r="B101" s="676" t="s">
        <v>288</v>
      </c>
      <c r="C101" s="676"/>
      <c r="D101" s="676"/>
      <c r="E101" s="182" t="s">
        <v>268</v>
      </c>
      <c r="F101" s="175">
        <v>30</v>
      </c>
      <c r="G101" s="190">
        <v>6</v>
      </c>
      <c r="H101" s="191">
        <f t="shared" si="11"/>
        <v>180</v>
      </c>
    </row>
    <row r="102" spans="1:10" ht="40.049999999999997" customHeight="1" x14ac:dyDescent="0.3">
      <c r="A102" s="176" t="s">
        <v>276</v>
      </c>
      <c r="B102" s="676" t="s">
        <v>289</v>
      </c>
      <c r="C102" s="676"/>
      <c r="D102" s="676"/>
      <c r="E102" s="182" t="s">
        <v>268</v>
      </c>
      <c r="F102" s="175">
        <v>30</v>
      </c>
      <c r="G102" s="190">
        <v>6</v>
      </c>
      <c r="H102" s="191">
        <f t="shared" si="11"/>
        <v>180</v>
      </c>
    </row>
    <row r="103" spans="1:10" ht="40.049999999999997" customHeight="1" x14ac:dyDescent="0.3">
      <c r="A103" s="176" t="s">
        <v>276</v>
      </c>
      <c r="B103" s="676" t="s">
        <v>290</v>
      </c>
      <c r="C103" s="676"/>
      <c r="D103" s="676"/>
      <c r="E103" s="182" t="s">
        <v>268</v>
      </c>
      <c r="F103" s="175">
        <v>30</v>
      </c>
      <c r="G103" s="190">
        <v>4</v>
      </c>
      <c r="H103" s="191">
        <f t="shared" si="11"/>
        <v>120</v>
      </c>
    </row>
    <row r="104" spans="1:10" ht="40.049999999999997" customHeight="1" x14ac:dyDescent="0.3">
      <c r="A104" s="176" t="s">
        <v>276</v>
      </c>
      <c r="B104" s="676" t="s">
        <v>291</v>
      </c>
      <c r="C104" s="676"/>
      <c r="D104" s="676"/>
      <c r="E104" s="182" t="s">
        <v>268</v>
      </c>
      <c r="F104" s="175">
        <v>30</v>
      </c>
      <c r="G104" s="190">
        <v>4</v>
      </c>
      <c r="H104" s="191">
        <f>F104*G104</f>
        <v>120</v>
      </c>
    </row>
    <row r="105" spans="1:10" ht="40.049999999999997" customHeight="1" x14ac:dyDescent="0.3">
      <c r="A105" s="176" t="s">
        <v>276</v>
      </c>
      <c r="B105" s="676" t="s">
        <v>292</v>
      </c>
      <c r="C105" s="676"/>
      <c r="D105" s="676"/>
      <c r="E105" s="182" t="s">
        <v>268</v>
      </c>
      <c r="F105" s="175">
        <v>1</v>
      </c>
      <c r="G105" s="190">
        <v>180</v>
      </c>
      <c r="H105" s="191">
        <f t="shared" ref="H105:H107" si="12">F105*G105</f>
        <v>180</v>
      </c>
    </row>
    <row r="106" spans="1:10" ht="40.049999999999997" customHeight="1" x14ac:dyDescent="0.3">
      <c r="A106" s="176" t="s">
        <v>276</v>
      </c>
      <c r="B106" s="676" t="s">
        <v>293</v>
      </c>
      <c r="C106" s="676"/>
      <c r="D106" s="676"/>
      <c r="E106" s="182" t="s">
        <v>268</v>
      </c>
      <c r="F106" s="175">
        <v>1</v>
      </c>
      <c r="G106" s="190">
        <v>15</v>
      </c>
      <c r="H106" s="191">
        <f t="shared" si="12"/>
        <v>15</v>
      </c>
    </row>
    <row r="107" spans="1:10" ht="40.049999999999997" customHeight="1" x14ac:dyDescent="0.3">
      <c r="A107" s="176" t="s">
        <v>276</v>
      </c>
      <c r="B107" s="676" t="s">
        <v>294</v>
      </c>
      <c r="C107" s="676"/>
      <c r="D107" s="676"/>
      <c r="E107" s="182" t="s">
        <v>268</v>
      </c>
      <c r="F107" s="175">
        <v>1</v>
      </c>
      <c r="G107" s="190">
        <v>27</v>
      </c>
      <c r="H107" s="191">
        <f t="shared" si="12"/>
        <v>27</v>
      </c>
    </row>
    <row r="108" spans="1:10" ht="40.049999999999997" customHeight="1" x14ac:dyDescent="0.3">
      <c r="A108" s="176" t="s">
        <v>276</v>
      </c>
      <c r="B108" s="676" t="s">
        <v>295</v>
      </c>
      <c r="C108" s="676"/>
      <c r="D108" s="676"/>
      <c r="E108" s="182" t="s">
        <v>268</v>
      </c>
      <c r="F108" s="175">
        <v>10</v>
      </c>
      <c r="G108" s="190">
        <v>4</v>
      </c>
      <c r="H108" s="191">
        <f>F108*G108</f>
        <v>40</v>
      </c>
    </row>
    <row r="109" spans="1:10" ht="40.049999999999997" customHeight="1" x14ac:dyDescent="0.3">
      <c r="A109" s="176" t="s">
        <v>276</v>
      </c>
      <c r="B109" s="676" t="s">
        <v>296</v>
      </c>
      <c r="C109" s="676"/>
      <c r="D109" s="676"/>
      <c r="E109" s="182" t="s">
        <v>261</v>
      </c>
      <c r="F109" s="175">
        <v>2</v>
      </c>
      <c r="G109" s="190">
        <v>90</v>
      </c>
      <c r="H109" s="191">
        <f t="shared" ref="H109:H110" si="13">F109*G109</f>
        <v>180</v>
      </c>
    </row>
    <row r="110" spans="1:10" ht="40.049999999999997" customHeight="1" x14ac:dyDescent="0.3">
      <c r="A110" s="176" t="s">
        <v>276</v>
      </c>
      <c r="B110" s="676" t="s">
        <v>297</v>
      </c>
      <c r="C110" s="676"/>
      <c r="D110" s="676"/>
      <c r="E110" s="182" t="s">
        <v>268</v>
      </c>
      <c r="F110" s="175">
        <v>0</v>
      </c>
      <c r="G110" s="190">
        <v>5</v>
      </c>
      <c r="H110" s="191">
        <f t="shared" si="13"/>
        <v>0</v>
      </c>
    </row>
    <row r="111" spans="1:10" ht="40.049999999999997" customHeight="1" x14ac:dyDescent="0.3">
      <c r="A111" s="176" t="s">
        <v>276</v>
      </c>
      <c r="B111" s="676" t="s">
        <v>298</v>
      </c>
      <c r="C111" s="676"/>
      <c r="D111" s="676"/>
      <c r="E111" s="182" t="s">
        <v>268</v>
      </c>
      <c r="F111" s="175">
        <v>0</v>
      </c>
      <c r="G111" s="190">
        <v>6000</v>
      </c>
      <c r="H111" s="191">
        <f>F111*G111</f>
        <v>0</v>
      </c>
    </row>
    <row r="112" spans="1:10" ht="40.049999999999997" customHeight="1" x14ac:dyDescent="0.3">
      <c r="A112" s="184" t="s">
        <v>269</v>
      </c>
      <c r="B112" s="680" t="s">
        <v>374</v>
      </c>
      <c r="C112" s="680"/>
      <c r="D112" s="680"/>
      <c r="E112" s="185" t="s">
        <v>270</v>
      </c>
      <c r="F112" s="185" t="s">
        <v>271</v>
      </c>
      <c r="G112" s="185" t="s">
        <v>272</v>
      </c>
      <c r="H112" s="185" t="s">
        <v>273</v>
      </c>
      <c r="I112" s="186" t="s">
        <v>274</v>
      </c>
      <c r="J112" s="186" t="s">
        <v>275</v>
      </c>
    </row>
    <row r="113" spans="1:10" ht="40.049999999999997" customHeight="1" x14ac:dyDescent="0.3">
      <c r="A113" s="181" t="s">
        <v>276</v>
      </c>
      <c r="B113" s="678" t="s">
        <v>277</v>
      </c>
      <c r="C113" s="678"/>
      <c r="D113" s="678"/>
      <c r="E113" s="182" t="s">
        <v>268</v>
      </c>
      <c r="F113" s="183">
        <v>20</v>
      </c>
      <c r="G113" s="189">
        <v>3.6</v>
      </c>
      <c r="H113" s="191">
        <f>F113*G113</f>
        <v>72</v>
      </c>
      <c r="I113" s="188">
        <f>SUM(H113:H133)</f>
        <v>1697.8</v>
      </c>
      <c r="J113" s="187">
        <f>(I113*10)/100+I113</f>
        <v>1867.58</v>
      </c>
    </row>
    <row r="114" spans="1:10" ht="40.049999999999997" customHeight="1" x14ac:dyDescent="0.3">
      <c r="A114" s="176" t="s">
        <v>276</v>
      </c>
      <c r="B114" s="677" t="s">
        <v>278</v>
      </c>
      <c r="C114" s="677"/>
      <c r="D114" s="677"/>
      <c r="E114" s="182" t="s">
        <v>268</v>
      </c>
      <c r="F114" s="175">
        <v>2</v>
      </c>
      <c r="G114" s="190">
        <v>15</v>
      </c>
      <c r="H114" s="191">
        <f t="shared" ref="H114:H125" si="14">F114*G114</f>
        <v>30</v>
      </c>
    </row>
    <row r="115" spans="1:10" ht="40.049999999999997" customHeight="1" x14ac:dyDescent="0.3">
      <c r="A115" s="176" t="s">
        <v>276</v>
      </c>
      <c r="B115" s="677" t="s">
        <v>279</v>
      </c>
      <c r="C115" s="677"/>
      <c r="D115" s="677"/>
      <c r="E115" s="182" t="s">
        <v>280</v>
      </c>
      <c r="F115" s="175">
        <v>6</v>
      </c>
      <c r="G115" s="190">
        <v>9</v>
      </c>
      <c r="H115" s="191">
        <f t="shared" si="14"/>
        <v>54</v>
      </c>
    </row>
    <row r="116" spans="1:10" ht="40.049999999999997" customHeight="1" x14ac:dyDescent="0.3">
      <c r="A116" s="176" t="s">
        <v>276</v>
      </c>
      <c r="B116" s="677" t="s">
        <v>281</v>
      </c>
      <c r="C116" s="677"/>
      <c r="D116" s="677"/>
      <c r="E116" s="182" t="s">
        <v>280</v>
      </c>
      <c r="F116" s="175">
        <f>F115*4</f>
        <v>24</v>
      </c>
      <c r="G116" s="190">
        <v>1.5</v>
      </c>
      <c r="H116" s="191">
        <f t="shared" si="14"/>
        <v>36</v>
      </c>
    </row>
    <row r="117" spans="1:10" ht="40.049999999999997" customHeight="1" x14ac:dyDescent="0.3">
      <c r="A117" s="176" t="s">
        <v>276</v>
      </c>
      <c r="B117" s="679" t="s">
        <v>282</v>
      </c>
      <c r="C117" s="679"/>
      <c r="D117" s="679"/>
      <c r="E117" s="182" t="s">
        <v>280</v>
      </c>
      <c r="F117" s="175">
        <v>5</v>
      </c>
      <c r="G117" s="190">
        <v>11</v>
      </c>
      <c r="H117" s="191">
        <f t="shared" si="14"/>
        <v>55</v>
      </c>
    </row>
    <row r="118" spans="1:10" ht="40.049999999999997" customHeight="1" x14ac:dyDescent="0.3">
      <c r="A118" s="176" t="s">
        <v>276</v>
      </c>
      <c r="B118" s="677" t="s">
        <v>283</v>
      </c>
      <c r="C118" s="677"/>
      <c r="D118" s="677"/>
      <c r="E118" s="182" t="s">
        <v>268</v>
      </c>
      <c r="F118" s="175">
        <f>F115*4</f>
        <v>24</v>
      </c>
      <c r="G118" s="190">
        <v>3.2</v>
      </c>
      <c r="H118" s="191">
        <f t="shared" si="14"/>
        <v>76.800000000000011</v>
      </c>
    </row>
    <row r="119" spans="1:10" ht="40.049999999999997" customHeight="1" x14ac:dyDescent="0.3">
      <c r="A119" s="176" t="s">
        <v>276</v>
      </c>
      <c r="B119" s="676" t="s">
        <v>284</v>
      </c>
      <c r="C119" s="676"/>
      <c r="D119" s="676"/>
      <c r="E119" s="182" t="s">
        <v>268</v>
      </c>
      <c r="F119" s="175">
        <v>1</v>
      </c>
      <c r="G119" s="190">
        <v>50</v>
      </c>
      <c r="H119" s="191">
        <f t="shared" si="14"/>
        <v>50</v>
      </c>
    </row>
    <row r="120" spans="1:10" ht="40.049999999999997" customHeight="1" x14ac:dyDescent="0.3">
      <c r="A120" s="176" t="s">
        <v>276</v>
      </c>
      <c r="B120" s="676" t="s">
        <v>285</v>
      </c>
      <c r="C120" s="676"/>
      <c r="D120" s="676"/>
      <c r="E120" s="182" t="s">
        <v>268</v>
      </c>
      <c r="F120" s="175">
        <v>1</v>
      </c>
      <c r="G120" s="190">
        <v>42</v>
      </c>
      <c r="H120" s="191">
        <f t="shared" si="14"/>
        <v>42</v>
      </c>
    </row>
    <row r="121" spans="1:10" ht="40.049999999999997" customHeight="1" x14ac:dyDescent="0.3">
      <c r="A121" s="176" t="s">
        <v>276</v>
      </c>
      <c r="B121" s="676" t="s">
        <v>286</v>
      </c>
      <c r="C121" s="676"/>
      <c r="D121" s="676"/>
      <c r="E121" s="182" t="s">
        <v>268</v>
      </c>
      <c r="F121" s="175">
        <v>0</v>
      </c>
      <c r="G121" s="190">
        <v>55</v>
      </c>
      <c r="H121" s="191">
        <f t="shared" si="14"/>
        <v>0</v>
      </c>
    </row>
    <row r="122" spans="1:10" ht="40.049999999999997" customHeight="1" x14ac:dyDescent="0.3">
      <c r="A122" s="176" t="s">
        <v>276</v>
      </c>
      <c r="B122" s="676" t="s">
        <v>287</v>
      </c>
      <c r="C122" s="676"/>
      <c r="D122" s="676"/>
      <c r="E122" s="182" t="s">
        <v>268</v>
      </c>
      <c r="F122" s="175">
        <v>4</v>
      </c>
      <c r="G122" s="190">
        <v>60</v>
      </c>
      <c r="H122" s="191">
        <f t="shared" si="14"/>
        <v>240</v>
      </c>
    </row>
    <row r="123" spans="1:10" ht="40.049999999999997" customHeight="1" x14ac:dyDescent="0.3">
      <c r="A123" s="176" t="s">
        <v>276</v>
      </c>
      <c r="B123" s="676" t="s">
        <v>288</v>
      </c>
      <c r="C123" s="676"/>
      <c r="D123" s="676"/>
      <c r="E123" s="182" t="s">
        <v>268</v>
      </c>
      <c r="F123" s="175">
        <v>30</v>
      </c>
      <c r="G123" s="190">
        <v>6</v>
      </c>
      <c r="H123" s="191">
        <f t="shared" si="14"/>
        <v>180</v>
      </c>
    </row>
    <row r="124" spans="1:10" ht="40.049999999999997" customHeight="1" x14ac:dyDescent="0.3">
      <c r="A124" s="176" t="s">
        <v>276</v>
      </c>
      <c r="B124" s="676" t="s">
        <v>289</v>
      </c>
      <c r="C124" s="676"/>
      <c r="D124" s="676"/>
      <c r="E124" s="182" t="s">
        <v>268</v>
      </c>
      <c r="F124" s="175">
        <v>30</v>
      </c>
      <c r="G124" s="190">
        <v>6</v>
      </c>
      <c r="H124" s="191">
        <f t="shared" si="14"/>
        <v>180</v>
      </c>
    </row>
    <row r="125" spans="1:10" ht="40.049999999999997" customHeight="1" x14ac:dyDescent="0.3">
      <c r="A125" s="176" t="s">
        <v>276</v>
      </c>
      <c r="B125" s="676" t="s">
        <v>290</v>
      </c>
      <c r="C125" s="676"/>
      <c r="D125" s="676"/>
      <c r="E125" s="182" t="s">
        <v>268</v>
      </c>
      <c r="F125" s="175">
        <v>30</v>
      </c>
      <c r="G125" s="190">
        <v>4</v>
      </c>
      <c r="H125" s="191">
        <f t="shared" si="14"/>
        <v>120</v>
      </c>
    </row>
    <row r="126" spans="1:10" ht="40.049999999999997" customHeight="1" x14ac:dyDescent="0.3">
      <c r="A126" s="176" t="s">
        <v>276</v>
      </c>
      <c r="B126" s="676" t="s">
        <v>291</v>
      </c>
      <c r="C126" s="676"/>
      <c r="D126" s="676"/>
      <c r="E126" s="182" t="s">
        <v>268</v>
      </c>
      <c r="F126" s="175">
        <v>30</v>
      </c>
      <c r="G126" s="190">
        <v>4</v>
      </c>
      <c r="H126" s="191">
        <f>F126*G126</f>
        <v>120</v>
      </c>
    </row>
    <row r="127" spans="1:10" ht="40.049999999999997" customHeight="1" x14ac:dyDescent="0.3">
      <c r="A127" s="176" t="s">
        <v>276</v>
      </c>
      <c r="B127" s="676" t="s">
        <v>292</v>
      </c>
      <c r="C127" s="676"/>
      <c r="D127" s="676"/>
      <c r="E127" s="182" t="s">
        <v>268</v>
      </c>
      <c r="F127" s="175">
        <v>1</v>
      </c>
      <c r="G127" s="190">
        <v>180</v>
      </c>
      <c r="H127" s="191">
        <f t="shared" ref="H127:H129" si="15">F127*G127</f>
        <v>180</v>
      </c>
    </row>
    <row r="128" spans="1:10" ht="40.049999999999997" customHeight="1" x14ac:dyDescent="0.3">
      <c r="A128" s="176" t="s">
        <v>276</v>
      </c>
      <c r="B128" s="676" t="s">
        <v>293</v>
      </c>
      <c r="C128" s="676"/>
      <c r="D128" s="676"/>
      <c r="E128" s="182" t="s">
        <v>268</v>
      </c>
      <c r="F128" s="175">
        <v>1</v>
      </c>
      <c r="G128" s="190">
        <v>15</v>
      </c>
      <c r="H128" s="191">
        <f t="shared" si="15"/>
        <v>15</v>
      </c>
    </row>
    <row r="129" spans="1:8" ht="40.049999999999997" customHeight="1" x14ac:dyDescent="0.3">
      <c r="A129" s="176" t="s">
        <v>276</v>
      </c>
      <c r="B129" s="676" t="s">
        <v>294</v>
      </c>
      <c r="C129" s="676"/>
      <c r="D129" s="676"/>
      <c r="E129" s="182" t="s">
        <v>268</v>
      </c>
      <c r="F129" s="175">
        <v>1</v>
      </c>
      <c r="G129" s="190">
        <v>27</v>
      </c>
      <c r="H129" s="191">
        <f t="shared" si="15"/>
        <v>27</v>
      </c>
    </row>
    <row r="130" spans="1:8" ht="40.049999999999997" customHeight="1" x14ac:dyDescent="0.3">
      <c r="A130" s="176" t="s">
        <v>276</v>
      </c>
      <c r="B130" s="676" t="s">
        <v>295</v>
      </c>
      <c r="C130" s="676"/>
      <c r="D130" s="676"/>
      <c r="E130" s="182" t="s">
        <v>268</v>
      </c>
      <c r="F130" s="175">
        <v>10</v>
      </c>
      <c r="G130" s="190">
        <v>4</v>
      </c>
      <c r="H130" s="191">
        <f>F130*G130</f>
        <v>40</v>
      </c>
    </row>
    <row r="131" spans="1:8" ht="40.049999999999997" customHeight="1" x14ac:dyDescent="0.3">
      <c r="A131" s="176" t="s">
        <v>276</v>
      </c>
      <c r="B131" s="676" t="s">
        <v>296</v>
      </c>
      <c r="C131" s="676"/>
      <c r="D131" s="676"/>
      <c r="E131" s="182" t="s">
        <v>261</v>
      </c>
      <c r="F131" s="175">
        <v>2</v>
      </c>
      <c r="G131" s="190">
        <v>90</v>
      </c>
      <c r="H131" s="191">
        <f t="shared" ref="H131:H132" si="16">F131*G131</f>
        <v>180</v>
      </c>
    </row>
    <row r="132" spans="1:8" ht="40.049999999999997" customHeight="1" x14ac:dyDescent="0.3">
      <c r="A132" s="176" t="s">
        <v>276</v>
      </c>
      <c r="B132" s="676" t="s">
        <v>297</v>
      </c>
      <c r="C132" s="676"/>
      <c r="D132" s="676"/>
      <c r="E132" s="182" t="s">
        <v>268</v>
      </c>
      <c r="F132" s="175">
        <v>0</v>
      </c>
      <c r="G132" s="190">
        <v>5</v>
      </c>
      <c r="H132" s="191">
        <f t="shared" si="16"/>
        <v>0</v>
      </c>
    </row>
    <row r="133" spans="1:8" ht="40.049999999999997" customHeight="1" x14ac:dyDescent="0.3">
      <c r="A133" s="176" t="s">
        <v>276</v>
      </c>
      <c r="B133" s="676" t="s">
        <v>298</v>
      </c>
      <c r="C133" s="676"/>
      <c r="D133" s="676"/>
      <c r="E133" s="182" t="s">
        <v>268</v>
      </c>
      <c r="F133" s="175">
        <v>0</v>
      </c>
      <c r="G133" s="190">
        <v>6000</v>
      </c>
      <c r="H133" s="191">
        <f>F133*G133</f>
        <v>0</v>
      </c>
    </row>
  </sheetData>
  <mergeCells count="152">
    <mergeCell ref="B30:D30"/>
    <mergeCell ref="B29:D29"/>
    <mergeCell ref="B58:D58"/>
    <mergeCell ref="B59:D59"/>
    <mergeCell ref="B45:D45"/>
    <mergeCell ref="B31:D31"/>
    <mergeCell ref="B32:D32"/>
    <mergeCell ref="B42:D42"/>
    <mergeCell ref="B43:D43"/>
    <mergeCell ref="B39:D39"/>
    <mergeCell ref="B40:D40"/>
    <mergeCell ref="B41:D41"/>
    <mergeCell ref="B38:D38"/>
    <mergeCell ref="B46:D46"/>
    <mergeCell ref="B47:D47"/>
    <mergeCell ref="B48:D48"/>
    <mergeCell ref="B49:D49"/>
    <mergeCell ref="B50:D50"/>
    <mergeCell ref="B33:D33"/>
    <mergeCell ref="B34:D34"/>
    <mergeCell ref="B35:D35"/>
    <mergeCell ref="B36:D36"/>
    <mergeCell ref="B37:D37"/>
    <mergeCell ref="N1:O1"/>
    <mergeCell ref="L2:M2"/>
    <mergeCell ref="N2:O2"/>
    <mergeCell ref="A3:C4"/>
    <mergeCell ref="D3:O5"/>
    <mergeCell ref="A5:B7"/>
    <mergeCell ref="C5:C7"/>
    <mergeCell ref="D6:F7"/>
    <mergeCell ref="G6:K6"/>
    <mergeCell ref="L6:O6"/>
    <mergeCell ref="G7:K7"/>
    <mergeCell ref="L7:O7"/>
    <mergeCell ref="A1:C2"/>
    <mergeCell ref="D1:K2"/>
    <mergeCell ref="L1:M1"/>
    <mergeCell ref="B12:D12"/>
    <mergeCell ref="B13:D13"/>
    <mergeCell ref="A9:A11"/>
    <mergeCell ref="B9:D11"/>
    <mergeCell ref="A8:D8"/>
    <mergeCell ref="B68:D68"/>
    <mergeCell ref="B69:D69"/>
    <mergeCell ref="B70:D70"/>
    <mergeCell ref="B71:D71"/>
    <mergeCell ref="B14:D14"/>
    <mergeCell ref="B15:D15"/>
    <mergeCell ref="B16:D16"/>
    <mergeCell ref="B17:D17"/>
    <mergeCell ref="B18:D18"/>
    <mergeCell ref="B24:D24"/>
    <mergeCell ref="B25:D25"/>
    <mergeCell ref="B26:D26"/>
    <mergeCell ref="B27:D27"/>
    <mergeCell ref="B19:D19"/>
    <mergeCell ref="B20:D20"/>
    <mergeCell ref="B21:D21"/>
    <mergeCell ref="B22:D22"/>
    <mergeCell ref="B23:D23"/>
    <mergeCell ref="B28:D28"/>
    <mergeCell ref="B72:D72"/>
    <mergeCell ref="B51:D51"/>
    <mergeCell ref="B52:D52"/>
    <mergeCell ref="B53:D53"/>
    <mergeCell ref="B54:D54"/>
    <mergeCell ref="B67:D67"/>
    <mergeCell ref="B64:D64"/>
    <mergeCell ref="B65:D65"/>
    <mergeCell ref="B66:D66"/>
    <mergeCell ref="B63:D63"/>
    <mergeCell ref="B60:D60"/>
    <mergeCell ref="B61:D61"/>
    <mergeCell ref="B62:D62"/>
    <mergeCell ref="B55:D55"/>
    <mergeCell ref="B56:D56"/>
    <mergeCell ref="B57:D57"/>
    <mergeCell ref="B78:D78"/>
    <mergeCell ref="B79:D79"/>
    <mergeCell ref="B80:D80"/>
    <mergeCell ref="B81:D81"/>
    <mergeCell ref="B82:D82"/>
    <mergeCell ref="B73:D73"/>
    <mergeCell ref="B74:D74"/>
    <mergeCell ref="B75:D75"/>
    <mergeCell ref="B76:D76"/>
    <mergeCell ref="B77:D77"/>
    <mergeCell ref="B88:D88"/>
    <mergeCell ref="B89:D89"/>
    <mergeCell ref="B90:D90"/>
    <mergeCell ref="B91:D91"/>
    <mergeCell ref="B92:D92"/>
    <mergeCell ref="B83:D83"/>
    <mergeCell ref="B84:D84"/>
    <mergeCell ref="B85:D85"/>
    <mergeCell ref="B86:D86"/>
    <mergeCell ref="B87:D87"/>
    <mergeCell ref="B98:D98"/>
    <mergeCell ref="B99:D99"/>
    <mergeCell ref="B100:D100"/>
    <mergeCell ref="B101:D101"/>
    <mergeCell ref="B102:D102"/>
    <mergeCell ref="B93:D93"/>
    <mergeCell ref="B94:D94"/>
    <mergeCell ref="B95:D95"/>
    <mergeCell ref="B96:D96"/>
    <mergeCell ref="B97:D97"/>
    <mergeCell ref="B117:D117"/>
    <mergeCell ref="B108:D108"/>
    <mergeCell ref="B109:D109"/>
    <mergeCell ref="B110:D110"/>
    <mergeCell ref="B111:D111"/>
    <mergeCell ref="B112:D112"/>
    <mergeCell ref="B103:D103"/>
    <mergeCell ref="B104:D104"/>
    <mergeCell ref="B105:D105"/>
    <mergeCell ref="B106:D106"/>
    <mergeCell ref="B107:D107"/>
    <mergeCell ref="AO62:AO63"/>
    <mergeCell ref="AP62:AR63"/>
    <mergeCell ref="B44:D44"/>
    <mergeCell ref="B133:D133"/>
    <mergeCell ref="B128:D128"/>
    <mergeCell ref="B129:D129"/>
    <mergeCell ref="B130:D130"/>
    <mergeCell ref="B131:D131"/>
    <mergeCell ref="B132:D132"/>
    <mergeCell ref="B123:D123"/>
    <mergeCell ref="B124:D124"/>
    <mergeCell ref="B125:D125"/>
    <mergeCell ref="B126:D126"/>
    <mergeCell ref="B127:D127"/>
    <mergeCell ref="B118:D118"/>
    <mergeCell ref="B119:D119"/>
    <mergeCell ref="B120:D120"/>
    <mergeCell ref="B121:D121"/>
    <mergeCell ref="B122:D122"/>
    <mergeCell ref="B113:D113"/>
    <mergeCell ref="B114:D114"/>
    <mergeCell ref="B115:D115"/>
    <mergeCell ref="AO52:AO53"/>
    <mergeCell ref="B116:D116"/>
    <mergeCell ref="AO54:AO55"/>
    <mergeCell ref="AP54:AR55"/>
    <mergeCell ref="AO56:AO57"/>
    <mergeCell ref="AP56:AR57"/>
    <mergeCell ref="AO58:AO59"/>
    <mergeCell ref="AP58:AR59"/>
    <mergeCell ref="AO60:AO61"/>
    <mergeCell ref="AP60:AR61"/>
    <mergeCell ref="AP52:AR53"/>
  </mergeCells>
  <phoneticPr fontId="3" type="noConversion"/>
  <dataValidations count="1">
    <dataValidation type="list" allowBlank="1" showInputMessage="1" showErrorMessage="1" sqref="Z1:Z10 AT62 AW60 AT60 AT58:AV58 AW62 AW56 AT56 AW54 AT54 AT52:AV52 AC62:AC72 E47:E67 E69:E89 E91:E111 E113:E133 E13:E45" xr:uid="{2B8E1DD4-B8C1-48B8-9732-22D5DA46E18B}">
      <formula1>$AC$62:$AC$72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0CD3-5362-4340-8886-656F9653A33B}">
  <dimension ref="A1:U145"/>
  <sheetViews>
    <sheetView showGridLines="0" workbookViewId="0">
      <selection activeCell="F4" sqref="F4:F6"/>
    </sheetView>
  </sheetViews>
  <sheetFormatPr defaultRowHeight="14.4" x14ac:dyDescent="0.3"/>
  <cols>
    <col min="1" max="1" width="29.33203125" bestFit="1" customWidth="1"/>
    <col min="2" max="2" width="27.33203125" bestFit="1" customWidth="1"/>
    <col min="3" max="3" width="20" bestFit="1" customWidth="1"/>
    <col min="4" max="4" width="22" bestFit="1" customWidth="1"/>
    <col min="5" max="5" width="16.6640625" bestFit="1" customWidth="1"/>
    <col min="6" max="6" width="19.5546875" bestFit="1" customWidth="1"/>
    <col min="17" max="17" width="21.33203125" customWidth="1"/>
    <col min="18" max="18" width="12" bestFit="1" customWidth="1"/>
    <col min="19" max="19" width="11.5546875" customWidth="1"/>
    <col min="20" max="20" width="13.33203125" bestFit="1" customWidth="1"/>
  </cols>
  <sheetData>
    <row r="1" spans="1:21" ht="18" x14ac:dyDescent="0.35">
      <c r="A1" s="705" t="s">
        <v>299</v>
      </c>
      <c r="B1" s="705"/>
      <c r="C1" s="705"/>
      <c r="D1" s="705"/>
      <c r="E1" s="706"/>
      <c r="F1" s="706"/>
      <c r="G1" s="705"/>
      <c r="H1" s="705"/>
      <c r="I1" s="705"/>
      <c r="Q1" s="8">
        <v>1</v>
      </c>
      <c r="R1" s="8">
        <v>4</v>
      </c>
      <c r="S1" s="8">
        <v>1</v>
      </c>
      <c r="T1" s="8">
        <v>4</v>
      </c>
      <c r="U1" s="8">
        <v>4</v>
      </c>
    </row>
    <row r="2" spans="1:21" ht="18" x14ac:dyDescent="0.35">
      <c r="A2" s="707" t="s">
        <v>300</v>
      </c>
      <c r="B2" s="708"/>
      <c r="C2" s="708"/>
      <c r="D2" s="708"/>
      <c r="E2" s="708"/>
      <c r="F2" s="708"/>
      <c r="G2" s="713" t="s">
        <v>301</v>
      </c>
      <c r="H2" s="714"/>
      <c r="I2" s="715"/>
      <c r="Q2" s="732" t="s">
        <v>302</v>
      </c>
      <c r="R2" s="732"/>
      <c r="S2" s="732"/>
      <c r="T2" s="732"/>
    </row>
    <row r="3" spans="1:21" ht="48" thickBot="1" x14ac:dyDescent="0.4">
      <c r="A3" s="65" t="s">
        <v>303</v>
      </c>
      <c r="B3" s="65" t="s">
        <v>304</v>
      </c>
      <c r="C3" s="65" t="s">
        <v>35</v>
      </c>
      <c r="D3" s="65" t="s">
        <v>305</v>
      </c>
      <c r="E3" s="66" t="s">
        <v>306</v>
      </c>
      <c r="F3" s="132" t="s">
        <v>68</v>
      </c>
      <c r="G3" s="716">
        <v>1</v>
      </c>
      <c r="H3" s="717"/>
      <c r="I3" s="718"/>
      <c r="Q3" s="220" t="s">
        <v>307</v>
      </c>
      <c r="R3" s="174" t="s">
        <v>308</v>
      </c>
      <c r="S3" s="174" t="s">
        <v>309</v>
      </c>
      <c r="T3" s="174" t="s">
        <v>310</v>
      </c>
    </row>
    <row r="4" spans="1:21" ht="15" thickBot="1" x14ac:dyDescent="0.35">
      <c r="A4" s="63" t="s">
        <v>311</v>
      </c>
      <c r="B4" s="63">
        <v>28</v>
      </c>
      <c r="C4" s="63">
        <v>1</v>
      </c>
      <c r="D4" s="215">
        <f>$D$8</f>
        <v>3.3149441455299673</v>
      </c>
      <c r="E4" s="223">
        <f>B4*C4*D4</f>
        <v>92.818436074839084</v>
      </c>
      <c r="F4" s="729">
        <f>SUM(E4:E6,F8:F12)+E21+E14</f>
        <v>5023.0211583407527</v>
      </c>
      <c r="G4" s="719"/>
      <c r="H4" s="720"/>
      <c r="I4" s="721"/>
      <c r="Q4" s="221" t="s">
        <v>312</v>
      </c>
      <c r="R4" s="209">
        <v>1100</v>
      </c>
      <c r="S4" s="221">
        <v>5</v>
      </c>
      <c r="T4" s="222">
        <f>((R4*S4)/100)+R4</f>
        <v>1155</v>
      </c>
    </row>
    <row r="5" spans="1:21" x14ac:dyDescent="0.3">
      <c r="A5" s="63" t="s">
        <v>313</v>
      </c>
      <c r="B5" s="63">
        <v>8</v>
      </c>
      <c r="C5" s="63">
        <v>1</v>
      </c>
      <c r="D5" s="215">
        <f t="shared" ref="D5:D6" si="0">$D$8</f>
        <v>3.3149441455299673</v>
      </c>
      <c r="E5" s="223">
        <f t="shared" ref="E5:E6" si="1">B5*C5*D5</f>
        <v>26.519553164239738</v>
      </c>
      <c r="F5" s="730"/>
      <c r="Q5" s="221" t="s">
        <v>314</v>
      </c>
      <c r="R5" s="209">
        <v>1500</v>
      </c>
      <c r="S5" s="221">
        <v>5</v>
      </c>
      <c r="T5" s="222">
        <f t="shared" ref="T5:T16" si="2">((R5*S5)/100)+R5</f>
        <v>1575</v>
      </c>
    </row>
    <row r="6" spans="1:21" ht="15" thickBot="1" x14ac:dyDescent="0.35">
      <c r="A6" s="63" t="s">
        <v>315</v>
      </c>
      <c r="B6" s="63">
        <v>27</v>
      </c>
      <c r="C6" s="63">
        <v>1</v>
      </c>
      <c r="D6" s="215">
        <f t="shared" si="0"/>
        <v>3.3149441455299673</v>
      </c>
      <c r="E6" s="223">
        <f t="shared" si="1"/>
        <v>89.503491929309121</v>
      </c>
      <c r="F6" s="731"/>
      <c r="Q6" s="221" t="s">
        <v>316</v>
      </c>
      <c r="R6" s="209">
        <v>1700</v>
      </c>
      <c r="S6" s="221">
        <v>5</v>
      </c>
      <c r="T6" s="222">
        <f t="shared" si="2"/>
        <v>1785</v>
      </c>
    </row>
    <row r="7" spans="1:21" ht="31.2" x14ac:dyDescent="0.3">
      <c r="A7" s="216" t="s">
        <v>317</v>
      </c>
      <c r="B7" s="217" t="s">
        <v>318</v>
      </c>
      <c r="C7" s="216" t="s">
        <v>319</v>
      </c>
      <c r="D7" s="216" t="s">
        <v>305</v>
      </c>
      <c r="E7" s="216" t="s">
        <v>320</v>
      </c>
      <c r="F7" s="225" t="s">
        <v>321</v>
      </c>
      <c r="Q7" s="221" t="s">
        <v>322</v>
      </c>
      <c r="R7" s="209">
        <v>1900</v>
      </c>
      <c r="S7" s="221">
        <v>5</v>
      </c>
      <c r="T7" s="222">
        <f t="shared" si="2"/>
        <v>1995</v>
      </c>
    </row>
    <row r="8" spans="1:21" x14ac:dyDescent="0.3">
      <c r="A8" s="63" t="s">
        <v>323</v>
      </c>
      <c r="B8" s="218">
        <v>120</v>
      </c>
      <c r="C8" s="219">
        <f>INDEX('DIMENCINAMENTO DE PLACA'!G11:G16,'DIMENCINAMENTO DE PLACA'!F1)</f>
        <v>23.204609018709771</v>
      </c>
      <c r="D8" s="215">
        <f>C8/7</f>
        <v>3.3149441455299673</v>
      </c>
      <c r="E8" s="63">
        <f>F8/C8</f>
        <v>120</v>
      </c>
      <c r="F8" s="218">
        <f>B8*C8</f>
        <v>2784.5530822451724</v>
      </c>
      <c r="Q8" s="221" t="s">
        <v>324</v>
      </c>
      <c r="R8" s="209">
        <v>2100</v>
      </c>
      <c r="S8" s="221">
        <v>5</v>
      </c>
      <c r="T8" s="222">
        <f t="shared" si="2"/>
        <v>2205</v>
      </c>
    </row>
    <row r="9" spans="1:21" ht="15.6" x14ac:dyDescent="0.3">
      <c r="A9" s="135" t="s">
        <v>317</v>
      </c>
      <c r="B9" s="135" t="s">
        <v>325</v>
      </c>
      <c r="C9" s="135" t="s">
        <v>35</v>
      </c>
      <c r="D9" s="135" t="s">
        <v>305</v>
      </c>
      <c r="E9" s="135" t="s">
        <v>320</v>
      </c>
      <c r="F9" s="135" t="s">
        <v>321</v>
      </c>
      <c r="Q9" s="221" t="s">
        <v>326</v>
      </c>
      <c r="R9" s="209">
        <v>2500</v>
      </c>
      <c r="S9" s="221">
        <v>5</v>
      </c>
      <c r="T9" s="222">
        <f t="shared" si="2"/>
        <v>2625</v>
      </c>
    </row>
    <row r="10" spans="1:21" x14ac:dyDescent="0.3">
      <c r="A10" s="63" t="s">
        <v>327</v>
      </c>
      <c r="B10" s="63">
        <v>150</v>
      </c>
      <c r="C10" s="63">
        <v>0</v>
      </c>
      <c r="D10" s="63">
        <v>2</v>
      </c>
      <c r="E10" s="63" t="e">
        <f>F10/C10</f>
        <v>#DIV/0!</v>
      </c>
      <c r="F10" s="224">
        <f>B10*C10*D10</f>
        <v>0</v>
      </c>
      <c r="Q10" s="221" t="s">
        <v>328</v>
      </c>
      <c r="R10" s="209">
        <v>2900</v>
      </c>
      <c r="S10" s="221">
        <v>5</v>
      </c>
      <c r="T10" s="222">
        <f t="shared" si="2"/>
        <v>3045</v>
      </c>
    </row>
    <row r="11" spans="1:21" x14ac:dyDescent="0.3">
      <c r="A11" s="63" t="s">
        <v>329</v>
      </c>
      <c r="B11" s="63">
        <v>100</v>
      </c>
      <c r="C11" s="63">
        <v>0</v>
      </c>
      <c r="D11" s="63">
        <v>2</v>
      </c>
      <c r="E11" s="63" t="e">
        <f t="shared" ref="E11" si="3">F11/C11</f>
        <v>#DIV/0!</v>
      </c>
      <c r="F11" s="224">
        <f>B11*C11*D11</f>
        <v>0</v>
      </c>
      <c r="Q11" s="221" t="s">
        <v>330</v>
      </c>
      <c r="R11" s="209">
        <v>3300</v>
      </c>
      <c r="S11" s="221">
        <v>5</v>
      </c>
      <c r="T11" s="222">
        <f t="shared" si="2"/>
        <v>3465</v>
      </c>
    </row>
    <row r="12" spans="1:21" x14ac:dyDescent="0.3">
      <c r="A12" s="63" t="s">
        <v>331</v>
      </c>
      <c r="B12" s="63">
        <v>240</v>
      </c>
      <c r="C12" s="63">
        <v>1</v>
      </c>
      <c r="D12" s="215">
        <f>D8</f>
        <v>3.3149441455299673</v>
      </c>
      <c r="E12" s="63">
        <f t="shared" ref="E12" si="4">F12/C12</f>
        <v>795.58659492719221</v>
      </c>
      <c r="F12" s="224">
        <f>B12*C12*D12</f>
        <v>795.58659492719221</v>
      </c>
      <c r="Q12" s="221" t="s">
        <v>332</v>
      </c>
      <c r="R12" s="209">
        <v>3500</v>
      </c>
      <c r="S12" s="221">
        <v>5</v>
      </c>
      <c r="T12" s="222">
        <f t="shared" si="2"/>
        <v>3675</v>
      </c>
    </row>
    <row r="13" spans="1:21" ht="15.6" x14ac:dyDescent="0.3">
      <c r="A13" s="135" t="s">
        <v>333</v>
      </c>
      <c r="B13" s="135" t="s">
        <v>334</v>
      </c>
      <c r="C13" s="216" t="s">
        <v>335</v>
      </c>
      <c r="D13" s="216" t="s">
        <v>336</v>
      </c>
      <c r="E13" s="135" t="s">
        <v>321</v>
      </c>
      <c r="Q13" s="221" t="s">
        <v>337</v>
      </c>
      <c r="R13" s="209">
        <v>3700</v>
      </c>
      <c r="S13" s="221">
        <v>5</v>
      </c>
      <c r="T13" s="222">
        <f t="shared" si="2"/>
        <v>3885</v>
      </c>
    </row>
    <row r="14" spans="1:21" x14ac:dyDescent="0.3">
      <c r="A14" s="63" t="s">
        <v>338</v>
      </c>
      <c r="B14" s="63"/>
      <c r="C14" s="63">
        <f>INDEX(T4:T16,Q1)</f>
        <v>1155</v>
      </c>
      <c r="D14" s="64">
        <v>1</v>
      </c>
      <c r="E14" s="193">
        <f>C14*D14</f>
        <v>1155</v>
      </c>
      <c r="Q14" s="221" t="s">
        <v>339</v>
      </c>
      <c r="R14" s="209">
        <v>3900</v>
      </c>
      <c r="S14" s="221">
        <v>5</v>
      </c>
      <c r="T14" s="222">
        <f t="shared" si="2"/>
        <v>4095</v>
      </c>
    </row>
    <row r="15" spans="1:21" x14ac:dyDescent="0.3">
      <c r="K15" s="246"/>
      <c r="L15" s="251">
        <v>1</v>
      </c>
      <c r="Q15" s="221" t="s">
        <v>340</v>
      </c>
      <c r="R15" s="209">
        <v>4100</v>
      </c>
      <c r="S15" s="221">
        <v>5</v>
      </c>
      <c r="T15" s="222">
        <f t="shared" si="2"/>
        <v>4305</v>
      </c>
    </row>
    <row r="16" spans="1:21" x14ac:dyDescent="0.3">
      <c r="K16" s="246">
        <v>1</v>
      </c>
      <c r="L16" s="251">
        <v>10</v>
      </c>
      <c r="Q16" s="221" t="s">
        <v>341</v>
      </c>
      <c r="R16" s="209">
        <v>4300</v>
      </c>
      <c r="S16" s="221">
        <v>5</v>
      </c>
      <c r="T16" s="222">
        <f t="shared" si="2"/>
        <v>4515</v>
      </c>
    </row>
    <row r="17" spans="1:12" x14ac:dyDescent="0.3">
      <c r="K17" s="246"/>
      <c r="L17" s="251">
        <v>20</v>
      </c>
    </row>
    <row r="18" spans="1:12" ht="15" thickBot="1" x14ac:dyDescent="0.35">
      <c r="K18" s="246"/>
      <c r="L18" s="251">
        <v>30</v>
      </c>
    </row>
    <row r="19" spans="1:12" ht="14.4" customHeight="1" x14ac:dyDescent="0.35">
      <c r="A19" s="709" t="s">
        <v>342</v>
      </c>
      <c r="B19" s="709"/>
      <c r="C19" s="709"/>
      <c r="D19" s="709"/>
      <c r="E19" s="710"/>
      <c r="F19" s="733" t="s">
        <v>13</v>
      </c>
      <c r="K19" s="246"/>
      <c r="L19" s="251">
        <v>40</v>
      </c>
    </row>
    <row r="20" spans="1:12" ht="15" thickBot="1" x14ac:dyDescent="0.35">
      <c r="A20" s="120" t="s">
        <v>343</v>
      </c>
      <c r="B20" s="118" t="s">
        <v>344</v>
      </c>
      <c r="C20" s="120" t="s">
        <v>35</v>
      </c>
      <c r="D20" s="118" t="s">
        <v>308</v>
      </c>
      <c r="E20" s="249" t="s">
        <v>345</v>
      </c>
      <c r="F20" s="734"/>
      <c r="K20" s="246"/>
      <c r="L20" s="251">
        <v>50</v>
      </c>
    </row>
    <row r="21" spans="1:12" ht="43.8" thickBot="1" x14ac:dyDescent="0.35">
      <c r="A21" s="122" t="s">
        <v>346</v>
      </c>
      <c r="B21" s="127">
        <v>43.9</v>
      </c>
      <c r="C21" s="231">
        <v>0</v>
      </c>
      <c r="D21" s="128">
        <f>B21*C21</f>
        <v>0</v>
      </c>
      <c r="E21" s="711">
        <f>SUM(D21:D30)*F21</f>
        <v>79.040000000000006</v>
      </c>
      <c r="F21" s="250">
        <f>INDEX(L15:L25,K16)</f>
        <v>1</v>
      </c>
      <c r="K21" s="246"/>
      <c r="L21" s="251">
        <v>60</v>
      </c>
    </row>
    <row r="22" spans="1:12" ht="42" thickBot="1" x14ac:dyDescent="0.35">
      <c r="A22" s="125" t="s">
        <v>347</v>
      </c>
      <c r="B22" s="127">
        <v>4.49</v>
      </c>
      <c r="C22" s="231">
        <v>3</v>
      </c>
      <c r="D22" s="128">
        <f t="shared" ref="D22:D30" si="5">B22*C22</f>
        <v>13.47</v>
      </c>
      <c r="E22" s="712"/>
      <c r="K22" s="246"/>
      <c r="L22" s="251">
        <v>70</v>
      </c>
    </row>
    <row r="23" spans="1:12" ht="57.6" x14ac:dyDescent="0.3">
      <c r="A23" s="138" t="s">
        <v>348</v>
      </c>
      <c r="B23" s="119">
        <v>135.66</v>
      </c>
      <c r="C23" s="139">
        <v>0</v>
      </c>
      <c r="D23" s="140">
        <f t="shared" si="5"/>
        <v>0</v>
      </c>
      <c r="K23" s="246"/>
      <c r="L23" s="251">
        <v>80</v>
      </c>
    </row>
    <row r="24" spans="1:12" ht="40.200000000000003" x14ac:dyDescent="0.3">
      <c r="A24" s="145" t="s">
        <v>349</v>
      </c>
      <c r="B24" s="146">
        <v>120</v>
      </c>
      <c r="C24" s="231">
        <v>0</v>
      </c>
      <c r="D24" s="137">
        <f t="shared" ref="D24" si="6">B24*C24</f>
        <v>0</v>
      </c>
      <c r="K24" s="246"/>
      <c r="L24" s="251">
        <v>90</v>
      </c>
    </row>
    <row r="25" spans="1:12" ht="57.6" x14ac:dyDescent="0.3">
      <c r="A25" s="141" t="s">
        <v>350</v>
      </c>
      <c r="B25" s="142">
        <v>265.22000000000003</v>
      </c>
      <c r="C25" s="143">
        <v>0</v>
      </c>
      <c r="D25" s="144">
        <f t="shared" si="5"/>
        <v>0</v>
      </c>
      <c r="K25" s="246"/>
      <c r="L25" s="251">
        <v>100</v>
      </c>
    </row>
    <row r="26" spans="1:12" ht="55.8" x14ac:dyDescent="0.3">
      <c r="A26" s="124" t="s">
        <v>351</v>
      </c>
      <c r="B26" s="127">
        <v>2</v>
      </c>
      <c r="C26" s="231">
        <v>4</v>
      </c>
      <c r="D26" s="129">
        <f t="shared" si="5"/>
        <v>8</v>
      </c>
    </row>
    <row r="27" spans="1:12" ht="54" customHeight="1" x14ac:dyDescent="0.3">
      <c r="A27" s="122" t="s">
        <v>352</v>
      </c>
      <c r="B27" s="119">
        <v>38.659999999999997</v>
      </c>
      <c r="C27" s="231">
        <v>0</v>
      </c>
      <c r="D27" s="129">
        <f t="shared" si="5"/>
        <v>0</v>
      </c>
    </row>
    <row r="28" spans="1:12" ht="100.8" x14ac:dyDescent="0.3">
      <c r="A28" s="122" t="s">
        <v>353</v>
      </c>
      <c r="B28" s="127">
        <v>3.39</v>
      </c>
      <c r="C28" s="231">
        <v>3</v>
      </c>
      <c r="D28" s="129">
        <f t="shared" si="5"/>
        <v>10.17</v>
      </c>
    </row>
    <row r="29" spans="1:12" ht="41.4" x14ac:dyDescent="0.3">
      <c r="A29" s="125" t="s">
        <v>354</v>
      </c>
      <c r="B29" s="121">
        <v>4.9000000000000004</v>
      </c>
      <c r="C29" s="231">
        <v>3</v>
      </c>
      <c r="D29" s="129">
        <f>B29*C29</f>
        <v>14.700000000000001</v>
      </c>
    </row>
    <row r="30" spans="1:12" ht="28.2" x14ac:dyDescent="0.3">
      <c r="A30" s="126" t="s">
        <v>355</v>
      </c>
      <c r="B30" s="127">
        <v>10.9</v>
      </c>
      <c r="C30" s="231">
        <v>3</v>
      </c>
      <c r="D30" s="129">
        <f t="shared" si="5"/>
        <v>32.700000000000003</v>
      </c>
    </row>
    <row r="31" spans="1:12" s="115" customFormat="1" x14ac:dyDescent="0.3"/>
    <row r="32" spans="1:12" ht="18" x14ac:dyDescent="0.35">
      <c r="A32" s="705" t="s">
        <v>299</v>
      </c>
      <c r="B32" s="705"/>
      <c r="C32" s="705"/>
      <c r="D32" s="705"/>
      <c r="E32" s="706"/>
      <c r="F32" s="706"/>
      <c r="G32" s="705"/>
      <c r="H32" s="705"/>
      <c r="I32" s="705"/>
    </row>
    <row r="33" spans="1:9" ht="18" x14ac:dyDescent="0.35">
      <c r="A33" s="707" t="s">
        <v>300</v>
      </c>
      <c r="B33" s="708"/>
      <c r="C33" s="708"/>
      <c r="D33" s="708"/>
      <c r="E33" s="708"/>
      <c r="F33" s="708"/>
      <c r="G33" s="713" t="s">
        <v>301</v>
      </c>
      <c r="H33" s="714"/>
      <c r="I33" s="715"/>
    </row>
    <row r="34" spans="1:9" ht="18.600000000000001" thickBot="1" x14ac:dyDescent="0.4">
      <c r="A34" s="65" t="s">
        <v>303</v>
      </c>
      <c r="B34" s="65" t="s">
        <v>304</v>
      </c>
      <c r="C34" s="65" t="s">
        <v>35</v>
      </c>
      <c r="D34" s="65" t="s">
        <v>305</v>
      </c>
      <c r="E34" s="66" t="s">
        <v>306</v>
      </c>
      <c r="F34" s="132" t="s">
        <v>68</v>
      </c>
      <c r="G34" s="722">
        <f>1+G3</f>
        <v>2</v>
      </c>
      <c r="H34" s="723"/>
      <c r="I34" s="724"/>
    </row>
    <row r="35" spans="1:9" ht="15" customHeight="1" thickBot="1" x14ac:dyDescent="0.35">
      <c r="A35" s="63" t="s">
        <v>311</v>
      </c>
      <c r="B35" s="63">
        <v>28</v>
      </c>
      <c r="C35" s="63">
        <v>3</v>
      </c>
      <c r="D35" s="215">
        <f>D39</f>
        <v>3.2848082896615129</v>
      </c>
      <c r="E35" s="223">
        <f>B35*C35*D35</f>
        <v>275.92389633156711</v>
      </c>
      <c r="F35" s="729">
        <f>SUM(E35:E37,F39:F43)+E51+E45</f>
        <v>6423.9073257738737</v>
      </c>
      <c r="G35" s="725"/>
      <c r="H35" s="726"/>
      <c r="I35" s="727"/>
    </row>
    <row r="36" spans="1:9" ht="14.4" customHeight="1" x14ac:dyDescent="0.3">
      <c r="A36" s="63" t="s">
        <v>313</v>
      </c>
      <c r="B36" s="63">
        <v>8</v>
      </c>
      <c r="C36" s="63">
        <v>3</v>
      </c>
      <c r="D36" s="215">
        <f>D35</f>
        <v>3.2848082896615129</v>
      </c>
      <c r="E36" s="223">
        <f t="shared" ref="E36:E37" si="7">B36*C36*D36</f>
        <v>78.835398951876314</v>
      </c>
      <c r="F36" s="730"/>
    </row>
    <row r="37" spans="1:9" ht="15" customHeight="1" thickBot="1" x14ac:dyDescent="0.35">
      <c r="A37" s="63" t="s">
        <v>315</v>
      </c>
      <c r="B37" s="63">
        <v>27</v>
      </c>
      <c r="C37" s="63">
        <v>3</v>
      </c>
      <c r="D37" s="215">
        <f>D36</f>
        <v>3.2848082896615129</v>
      </c>
      <c r="E37" s="223">
        <f t="shared" si="7"/>
        <v>266.06947146258256</v>
      </c>
      <c r="F37" s="731"/>
    </row>
    <row r="38" spans="1:9" ht="31.2" x14ac:dyDescent="0.3">
      <c r="A38" s="216" t="s">
        <v>317</v>
      </c>
      <c r="B38" s="217" t="s">
        <v>318</v>
      </c>
      <c r="C38" s="216" t="s">
        <v>319</v>
      </c>
      <c r="D38" s="216" t="s">
        <v>305</v>
      </c>
      <c r="E38" s="216" t="s">
        <v>320</v>
      </c>
      <c r="F38" s="225" t="s">
        <v>321</v>
      </c>
    </row>
    <row r="39" spans="1:9" x14ac:dyDescent="0.3">
      <c r="A39" s="63" t="s">
        <v>323</v>
      </c>
      <c r="B39" s="218">
        <v>127</v>
      </c>
      <c r="C39" s="219">
        <f>INDEX('DIMENCINAMENTO DE PLACA'!G28:G33,'DIMENCINAMENTO DE PLACA'!F18)</f>
        <v>22.993658027630591</v>
      </c>
      <c r="D39" s="215">
        <f>C39/7</f>
        <v>3.2848082896615129</v>
      </c>
      <c r="E39" s="63">
        <f>F39/C39</f>
        <v>126.99999999999999</v>
      </c>
      <c r="F39" s="218">
        <f>B39*C39</f>
        <v>2920.1945695090849</v>
      </c>
    </row>
    <row r="40" spans="1:9" ht="15.6" x14ac:dyDescent="0.3">
      <c r="A40" s="135" t="s">
        <v>317</v>
      </c>
      <c r="B40" s="135" t="s">
        <v>325</v>
      </c>
      <c r="C40" s="135" t="s">
        <v>35</v>
      </c>
      <c r="D40" s="135" t="s">
        <v>305</v>
      </c>
      <c r="E40" s="135" t="s">
        <v>320</v>
      </c>
      <c r="F40" s="135" t="s">
        <v>321</v>
      </c>
    </row>
    <row r="41" spans="1:9" x14ac:dyDescent="0.3">
      <c r="A41" s="63" t="s">
        <v>327</v>
      </c>
      <c r="B41" s="63">
        <v>150</v>
      </c>
      <c r="C41" s="63">
        <v>0</v>
      </c>
      <c r="D41" s="63">
        <v>0</v>
      </c>
      <c r="E41" s="63" t="e">
        <f>F41/C41</f>
        <v>#DIV/0!</v>
      </c>
      <c r="F41" s="224">
        <f>B41*C41*D41</f>
        <v>0</v>
      </c>
    </row>
    <row r="42" spans="1:9" x14ac:dyDescent="0.3">
      <c r="A42" s="63" t="s">
        <v>329</v>
      </c>
      <c r="B42" s="63">
        <v>100</v>
      </c>
      <c r="C42" s="63">
        <v>0</v>
      </c>
      <c r="D42" s="63">
        <v>5</v>
      </c>
      <c r="E42" s="63" t="e">
        <f t="shared" ref="E42:E43" si="8">F42/C42</f>
        <v>#DIV/0!</v>
      </c>
      <c r="F42" s="224">
        <f>B42*C42*D42</f>
        <v>0</v>
      </c>
    </row>
    <row r="43" spans="1:9" x14ac:dyDescent="0.3">
      <c r="A43" s="63" t="s">
        <v>331</v>
      </c>
      <c r="B43" s="63">
        <v>240</v>
      </c>
      <c r="C43" s="63">
        <v>1</v>
      </c>
      <c r="D43" s="215">
        <f>D37</f>
        <v>3.2848082896615129</v>
      </c>
      <c r="E43" s="63">
        <f t="shared" si="8"/>
        <v>788.35398951876311</v>
      </c>
      <c r="F43" s="224">
        <f t="shared" ref="F43" si="9">B43*C43*D43</f>
        <v>788.35398951876311</v>
      </c>
    </row>
    <row r="44" spans="1:9" ht="15.6" x14ac:dyDescent="0.3">
      <c r="A44" s="135" t="s">
        <v>333</v>
      </c>
      <c r="B44" s="135" t="s">
        <v>334</v>
      </c>
      <c r="C44" s="216" t="s">
        <v>335</v>
      </c>
      <c r="D44" s="216" t="s">
        <v>336</v>
      </c>
      <c r="E44" s="135" t="s">
        <v>321</v>
      </c>
    </row>
    <row r="45" spans="1:9" x14ac:dyDescent="0.3">
      <c r="A45" s="63" t="s">
        <v>338</v>
      </c>
      <c r="B45" s="63"/>
      <c r="C45" s="63">
        <f>INDEX($T$4:$T$16,$R1)</f>
        <v>1995</v>
      </c>
      <c r="D45" s="64">
        <v>1</v>
      </c>
      <c r="E45" s="1">
        <f>C45*D45</f>
        <v>1995</v>
      </c>
    </row>
    <row r="49" spans="1:13" ht="18" x14ac:dyDescent="0.35">
      <c r="A49" s="709" t="s">
        <v>342</v>
      </c>
      <c r="B49" s="709"/>
      <c r="C49" s="709"/>
      <c r="D49" s="709"/>
      <c r="E49" s="709"/>
    </row>
    <row r="50" spans="1:13" x14ac:dyDescent="0.3">
      <c r="A50" s="120" t="s">
        <v>343</v>
      </c>
      <c r="B50" s="118" t="s">
        <v>344</v>
      </c>
      <c r="C50" s="120" t="s">
        <v>35</v>
      </c>
      <c r="D50" s="118" t="s">
        <v>308</v>
      </c>
      <c r="E50" s="120" t="s">
        <v>345</v>
      </c>
    </row>
    <row r="51" spans="1:13" ht="43.2" x14ac:dyDescent="0.3">
      <c r="A51" s="122" t="s">
        <v>346</v>
      </c>
      <c r="B51" s="127">
        <v>43.9</v>
      </c>
      <c r="C51" s="231">
        <v>0</v>
      </c>
      <c r="D51" s="128">
        <f>B51*C51</f>
        <v>0</v>
      </c>
      <c r="E51" s="703">
        <f>SUM(D51:D59)</f>
        <v>99.53</v>
      </c>
    </row>
    <row r="52" spans="1:13" ht="41.4" x14ac:dyDescent="0.3">
      <c r="A52" s="125" t="s">
        <v>347</v>
      </c>
      <c r="B52" s="127">
        <v>4.49</v>
      </c>
      <c r="C52" s="231">
        <v>3</v>
      </c>
      <c r="D52" s="128">
        <f t="shared" ref="D52:D57" si="10">B52*C52</f>
        <v>13.47</v>
      </c>
      <c r="E52" s="704"/>
    </row>
    <row r="53" spans="1:13" ht="57.6" x14ac:dyDescent="0.3">
      <c r="A53" s="122" t="s">
        <v>348</v>
      </c>
      <c r="B53" s="119">
        <v>135.66</v>
      </c>
      <c r="C53" s="139">
        <v>0</v>
      </c>
      <c r="D53" s="129">
        <f t="shared" si="10"/>
        <v>0</v>
      </c>
    </row>
    <row r="54" spans="1:13" ht="57.6" x14ac:dyDescent="0.3">
      <c r="A54" s="123" t="s">
        <v>350</v>
      </c>
      <c r="B54" s="127">
        <v>265.22000000000003</v>
      </c>
      <c r="C54" s="231">
        <v>0</v>
      </c>
      <c r="D54" s="129">
        <f t="shared" si="10"/>
        <v>0</v>
      </c>
    </row>
    <row r="55" spans="1:13" ht="55.8" x14ac:dyDescent="0.3">
      <c r="A55" s="124" t="s">
        <v>351</v>
      </c>
      <c r="B55" s="127">
        <v>2</v>
      </c>
      <c r="C55" s="143">
        <v>0</v>
      </c>
      <c r="D55" s="129">
        <f t="shared" si="10"/>
        <v>0</v>
      </c>
    </row>
    <row r="56" spans="1:13" ht="43.2" x14ac:dyDescent="0.3">
      <c r="A56" s="122" t="s">
        <v>352</v>
      </c>
      <c r="B56" s="119">
        <v>38.659999999999997</v>
      </c>
      <c r="C56" s="231">
        <v>1</v>
      </c>
      <c r="D56" s="129">
        <f t="shared" si="10"/>
        <v>38.659999999999997</v>
      </c>
    </row>
    <row r="57" spans="1:13" ht="100.8" x14ac:dyDescent="0.3">
      <c r="A57" s="122" t="s">
        <v>353</v>
      </c>
      <c r="B57" s="127">
        <v>3.39</v>
      </c>
      <c r="C57" s="231">
        <v>0</v>
      </c>
      <c r="D57" s="129">
        <f t="shared" si="10"/>
        <v>0</v>
      </c>
    </row>
    <row r="58" spans="1:13" ht="41.4" x14ac:dyDescent="0.3">
      <c r="A58" s="125" t="s">
        <v>354</v>
      </c>
      <c r="B58" s="121">
        <v>4.9000000000000004</v>
      </c>
      <c r="C58" s="231">
        <v>3</v>
      </c>
      <c r="D58" s="129">
        <f>B58*C58</f>
        <v>14.700000000000001</v>
      </c>
    </row>
    <row r="59" spans="1:13" ht="28.2" x14ac:dyDescent="0.3">
      <c r="A59" s="126" t="s">
        <v>355</v>
      </c>
      <c r="B59" s="127">
        <v>10.9</v>
      </c>
      <c r="C59" s="231">
        <v>3</v>
      </c>
      <c r="D59" s="129">
        <f t="shared" ref="D59" si="11">B59*C59</f>
        <v>32.700000000000003</v>
      </c>
    </row>
    <row r="60" spans="1:13" x14ac:dyDescent="0.3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</row>
    <row r="61" spans="1:13" ht="18" x14ac:dyDescent="0.35">
      <c r="A61" s="705" t="s">
        <v>299</v>
      </c>
      <c r="B61" s="705"/>
      <c r="C61" s="705"/>
      <c r="D61" s="705"/>
      <c r="E61" s="706"/>
      <c r="F61" s="706"/>
      <c r="G61" s="705"/>
      <c r="H61" s="705"/>
      <c r="I61" s="705"/>
    </row>
    <row r="62" spans="1:13" ht="18" x14ac:dyDescent="0.35">
      <c r="A62" s="707" t="s">
        <v>300</v>
      </c>
      <c r="B62" s="708"/>
      <c r="C62" s="708"/>
      <c r="D62" s="708"/>
      <c r="E62" s="708"/>
      <c r="F62" s="708"/>
      <c r="G62" s="713" t="s">
        <v>301</v>
      </c>
      <c r="H62" s="714"/>
      <c r="I62" s="715"/>
    </row>
    <row r="63" spans="1:13" ht="18.600000000000001" thickBot="1" x14ac:dyDescent="0.4">
      <c r="A63" s="65" t="s">
        <v>303</v>
      </c>
      <c r="B63" s="65" t="s">
        <v>304</v>
      </c>
      <c r="C63" s="65" t="s">
        <v>35</v>
      </c>
      <c r="D63" s="65" t="s">
        <v>305</v>
      </c>
      <c r="E63" s="66" t="s">
        <v>306</v>
      </c>
      <c r="F63" s="132" t="s">
        <v>68</v>
      </c>
      <c r="G63" s="722">
        <f>1+G34</f>
        <v>3</v>
      </c>
      <c r="H63" s="723"/>
      <c r="I63" s="724"/>
    </row>
    <row r="64" spans="1:13" ht="15" customHeight="1" thickBot="1" x14ac:dyDescent="0.35">
      <c r="A64" s="63" t="s">
        <v>311</v>
      </c>
      <c r="B64" s="63">
        <v>28</v>
      </c>
      <c r="C64" s="63">
        <v>3</v>
      </c>
      <c r="D64" s="215">
        <f>D68</f>
        <v>3.9706473831073232</v>
      </c>
      <c r="E64" s="223">
        <f>B64*C64*D64</f>
        <v>333.53438018101514</v>
      </c>
      <c r="F64" s="729">
        <f>SUM(E64:E66,F68:F72)+E80+E74</f>
        <v>6388.3132509354527</v>
      </c>
      <c r="G64" s="725"/>
      <c r="H64" s="726"/>
      <c r="I64" s="727"/>
    </row>
    <row r="65" spans="1:6" ht="14.4" customHeight="1" x14ac:dyDescent="0.3">
      <c r="A65" s="63" t="s">
        <v>313</v>
      </c>
      <c r="B65" s="63">
        <v>8</v>
      </c>
      <c r="C65" s="63">
        <v>3</v>
      </c>
      <c r="D65" s="215">
        <f>D64</f>
        <v>3.9706473831073232</v>
      </c>
      <c r="E65" s="223">
        <f t="shared" ref="E65:E66" si="12">B65*C65*D65</f>
        <v>95.295537194575758</v>
      </c>
      <c r="F65" s="730"/>
    </row>
    <row r="66" spans="1:6" ht="15" customHeight="1" thickBot="1" x14ac:dyDescent="0.35">
      <c r="A66" s="63" t="s">
        <v>315</v>
      </c>
      <c r="B66" s="63">
        <v>27</v>
      </c>
      <c r="C66" s="63">
        <v>3</v>
      </c>
      <c r="D66" s="215">
        <f>D65</f>
        <v>3.9706473831073232</v>
      </c>
      <c r="E66" s="223">
        <f t="shared" si="12"/>
        <v>321.62243803169321</v>
      </c>
      <c r="F66" s="731"/>
    </row>
    <row r="67" spans="1:6" ht="31.2" x14ac:dyDescent="0.3">
      <c r="A67" s="216" t="s">
        <v>317</v>
      </c>
      <c r="B67" s="217" t="s">
        <v>318</v>
      </c>
      <c r="C67" s="216" t="s">
        <v>319</v>
      </c>
      <c r="D67" s="216" t="s">
        <v>305</v>
      </c>
      <c r="E67" s="216" t="s">
        <v>320</v>
      </c>
      <c r="F67" s="225" t="s">
        <v>321</v>
      </c>
    </row>
    <row r="68" spans="1:6" x14ac:dyDescent="0.3">
      <c r="A68" s="63" t="s">
        <v>323</v>
      </c>
      <c r="B68" s="218">
        <v>127</v>
      </c>
      <c r="C68" s="219">
        <f>INDEX('DIMENCINAMENTO DE PLACA'!G45:G50,'DIMENCINAMENTO DE PLACA'!F35)</f>
        <v>27.794531681751263</v>
      </c>
      <c r="D68" s="215">
        <f>C68/7</f>
        <v>3.9706473831073232</v>
      </c>
      <c r="E68" s="63">
        <f>F68/C68</f>
        <v>127</v>
      </c>
      <c r="F68" s="218">
        <f>B68*C68</f>
        <v>3529.9055235824103</v>
      </c>
    </row>
    <row r="69" spans="1:6" ht="15.6" x14ac:dyDescent="0.3">
      <c r="A69" s="135" t="s">
        <v>317</v>
      </c>
      <c r="B69" s="135" t="s">
        <v>325</v>
      </c>
      <c r="C69" s="135" t="s">
        <v>35</v>
      </c>
      <c r="D69" s="135" t="s">
        <v>305</v>
      </c>
      <c r="E69" s="135" t="s">
        <v>320</v>
      </c>
      <c r="F69" s="135" t="s">
        <v>321</v>
      </c>
    </row>
    <row r="70" spans="1:6" x14ac:dyDescent="0.3">
      <c r="A70" s="63" t="s">
        <v>327</v>
      </c>
      <c r="B70" s="63">
        <v>150</v>
      </c>
      <c r="C70" s="63">
        <v>0</v>
      </c>
      <c r="D70" s="63">
        <v>0</v>
      </c>
      <c r="E70" s="63" t="e">
        <f>F70/C70</f>
        <v>#DIV/0!</v>
      </c>
      <c r="F70" s="224">
        <f>B70*C70*D70</f>
        <v>0</v>
      </c>
    </row>
    <row r="71" spans="1:6" x14ac:dyDescent="0.3">
      <c r="A71" s="63" t="s">
        <v>329</v>
      </c>
      <c r="B71" s="63">
        <v>100</v>
      </c>
      <c r="C71" s="63">
        <v>0</v>
      </c>
      <c r="D71" s="63">
        <v>5</v>
      </c>
      <c r="E71" s="63" t="e">
        <f t="shared" ref="E71:E72" si="13">F71/C71</f>
        <v>#DIV/0!</v>
      </c>
      <c r="F71" s="224">
        <f>B71*C71*D71</f>
        <v>0</v>
      </c>
    </row>
    <row r="72" spans="1:6" x14ac:dyDescent="0.3">
      <c r="A72" s="63" t="s">
        <v>331</v>
      </c>
      <c r="B72" s="63">
        <v>240</v>
      </c>
      <c r="C72" s="63">
        <v>1</v>
      </c>
      <c r="D72" s="215">
        <f>D68</f>
        <v>3.9706473831073232</v>
      </c>
      <c r="E72" s="63">
        <f t="shared" si="13"/>
        <v>952.95537194575763</v>
      </c>
      <c r="F72" s="224">
        <f t="shared" ref="F72" si="14">B72*C72*D72</f>
        <v>952.95537194575763</v>
      </c>
    </row>
    <row r="73" spans="1:6" ht="15.6" x14ac:dyDescent="0.3">
      <c r="A73" s="135" t="s">
        <v>333</v>
      </c>
      <c r="B73" s="135" t="s">
        <v>334</v>
      </c>
      <c r="C73" s="216" t="s">
        <v>335</v>
      </c>
      <c r="D73" s="216" t="s">
        <v>336</v>
      </c>
      <c r="E73" s="135" t="s">
        <v>321</v>
      </c>
    </row>
    <row r="74" spans="1:6" x14ac:dyDescent="0.3">
      <c r="A74" s="63" t="s">
        <v>338</v>
      </c>
      <c r="B74" s="63"/>
      <c r="C74" s="63">
        <f>INDEX($T$4:$T$16,S$1)</f>
        <v>1155</v>
      </c>
      <c r="D74" s="64">
        <v>1</v>
      </c>
      <c r="E74" s="1">
        <f>C74*D74</f>
        <v>1155</v>
      </c>
    </row>
    <row r="77" spans="1:6" ht="18" x14ac:dyDescent="0.35">
      <c r="A77" s="709" t="s">
        <v>342</v>
      </c>
      <c r="B77" s="709"/>
      <c r="C77" s="709"/>
      <c r="D77" s="709"/>
      <c r="E77" s="709"/>
    </row>
    <row r="78" spans="1:6" x14ac:dyDescent="0.3">
      <c r="A78" s="120" t="s">
        <v>343</v>
      </c>
      <c r="B78" s="118" t="s">
        <v>344</v>
      </c>
      <c r="C78" s="120" t="s">
        <v>35</v>
      </c>
      <c r="D78" s="118" t="s">
        <v>308</v>
      </c>
      <c r="E78" s="120" t="s">
        <v>345</v>
      </c>
    </row>
    <row r="79" spans="1:6" ht="43.2" x14ac:dyDescent="0.3">
      <c r="A79" s="122" t="s">
        <v>346</v>
      </c>
      <c r="B79" s="127">
        <v>43.9</v>
      </c>
      <c r="C79" s="231">
        <v>0</v>
      </c>
      <c r="D79" s="128">
        <f>B79*C79</f>
        <v>0</v>
      </c>
      <c r="E79" s="703">
        <f>SUM(D79:D87)</f>
        <v>215.51</v>
      </c>
    </row>
    <row r="80" spans="1:6" ht="41.4" x14ac:dyDescent="0.3">
      <c r="A80" s="125" t="s">
        <v>347</v>
      </c>
      <c r="B80" s="127">
        <v>4.49</v>
      </c>
      <c r="C80" s="231">
        <v>3</v>
      </c>
      <c r="D80" s="128">
        <f t="shared" ref="D80:D85" si="15">B80*C80</f>
        <v>13.47</v>
      </c>
      <c r="E80" s="704"/>
    </row>
    <row r="81" spans="1:13" ht="57.6" x14ac:dyDescent="0.3">
      <c r="A81" s="122" t="s">
        <v>348</v>
      </c>
      <c r="B81" s="119">
        <v>135.66</v>
      </c>
      <c r="C81" s="139">
        <v>0</v>
      </c>
      <c r="D81" s="129">
        <f t="shared" si="15"/>
        <v>0</v>
      </c>
    </row>
    <row r="82" spans="1:13" ht="57.6" x14ac:dyDescent="0.3">
      <c r="A82" s="123" t="s">
        <v>350</v>
      </c>
      <c r="B82" s="127">
        <v>265.22000000000003</v>
      </c>
      <c r="C82" s="231">
        <v>0</v>
      </c>
      <c r="D82" s="129">
        <f t="shared" si="15"/>
        <v>0</v>
      </c>
    </row>
    <row r="83" spans="1:13" ht="55.8" x14ac:dyDescent="0.3">
      <c r="A83" s="124" t="s">
        <v>351</v>
      </c>
      <c r="B83" s="127">
        <v>2</v>
      </c>
      <c r="C83" s="143">
        <v>0</v>
      </c>
      <c r="D83" s="129">
        <f t="shared" si="15"/>
        <v>0</v>
      </c>
    </row>
    <row r="84" spans="1:13" ht="43.2" x14ac:dyDescent="0.3">
      <c r="A84" s="122" t="s">
        <v>352</v>
      </c>
      <c r="B84" s="119">
        <v>38.659999999999997</v>
      </c>
      <c r="C84" s="231">
        <v>4</v>
      </c>
      <c r="D84" s="129">
        <f t="shared" si="15"/>
        <v>154.63999999999999</v>
      </c>
    </row>
    <row r="85" spans="1:13" ht="100.8" x14ac:dyDescent="0.3">
      <c r="A85" s="122" t="s">
        <v>353</v>
      </c>
      <c r="B85" s="127">
        <v>3.39</v>
      </c>
      <c r="C85" s="231">
        <v>0</v>
      </c>
      <c r="D85" s="129">
        <f t="shared" si="15"/>
        <v>0</v>
      </c>
    </row>
    <row r="86" spans="1:13" ht="41.4" x14ac:dyDescent="0.3">
      <c r="A86" s="125" t="s">
        <v>354</v>
      </c>
      <c r="B86" s="121">
        <v>4.9000000000000004</v>
      </c>
      <c r="C86" s="231">
        <v>3</v>
      </c>
      <c r="D86" s="129">
        <f>B86*C86</f>
        <v>14.700000000000001</v>
      </c>
    </row>
    <row r="87" spans="1:13" ht="28.2" x14ac:dyDescent="0.3">
      <c r="A87" s="126" t="s">
        <v>355</v>
      </c>
      <c r="B87" s="127">
        <v>10.9</v>
      </c>
      <c r="C87" s="231">
        <v>3</v>
      </c>
      <c r="D87" s="129">
        <f t="shared" ref="D87" si="16">B87*C87</f>
        <v>32.700000000000003</v>
      </c>
    </row>
    <row r="88" spans="1:13" x14ac:dyDescent="0.3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</row>
    <row r="89" spans="1:13" ht="18" x14ac:dyDescent="0.35">
      <c r="A89" s="705" t="s">
        <v>299</v>
      </c>
      <c r="B89" s="705"/>
      <c r="C89" s="705"/>
      <c r="D89" s="705"/>
      <c r="E89" s="706"/>
      <c r="F89" s="706"/>
      <c r="G89" s="705"/>
      <c r="H89" s="705"/>
      <c r="I89" s="705"/>
    </row>
    <row r="90" spans="1:13" ht="18" x14ac:dyDescent="0.35">
      <c r="A90" s="707" t="s">
        <v>300</v>
      </c>
      <c r="B90" s="708"/>
      <c r="C90" s="708"/>
      <c r="D90" s="708"/>
      <c r="E90" s="708"/>
      <c r="F90" s="708"/>
      <c r="G90" s="713" t="s">
        <v>301</v>
      </c>
      <c r="H90" s="714"/>
      <c r="I90" s="715"/>
    </row>
    <row r="91" spans="1:13" ht="18.600000000000001" thickBot="1" x14ac:dyDescent="0.4">
      <c r="A91" s="65" t="s">
        <v>303</v>
      </c>
      <c r="B91" s="65" t="s">
        <v>304</v>
      </c>
      <c r="C91" s="65" t="s">
        <v>35</v>
      </c>
      <c r="D91" s="65" t="s">
        <v>305</v>
      </c>
      <c r="E91" s="66" t="s">
        <v>306</v>
      </c>
      <c r="F91" s="132" t="s">
        <v>68</v>
      </c>
      <c r="G91" s="722">
        <f>1+G63</f>
        <v>4</v>
      </c>
      <c r="H91" s="723"/>
      <c r="I91" s="724"/>
    </row>
    <row r="92" spans="1:13" ht="15" thickBot="1" x14ac:dyDescent="0.35">
      <c r="A92" s="63" t="s">
        <v>311</v>
      </c>
      <c r="B92" s="63">
        <v>28</v>
      </c>
      <c r="C92" s="63">
        <v>3</v>
      </c>
      <c r="D92" s="215">
        <f>$D$8</f>
        <v>3.3149441455299673</v>
      </c>
      <c r="E92" s="223">
        <f>B92*C92*D92</f>
        <v>278.45530822451724</v>
      </c>
      <c r="F92" s="729">
        <f>SUM(E92:E94,F96:F101)+E109+E103</f>
        <v>7830.0730025330122</v>
      </c>
      <c r="G92" s="728"/>
      <c r="H92" s="726"/>
      <c r="I92" s="727"/>
    </row>
    <row r="93" spans="1:13" x14ac:dyDescent="0.3">
      <c r="A93" s="63" t="s">
        <v>313</v>
      </c>
      <c r="B93" s="63">
        <v>8</v>
      </c>
      <c r="C93" s="63">
        <v>3</v>
      </c>
      <c r="D93" s="215">
        <f t="shared" ref="D93:D94" si="17">$D$8</f>
        <v>3.3149441455299673</v>
      </c>
      <c r="E93" s="223">
        <f t="shared" ref="E93:E94" si="18">B93*C93*D93</f>
        <v>79.558659492719215</v>
      </c>
      <c r="F93" s="730"/>
    </row>
    <row r="94" spans="1:13" ht="15" thickBot="1" x14ac:dyDescent="0.35">
      <c r="A94" s="63" t="s">
        <v>315</v>
      </c>
      <c r="B94" s="63">
        <v>27</v>
      </c>
      <c r="C94" s="63">
        <v>3</v>
      </c>
      <c r="D94" s="215">
        <f t="shared" si="17"/>
        <v>3.3149441455299673</v>
      </c>
      <c r="E94" s="223">
        <f t="shared" si="18"/>
        <v>268.51047578792736</v>
      </c>
      <c r="F94" s="731"/>
    </row>
    <row r="95" spans="1:13" ht="31.2" x14ac:dyDescent="0.3">
      <c r="A95" s="216" t="s">
        <v>317</v>
      </c>
      <c r="B95" s="217" t="s">
        <v>318</v>
      </c>
      <c r="C95" s="216" t="s">
        <v>319</v>
      </c>
      <c r="D95" s="216" t="s">
        <v>305</v>
      </c>
      <c r="E95" s="216" t="s">
        <v>320</v>
      </c>
      <c r="F95" s="225" t="s">
        <v>321</v>
      </c>
    </row>
    <row r="96" spans="1:13" x14ac:dyDescent="0.3">
      <c r="A96" s="63" t="s">
        <v>323</v>
      </c>
      <c r="B96" s="218">
        <v>127</v>
      </c>
      <c r="C96" s="219">
        <f>INDEX('DIMENCINAMENTO DE PLACA'!G62:G67,'DIMENCINAMENTO DE PLACA'!F52)</f>
        <v>22.993658027630591</v>
      </c>
      <c r="D96" s="215">
        <f>C96/7</f>
        <v>3.2848082896615129</v>
      </c>
      <c r="E96" s="63">
        <f>F96/C96</f>
        <v>126.99999999999999</v>
      </c>
      <c r="F96" s="218">
        <f>B96*C96</f>
        <v>2920.1945695090849</v>
      </c>
    </row>
    <row r="97" spans="1:6" ht="15.6" x14ac:dyDescent="0.3">
      <c r="A97" s="135" t="s">
        <v>317</v>
      </c>
      <c r="B97" s="135" t="s">
        <v>325</v>
      </c>
      <c r="C97" s="135" t="s">
        <v>35</v>
      </c>
      <c r="D97" s="135" t="s">
        <v>305</v>
      </c>
      <c r="E97" s="135" t="s">
        <v>320</v>
      </c>
      <c r="F97" s="135" t="s">
        <v>321</v>
      </c>
    </row>
    <row r="98" spans="1:6" x14ac:dyDescent="0.3">
      <c r="A98" s="63" t="s">
        <v>327</v>
      </c>
      <c r="B98" s="63">
        <v>150</v>
      </c>
      <c r="C98" s="63">
        <v>0</v>
      </c>
      <c r="D98" s="63">
        <v>0</v>
      </c>
      <c r="E98" s="63" t="e">
        <f>F98/C98</f>
        <v>#DIV/0!</v>
      </c>
      <c r="F98" s="224">
        <f>B98*C98*D98</f>
        <v>0</v>
      </c>
    </row>
    <row r="99" spans="1:6" x14ac:dyDescent="0.3">
      <c r="A99" s="63" t="s">
        <v>329</v>
      </c>
      <c r="B99" s="63">
        <v>100</v>
      </c>
      <c r="C99" s="63">
        <v>0</v>
      </c>
      <c r="D99" s="63">
        <v>5</v>
      </c>
      <c r="E99" s="63" t="e">
        <f t="shared" ref="E99:E101" si="19">F99/C99</f>
        <v>#DIV/0!</v>
      </c>
      <c r="F99" s="224">
        <f>B99*C99*D99</f>
        <v>0</v>
      </c>
    </row>
    <row r="100" spans="1:6" x14ac:dyDescent="0.3">
      <c r="A100" s="63" t="s">
        <v>338</v>
      </c>
      <c r="B100" s="63">
        <v>1500</v>
      </c>
      <c r="C100" s="63">
        <v>1</v>
      </c>
      <c r="D100" s="63">
        <v>1</v>
      </c>
      <c r="E100" s="63">
        <f t="shared" si="19"/>
        <v>1500</v>
      </c>
      <c r="F100" s="224">
        <f t="shared" ref="F100:F101" si="20">B100*C100*D100</f>
        <v>1500</v>
      </c>
    </row>
    <row r="101" spans="1:6" x14ac:dyDescent="0.3">
      <c r="A101" s="63" t="s">
        <v>331</v>
      </c>
      <c r="B101" s="63">
        <v>240</v>
      </c>
      <c r="C101" s="63">
        <v>1</v>
      </c>
      <c r="D101" s="215">
        <f>D96</f>
        <v>3.2848082896615129</v>
      </c>
      <c r="E101" s="63">
        <f t="shared" si="19"/>
        <v>788.35398951876311</v>
      </c>
      <c r="F101" s="224">
        <f t="shared" si="20"/>
        <v>788.35398951876311</v>
      </c>
    </row>
    <row r="102" spans="1:6" ht="15.6" x14ac:dyDescent="0.3">
      <c r="A102" s="135" t="s">
        <v>333</v>
      </c>
      <c r="B102" s="135" t="s">
        <v>334</v>
      </c>
      <c r="C102" s="216" t="s">
        <v>335</v>
      </c>
      <c r="D102" s="216" t="s">
        <v>336</v>
      </c>
      <c r="E102" s="135" t="s">
        <v>321</v>
      </c>
    </row>
    <row r="103" spans="1:6" x14ac:dyDescent="0.3">
      <c r="A103" s="63" t="s">
        <v>338</v>
      </c>
      <c r="B103" s="63"/>
      <c r="C103" s="63">
        <f>INDEX($T$4:$T$16,T1)</f>
        <v>1995</v>
      </c>
      <c r="D103" s="64">
        <v>1</v>
      </c>
      <c r="E103" s="1">
        <f>C103*D103</f>
        <v>1995</v>
      </c>
    </row>
    <row r="106" spans="1:6" ht="18" x14ac:dyDescent="0.35">
      <c r="A106" s="709" t="s">
        <v>342</v>
      </c>
      <c r="B106" s="709"/>
      <c r="C106" s="709"/>
      <c r="D106" s="709"/>
      <c r="E106" s="709"/>
    </row>
    <row r="107" spans="1:6" x14ac:dyDescent="0.3">
      <c r="A107" s="120" t="s">
        <v>343</v>
      </c>
      <c r="B107" s="118" t="s">
        <v>344</v>
      </c>
      <c r="C107" s="120" t="s">
        <v>35</v>
      </c>
      <c r="D107" s="118" t="s">
        <v>308</v>
      </c>
      <c r="E107" s="120" t="s">
        <v>345</v>
      </c>
    </row>
    <row r="108" spans="1:6" ht="43.2" x14ac:dyDescent="0.3">
      <c r="A108" s="122" t="s">
        <v>346</v>
      </c>
      <c r="B108" s="127">
        <v>43.9</v>
      </c>
      <c r="C108" s="231">
        <v>0</v>
      </c>
      <c r="D108" s="128">
        <f>B108*C108</f>
        <v>0</v>
      </c>
      <c r="E108" s="703">
        <f>SUM(D108:D116)</f>
        <v>99.53</v>
      </c>
    </row>
    <row r="109" spans="1:6" ht="41.4" x14ac:dyDescent="0.3">
      <c r="A109" s="125" t="s">
        <v>347</v>
      </c>
      <c r="B109" s="127">
        <v>4.49</v>
      </c>
      <c r="C109" s="231">
        <v>3</v>
      </c>
      <c r="D109" s="128">
        <f t="shared" ref="D109:D114" si="21">B109*C109</f>
        <v>13.47</v>
      </c>
      <c r="E109" s="704"/>
    </row>
    <row r="110" spans="1:6" ht="57.6" x14ac:dyDescent="0.3">
      <c r="A110" s="122" t="s">
        <v>348</v>
      </c>
      <c r="B110" s="119">
        <v>135.66</v>
      </c>
      <c r="C110" s="139">
        <v>0</v>
      </c>
      <c r="D110" s="129">
        <f t="shared" si="21"/>
        <v>0</v>
      </c>
    </row>
    <row r="111" spans="1:6" ht="57.6" x14ac:dyDescent="0.3">
      <c r="A111" s="123" t="s">
        <v>350</v>
      </c>
      <c r="B111" s="127">
        <v>265.22000000000003</v>
      </c>
      <c r="C111" s="231">
        <v>0</v>
      </c>
      <c r="D111" s="129">
        <f t="shared" si="21"/>
        <v>0</v>
      </c>
    </row>
    <row r="112" spans="1:6" ht="55.8" x14ac:dyDescent="0.3">
      <c r="A112" s="124" t="s">
        <v>351</v>
      </c>
      <c r="B112" s="127">
        <v>2</v>
      </c>
      <c r="C112" s="143">
        <v>0</v>
      </c>
      <c r="D112" s="129">
        <f t="shared" si="21"/>
        <v>0</v>
      </c>
    </row>
    <row r="113" spans="1:13" ht="43.2" x14ac:dyDescent="0.3">
      <c r="A113" s="122" t="s">
        <v>352</v>
      </c>
      <c r="B113" s="119">
        <v>38.659999999999997</v>
      </c>
      <c r="C113" s="231">
        <v>1</v>
      </c>
      <c r="D113" s="129">
        <f t="shared" si="21"/>
        <v>38.659999999999997</v>
      </c>
    </row>
    <row r="114" spans="1:13" ht="100.8" x14ac:dyDescent="0.3">
      <c r="A114" s="122" t="s">
        <v>353</v>
      </c>
      <c r="B114" s="127">
        <v>3.39</v>
      </c>
      <c r="C114" s="231">
        <v>0</v>
      </c>
      <c r="D114" s="129">
        <f t="shared" si="21"/>
        <v>0</v>
      </c>
    </row>
    <row r="115" spans="1:13" ht="41.4" x14ac:dyDescent="0.3">
      <c r="A115" s="125" t="s">
        <v>354</v>
      </c>
      <c r="B115" s="121">
        <v>4.9000000000000004</v>
      </c>
      <c r="C115" s="231">
        <v>3</v>
      </c>
      <c r="D115" s="129">
        <f>B115*C115</f>
        <v>14.700000000000001</v>
      </c>
    </row>
    <row r="116" spans="1:13" ht="28.2" x14ac:dyDescent="0.3">
      <c r="A116" s="126" t="s">
        <v>355</v>
      </c>
      <c r="B116" s="127">
        <v>10.9</v>
      </c>
      <c r="C116" s="231">
        <v>3</v>
      </c>
      <c r="D116" s="129">
        <f t="shared" ref="D116" si="22">B116*C116</f>
        <v>32.700000000000003</v>
      </c>
    </row>
    <row r="117" spans="1:13" x14ac:dyDescent="0.3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</row>
    <row r="118" spans="1:13" ht="18" x14ac:dyDescent="0.35">
      <c r="A118" s="705" t="s">
        <v>299</v>
      </c>
      <c r="B118" s="705"/>
      <c r="C118" s="705"/>
      <c r="D118" s="705"/>
      <c r="E118" s="706"/>
      <c r="F118" s="706"/>
      <c r="G118" s="705"/>
      <c r="H118" s="705"/>
      <c r="I118" s="705"/>
    </row>
    <row r="119" spans="1:13" ht="18" x14ac:dyDescent="0.35">
      <c r="A119" s="707" t="s">
        <v>300</v>
      </c>
      <c r="B119" s="708"/>
      <c r="C119" s="708"/>
      <c r="D119" s="708"/>
      <c r="E119" s="708"/>
      <c r="F119" s="708"/>
      <c r="G119" s="713" t="s">
        <v>301</v>
      </c>
      <c r="H119" s="714"/>
      <c r="I119" s="715"/>
    </row>
    <row r="120" spans="1:13" ht="18.600000000000001" thickBot="1" x14ac:dyDescent="0.4">
      <c r="A120" s="65" t="s">
        <v>303</v>
      </c>
      <c r="B120" s="65" t="s">
        <v>304</v>
      </c>
      <c r="C120" s="65" t="s">
        <v>35</v>
      </c>
      <c r="D120" s="65" t="s">
        <v>305</v>
      </c>
      <c r="E120" s="66" t="s">
        <v>306</v>
      </c>
      <c r="F120" s="132" t="s">
        <v>68</v>
      </c>
      <c r="G120" s="722">
        <f>1+G91</f>
        <v>5</v>
      </c>
      <c r="H120" s="723"/>
      <c r="I120" s="724"/>
    </row>
    <row r="121" spans="1:13" ht="15" thickBot="1" x14ac:dyDescent="0.35">
      <c r="A121" s="63" t="s">
        <v>311</v>
      </c>
      <c r="B121" s="63">
        <v>28</v>
      </c>
      <c r="C121" s="63">
        <v>3</v>
      </c>
      <c r="D121" s="215">
        <f>$D$8</f>
        <v>3.3149441455299673</v>
      </c>
      <c r="E121" s="223">
        <f>B121*C121*D121</f>
        <v>278.45530822451724</v>
      </c>
      <c r="F121" s="729">
        <f>SUM(E121:E123,F125:F130)+E138+E132</f>
        <v>7483.6459815819717</v>
      </c>
      <c r="G121" s="728"/>
      <c r="H121" s="726"/>
      <c r="I121" s="727"/>
    </row>
    <row r="122" spans="1:13" x14ac:dyDescent="0.3">
      <c r="A122" s="63" t="s">
        <v>313</v>
      </c>
      <c r="B122" s="63">
        <v>8</v>
      </c>
      <c r="C122" s="63">
        <v>3</v>
      </c>
      <c r="D122" s="215">
        <f t="shared" ref="D122:D123" si="23">$D$8</f>
        <v>3.3149441455299673</v>
      </c>
      <c r="E122" s="223">
        <f t="shared" ref="E122:E123" si="24">B122*C122*D122</f>
        <v>79.558659492719215</v>
      </c>
      <c r="F122" s="730"/>
    </row>
    <row r="123" spans="1:13" ht="15" thickBot="1" x14ac:dyDescent="0.35">
      <c r="A123" s="63" t="s">
        <v>315</v>
      </c>
      <c r="B123" s="63">
        <v>27</v>
      </c>
      <c r="C123" s="63">
        <v>3</v>
      </c>
      <c r="D123" s="215">
        <f t="shared" si="23"/>
        <v>3.3149441455299673</v>
      </c>
      <c r="E123" s="223">
        <f t="shared" si="24"/>
        <v>268.51047578792736</v>
      </c>
      <c r="F123" s="731"/>
    </row>
    <row r="124" spans="1:13" ht="31.2" x14ac:dyDescent="0.3">
      <c r="A124" s="216" t="s">
        <v>317</v>
      </c>
      <c r="B124" s="217" t="s">
        <v>318</v>
      </c>
      <c r="C124" s="216" t="s">
        <v>319</v>
      </c>
      <c r="D124" s="216" t="s">
        <v>305</v>
      </c>
      <c r="E124" s="216" t="s">
        <v>320</v>
      </c>
      <c r="F124" s="225" t="s">
        <v>321</v>
      </c>
    </row>
    <row r="125" spans="1:13" x14ac:dyDescent="0.3">
      <c r="A125" s="63" t="s">
        <v>323</v>
      </c>
      <c r="B125" s="218">
        <v>127</v>
      </c>
      <c r="C125" s="219">
        <f>INDEX('DIMENCINAMENTO DE PLACA'!G79:G84,'DIMENCINAMENTO DE PLACA'!F69)</f>
        <v>21.434765957960721</v>
      </c>
      <c r="D125" s="215">
        <f>C125/7</f>
        <v>3.0621094225658174</v>
      </c>
      <c r="E125" s="63">
        <f>F125/C125</f>
        <v>127</v>
      </c>
      <c r="F125" s="218">
        <f>B125*C125</f>
        <v>2722.2152766610116</v>
      </c>
    </row>
    <row r="126" spans="1:13" ht="15.6" x14ac:dyDescent="0.3">
      <c r="A126" s="135" t="s">
        <v>317</v>
      </c>
      <c r="B126" s="135" t="s">
        <v>325</v>
      </c>
      <c r="C126" s="135" t="s">
        <v>35</v>
      </c>
      <c r="D126" s="135" t="s">
        <v>305</v>
      </c>
      <c r="E126" s="135" t="s">
        <v>320</v>
      </c>
      <c r="F126" s="135" t="s">
        <v>321</v>
      </c>
    </row>
    <row r="127" spans="1:13" x14ac:dyDescent="0.3">
      <c r="A127" s="63" t="s">
        <v>327</v>
      </c>
      <c r="B127" s="63">
        <v>150</v>
      </c>
      <c r="C127" s="63">
        <v>0</v>
      </c>
      <c r="D127" s="63">
        <v>0</v>
      </c>
      <c r="E127" s="63" t="e">
        <f>F127/C127</f>
        <v>#DIV/0!</v>
      </c>
      <c r="F127" s="224">
        <f>B127*C127*D127</f>
        <v>0</v>
      </c>
    </row>
    <row r="128" spans="1:13" x14ac:dyDescent="0.3">
      <c r="A128" s="63" t="s">
        <v>329</v>
      </c>
      <c r="B128" s="63">
        <v>100</v>
      </c>
      <c r="C128" s="63">
        <v>0</v>
      </c>
      <c r="D128" s="63">
        <v>5</v>
      </c>
      <c r="E128" s="63" t="e">
        <f t="shared" ref="E128:E130" si="25">F128/C128</f>
        <v>#DIV/0!</v>
      </c>
      <c r="F128" s="224">
        <f>B128*C128*D128</f>
        <v>0</v>
      </c>
    </row>
    <row r="129" spans="1:6" x14ac:dyDescent="0.3">
      <c r="A129" s="63" t="s">
        <v>338</v>
      </c>
      <c r="B129" s="63">
        <v>1500</v>
      </c>
      <c r="C129" s="63">
        <v>1</v>
      </c>
      <c r="D129" s="63">
        <v>1</v>
      </c>
      <c r="E129" s="63">
        <f t="shared" si="25"/>
        <v>1500</v>
      </c>
      <c r="F129" s="224">
        <f t="shared" ref="F129:F130" si="26">B129*C129*D129</f>
        <v>1500</v>
      </c>
    </row>
    <row r="130" spans="1:6" x14ac:dyDescent="0.3">
      <c r="A130" s="63" t="s">
        <v>331</v>
      </c>
      <c r="B130" s="63">
        <v>240</v>
      </c>
      <c r="C130" s="63">
        <v>1</v>
      </c>
      <c r="D130" s="215">
        <f>D125</f>
        <v>3.0621094225658174</v>
      </c>
      <c r="E130" s="63">
        <f t="shared" si="25"/>
        <v>734.90626141579617</v>
      </c>
      <c r="F130" s="224">
        <f t="shared" si="26"/>
        <v>734.90626141579617</v>
      </c>
    </row>
    <row r="131" spans="1:6" ht="15.6" x14ac:dyDescent="0.3">
      <c r="A131" s="135" t="s">
        <v>333</v>
      </c>
      <c r="B131" s="135" t="s">
        <v>334</v>
      </c>
      <c r="C131" s="216" t="s">
        <v>335</v>
      </c>
      <c r="D131" s="216" t="s">
        <v>336</v>
      </c>
      <c r="E131" s="135" t="s">
        <v>321</v>
      </c>
    </row>
    <row r="132" spans="1:6" x14ac:dyDescent="0.3">
      <c r="A132" s="63" t="s">
        <v>338</v>
      </c>
      <c r="B132" s="63"/>
      <c r="C132" s="63">
        <f>INDEX(R4:R16,U1)</f>
        <v>1900</v>
      </c>
      <c r="D132" s="64">
        <v>1</v>
      </c>
      <c r="E132" s="1">
        <f>C132*D132</f>
        <v>1900</v>
      </c>
    </row>
    <row r="135" spans="1:6" ht="18" x14ac:dyDescent="0.35">
      <c r="A135" s="709" t="s">
        <v>342</v>
      </c>
      <c r="B135" s="709"/>
      <c r="C135" s="709"/>
      <c r="D135" s="709"/>
      <c r="E135" s="709"/>
    </row>
    <row r="136" spans="1:6" x14ac:dyDescent="0.3">
      <c r="A136" s="120" t="s">
        <v>343</v>
      </c>
      <c r="B136" s="118" t="s">
        <v>344</v>
      </c>
      <c r="C136" s="120" t="s">
        <v>35</v>
      </c>
      <c r="D136" s="118" t="s">
        <v>308</v>
      </c>
      <c r="E136" s="120" t="s">
        <v>345</v>
      </c>
    </row>
    <row r="137" spans="1:6" ht="43.2" x14ac:dyDescent="0.3">
      <c r="A137" s="122" t="s">
        <v>346</v>
      </c>
      <c r="B137" s="127">
        <v>43.9</v>
      </c>
      <c r="C137" s="231">
        <v>0</v>
      </c>
      <c r="D137" s="128">
        <f>B137*C137</f>
        <v>0</v>
      </c>
      <c r="E137" s="703">
        <f>SUM(D137:D145)</f>
        <v>99.53</v>
      </c>
    </row>
    <row r="138" spans="1:6" ht="41.4" x14ac:dyDescent="0.3">
      <c r="A138" s="125" t="s">
        <v>347</v>
      </c>
      <c r="B138" s="127">
        <v>4.49</v>
      </c>
      <c r="C138" s="231">
        <v>3</v>
      </c>
      <c r="D138" s="128">
        <f t="shared" ref="D138:D143" si="27">B138*C138</f>
        <v>13.47</v>
      </c>
      <c r="E138" s="704"/>
    </row>
    <row r="139" spans="1:6" ht="57.6" x14ac:dyDescent="0.3">
      <c r="A139" s="122" t="s">
        <v>348</v>
      </c>
      <c r="B139" s="119">
        <v>135.66</v>
      </c>
      <c r="C139" s="139">
        <v>0</v>
      </c>
      <c r="D139" s="129">
        <f t="shared" si="27"/>
        <v>0</v>
      </c>
    </row>
    <row r="140" spans="1:6" ht="57.6" x14ac:dyDescent="0.3">
      <c r="A140" s="123" t="s">
        <v>350</v>
      </c>
      <c r="B140" s="127">
        <v>265.22000000000003</v>
      </c>
      <c r="C140" s="231">
        <v>0</v>
      </c>
      <c r="D140" s="129">
        <f t="shared" si="27"/>
        <v>0</v>
      </c>
    </row>
    <row r="141" spans="1:6" ht="55.8" x14ac:dyDescent="0.3">
      <c r="A141" s="124" t="s">
        <v>351</v>
      </c>
      <c r="B141" s="127">
        <v>2</v>
      </c>
      <c r="C141" s="143">
        <v>0</v>
      </c>
      <c r="D141" s="129">
        <f t="shared" si="27"/>
        <v>0</v>
      </c>
    </row>
    <row r="142" spans="1:6" ht="43.2" x14ac:dyDescent="0.3">
      <c r="A142" s="122" t="s">
        <v>352</v>
      </c>
      <c r="B142" s="119">
        <v>38.659999999999997</v>
      </c>
      <c r="C142" s="231">
        <v>1</v>
      </c>
      <c r="D142" s="129">
        <f t="shared" si="27"/>
        <v>38.659999999999997</v>
      </c>
    </row>
    <row r="143" spans="1:6" ht="100.8" x14ac:dyDescent="0.3">
      <c r="A143" s="122" t="s">
        <v>353</v>
      </c>
      <c r="B143" s="127">
        <v>3.39</v>
      </c>
      <c r="C143" s="231">
        <v>0</v>
      </c>
      <c r="D143" s="129">
        <f t="shared" si="27"/>
        <v>0</v>
      </c>
    </row>
    <row r="144" spans="1:6" ht="41.4" x14ac:dyDescent="0.3">
      <c r="A144" s="125" t="s">
        <v>354</v>
      </c>
      <c r="B144" s="121">
        <v>4.9000000000000004</v>
      </c>
      <c r="C144" s="231">
        <v>3</v>
      </c>
      <c r="D144" s="129">
        <f>B144*C144</f>
        <v>14.700000000000001</v>
      </c>
    </row>
    <row r="145" spans="1:4" ht="28.2" x14ac:dyDescent="0.3">
      <c r="A145" s="126" t="s">
        <v>355</v>
      </c>
      <c r="B145" s="127">
        <v>10.9</v>
      </c>
      <c r="C145" s="231">
        <v>3</v>
      </c>
      <c r="D145" s="129">
        <f t="shared" ref="D145" si="28">B145*C145</f>
        <v>32.700000000000003</v>
      </c>
    </row>
  </sheetData>
  <mergeCells count="37">
    <mergeCell ref="Q2:T2"/>
    <mergeCell ref="F4:F6"/>
    <mergeCell ref="F35:F37"/>
    <mergeCell ref="F64:F66"/>
    <mergeCell ref="F92:F94"/>
    <mergeCell ref="F19:F20"/>
    <mergeCell ref="E137:E138"/>
    <mergeCell ref="A118:I118"/>
    <mergeCell ref="A119:F119"/>
    <mergeCell ref="G119:I119"/>
    <mergeCell ref="G120:I121"/>
    <mergeCell ref="A135:E135"/>
    <mergeCell ref="F121:F123"/>
    <mergeCell ref="E108:E109"/>
    <mergeCell ref="G2:I2"/>
    <mergeCell ref="G3:I4"/>
    <mergeCell ref="G33:I33"/>
    <mergeCell ref="G34:I35"/>
    <mergeCell ref="G62:I62"/>
    <mergeCell ref="G63:I64"/>
    <mergeCell ref="G90:I90"/>
    <mergeCell ref="G91:I92"/>
    <mergeCell ref="A77:E77"/>
    <mergeCell ref="E79:E80"/>
    <mergeCell ref="A89:I89"/>
    <mergeCell ref="A90:F90"/>
    <mergeCell ref="A106:E106"/>
    <mergeCell ref="A33:F33"/>
    <mergeCell ref="A49:E49"/>
    <mergeCell ref="E51:E52"/>
    <mergeCell ref="A61:I61"/>
    <mergeCell ref="A62:F62"/>
    <mergeCell ref="A1:I1"/>
    <mergeCell ref="A2:F2"/>
    <mergeCell ref="A19:E19"/>
    <mergeCell ref="E21:E22"/>
    <mergeCell ref="A32:I32"/>
  </mergeCells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Drop Down 1">
              <controlPr defaultSize="0" autoLine="0" autoPict="0">
                <anchor moveWithCells="1">
                  <from>
                    <xdr:col>1</xdr:col>
                    <xdr:colOff>38100</xdr:colOff>
                    <xdr:row>13</xdr:row>
                    <xdr:rowOff>15240</xdr:rowOff>
                  </from>
                  <to>
                    <xdr:col>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5" name="Drop Down 4">
              <controlPr defaultSize="0" autoLine="0" autoPict="0">
                <anchor moveWithCells="1">
                  <from>
                    <xdr:col>1</xdr:col>
                    <xdr:colOff>38100</xdr:colOff>
                    <xdr:row>44</xdr:row>
                    <xdr:rowOff>15240</xdr:rowOff>
                  </from>
                  <to>
                    <xdr:col>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6" name="Drop Down 5">
              <controlPr defaultSize="0" autoLine="0" autoPict="0">
                <anchor moveWithCells="1">
                  <from>
                    <xdr:col>1</xdr:col>
                    <xdr:colOff>38100</xdr:colOff>
                    <xdr:row>73</xdr:row>
                    <xdr:rowOff>15240</xdr:rowOff>
                  </from>
                  <to>
                    <xdr:col>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7" name="Drop Down 6">
              <controlPr defaultSize="0" autoLine="0" autoPict="0">
                <anchor moveWithCells="1">
                  <from>
                    <xdr:col>1</xdr:col>
                    <xdr:colOff>38100</xdr:colOff>
                    <xdr:row>102</xdr:row>
                    <xdr:rowOff>15240</xdr:rowOff>
                  </from>
                  <to>
                    <xdr:col>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8" name="Drop Down 7">
              <controlPr defaultSize="0" autoLine="0" autoPict="0">
                <anchor moveWithCells="1">
                  <from>
                    <xdr:col>1</xdr:col>
                    <xdr:colOff>38100</xdr:colOff>
                    <xdr:row>131</xdr:row>
                    <xdr:rowOff>15240</xdr:rowOff>
                  </from>
                  <to>
                    <xdr:col>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9" name="Drop Down 8">
              <controlPr defaultSize="0" autoLine="0" autoPict="0">
                <anchor moveWithCells="1">
                  <from>
                    <xdr:col>1</xdr:col>
                    <xdr:colOff>38100</xdr:colOff>
                    <xdr:row>73</xdr:row>
                    <xdr:rowOff>15240</xdr:rowOff>
                  </from>
                  <to>
                    <xdr:col>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0" name="Drop Down 9">
              <controlPr defaultSize="0" autoLine="0" autoPict="0">
                <anchor moveWithCells="1">
                  <from>
                    <xdr:col>1</xdr:col>
                    <xdr:colOff>38100</xdr:colOff>
                    <xdr:row>102</xdr:row>
                    <xdr:rowOff>15240</xdr:rowOff>
                  </from>
                  <to>
                    <xdr:col>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11" name="Drop Down 10">
              <controlPr defaultSize="0" autoLine="0" autoPict="0">
                <anchor moveWithCells="1">
                  <from>
                    <xdr:col>5</xdr:col>
                    <xdr:colOff>30480</xdr:colOff>
                    <xdr:row>20</xdr:row>
                    <xdr:rowOff>15240</xdr:rowOff>
                  </from>
                  <to>
                    <xdr:col>6</xdr:col>
                    <xdr:colOff>7620</xdr:colOff>
                    <xdr:row>20</xdr:row>
                    <xdr:rowOff>548640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2A00-9517-439A-860F-F57032D8043E}">
  <dimension ref="A1:AA42"/>
  <sheetViews>
    <sheetView showGridLines="0" tabSelected="1" topLeftCell="F1" workbookViewId="0">
      <selection activeCell="K2" sqref="K2:K3"/>
    </sheetView>
  </sheetViews>
  <sheetFormatPr defaultRowHeight="14.4" x14ac:dyDescent="0.3"/>
  <cols>
    <col min="1" max="1" width="22.44140625" style="297" customWidth="1"/>
    <col min="2" max="2" width="23.88671875" style="297" customWidth="1"/>
    <col min="3" max="3" width="29.109375" style="297" customWidth="1"/>
    <col min="4" max="4" width="28.109375" style="297" customWidth="1"/>
    <col min="5" max="5" width="28" style="297" customWidth="1"/>
    <col min="6" max="6" width="30.44140625" style="297" customWidth="1"/>
    <col min="7" max="7" width="24.33203125" style="297" bestFit="1" customWidth="1"/>
    <col min="8" max="8" width="24.77734375" style="297" bestFit="1" customWidth="1"/>
    <col min="9" max="9" width="22" style="297" customWidth="1"/>
    <col min="10" max="10" width="25.109375" style="297" bestFit="1" customWidth="1"/>
    <col min="11" max="11" width="17.88671875" style="297" bestFit="1" customWidth="1"/>
    <col min="12" max="12" width="20.44140625" style="297" bestFit="1" customWidth="1"/>
    <col min="13" max="14" width="20.77734375" style="297" bestFit="1" customWidth="1"/>
    <col min="15" max="15" width="13" style="297" bestFit="1" customWidth="1"/>
    <col min="16" max="17" width="8.88671875" style="297"/>
    <col min="18" max="18" width="32.77734375" style="297" customWidth="1"/>
    <col min="19" max="19" width="8.77734375" style="297" bestFit="1" customWidth="1"/>
    <col min="20" max="20" width="9.88671875" style="297" customWidth="1"/>
    <col min="21" max="22" width="11.88671875" style="297" bestFit="1" customWidth="1"/>
    <col min="23" max="23" width="0" style="297" hidden="1" customWidth="1"/>
    <col min="24" max="24" width="12.44140625" style="297" bestFit="1" customWidth="1"/>
    <col min="25" max="26" width="12.77734375" style="297" bestFit="1" customWidth="1"/>
    <col min="27" max="16384" width="8.88671875" style="297"/>
  </cols>
  <sheetData>
    <row r="1" spans="1:27" ht="21" x14ac:dyDescent="0.3">
      <c r="A1" s="736" t="s">
        <v>356</v>
      </c>
      <c r="B1" s="736"/>
      <c r="C1" s="736"/>
      <c r="D1" s="736"/>
      <c r="E1" s="736"/>
      <c r="F1" s="736"/>
      <c r="G1" s="736"/>
      <c r="H1" s="736"/>
      <c r="I1" s="736"/>
      <c r="J1" s="736"/>
      <c r="K1" s="736"/>
      <c r="L1" s="313"/>
      <c r="M1" s="313"/>
      <c r="R1" s="298">
        <v>3</v>
      </c>
      <c r="S1" s="298">
        <v>2</v>
      </c>
      <c r="T1" s="298">
        <v>3</v>
      </c>
      <c r="U1" s="298">
        <v>2</v>
      </c>
      <c r="V1" s="298">
        <v>2</v>
      </c>
      <c r="W1" s="248">
        <v>15</v>
      </c>
    </row>
    <row r="2" spans="1:27" ht="31.2" x14ac:dyDescent="0.3">
      <c r="A2" s="148" t="s">
        <v>357</v>
      </c>
      <c r="B2" s="214" t="s">
        <v>358</v>
      </c>
      <c r="C2" s="72" t="s">
        <v>359</v>
      </c>
      <c r="D2" s="148" t="s">
        <v>31</v>
      </c>
      <c r="E2" s="71" t="s">
        <v>360</v>
      </c>
      <c r="F2" s="148" t="s">
        <v>33</v>
      </c>
      <c r="G2" s="71" t="s">
        <v>361</v>
      </c>
      <c r="H2" s="351" t="s">
        <v>476</v>
      </c>
      <c r="I2" s="351" t="s">
        <v>477</v>
      </c>
      <c r="J2" s="434" t="s">
        <v>478</v>
      </c>
      <c r="K2" s="366" t="s">
        <v>12</v>
      </c>
      <c r="L2" s="367" t="s">
        <v>491</v>
      </c>
      <c r="M2" s="365" t="s">
        <v>364</v>
      </c>
      <c r="N2" s="365" t="s">
        <v>376</v>
      </c>
      <c r="R2" s="298"/>
      <c r="T2" s="294"/>
      <c r="U2" s="294"/>
      <c r="V2" s="294"/>
      <c r="W2" s="293">
        <v>17</v>
      </c>
      <c r="X2" s="294"/>
      <c r="Y2" s="294"/>
      <c r="Z2" s="294"/>
      <c r="AA2" s="294"/>
    </row>
    <row r="3" spans="1:27" ht="15.6" x14ac:dyDescent="0.3">
      <c r="A3" s="28">
        <f>INDEX('DIMENCINAMENTO DE PLACA'!I11:I16,'DIMENCINAMENTO DE PLACA'!F1)</f>
        <v>26731.709589553655</v>
      </c>
      <c r="B3" s="28">
        <f>INDEX('DIMENCINAMENTO DE PLACA'!F4:F9,'DIMENCINAMENTO DE PLACA'!F1)</f>
        <v>4478.4895406109854</v>
      </c>
      <c r="C3" s="192">
        <f>INVER_I*880</f>
        <v>13354.716582447847</v>
      </c>
      <c r="D3" s="28">
        <f>GAST_I</f>
        <v>5023.0211583407527</v>
      </c>
      <c r="E3" s="67">
        <f>'ESTRUTURA + ISUMOS'!J13</f>
        <v>1307.4599999999998</v>
      </c>
      <c r="F3" s="28">
        <f>'CONTROLE DE ESTOQUE '!O5/2</f>
        <v>262.92099999999994</v>
      </c>
      <c r="G3" s="436">
        <f>1.8*'PLANINHA CENTRAL'!G4</f>
        <v>2700</v>
      </c>
      <c r="H3" s="26">
        <f>G3</f>
        <v>2700</v>
      </c>
      <c r="I3" s="26">
        <f>A3+B3+C3+G3</f>
        <v>47264.915712612492</v>
      </c>
      <c r="J3" s="299">
        <f>I3+D3+E3+F3</f>
        <v>53858.317870953244</v>
      </c>
      <c r="K3" s="300">
        <f>((J3*N3)/100)+J3</f>
        <v>65707.147802562962</v>
      </c>
      <c r="L3" s="300">
        <f>((K3*7)/100)</f>
        <v>4599.5003461794076</v>
      </c>
      <c r="M3" s="301">
        <f>(K3*(N3-7)/100)</f>
        <v>9856.0721703844447</v>
      </c>
      <c r="N3" s="174">
        <f>INDEX($W$1:$W$5,R$1)</f>
        <v>22</v>
      </c>
      <c r="R3" s="298"/>
      <c r="T3" s="294"/>
      <c r="U3" s="294"/>
      <c r="V3" s="294"/>
      <c r="W3" s="293">
        <v>22</v>
      </c>
      <c r="X3" s="294"/>
      <c r="Y3" s="294"/>
      <c r="Z3" s="294"/>
      <c r="AA3" s="294"/>
    </row>
    <row r="4" spans="1:27" ht="14.4" customHeight="1" x14ac:dyDescent="0.3">
      <c r="A4" s="69"/>
      <c r="B4" s="212"/>
      <c r="C4" s="302"/>
      <c r="D4" s="302"/>
      <c r="E4" s="70"/>
      <c r="F4" s="302"/>
      <c r="G4" s="302"/>
      <c r="H4" s="302"/>
      <c r="I4" s="302"/>
      <c r="J4" s="302"/>
      <c r="K4" s="302"/>
      <c r="L4" s="735"/>
      <c r="M4" s="735"/>
      <c r="U4" s="294"/>
      <c r="V4" s="294"/>
      <c r="W4" s="293">
        <v>25</v>
      </c>
      <c r="X4" s="294"/>
      <c r="Y4" s="294"/>
      <c r="Z4" s="294"/>
      <c r="AA4" s="294"/>
    </row>
    <row r="5" spans="1:27" ht="21.6" thickBot="1" x14ac:dyDescent="0.35">
      <c r="A5" s="737" t="s">
        <v>365</v>
      </c>
      <c r="B5" s="737"/>
      <c r="C5" s="737"/>
      <c r="D5" s="737"/>
      <c r="E5" s="737"/>
      <c r="F5" s="737"/>
      <c r="G5" s="737"/>
      <c r="H5" s="737"/>
      <c r="I5" s="737"/>
      <c r="J5" s="737"/>
      <c r="K5" s="737"/>
      <c r="L5" s="312"/>
      <c r="M5" s="312"/>
      <c r="U5" s="294"/>
      <c r="V5" s="294"/>
      <c r="W5" s="293">
        <v>31</v>
      </c>
      <c r="X5" s="294"/>
      <c r="Y5" s="294"/>
      <c r="Z5" s="294"/>
      <c r="AA5" s="294"/>
    </row>
    <row r="6" spans="1:27" ht="31.2" x14ac:dyDescent="0.3">
      <c r="A6" s="148" t="s">
        <v>357</v>
      </c>
      <c r="B6" s="214" t="s">
        <v>358</v>
      </c>
      <c r="C6" s="72" t="s">
        <v>359</v>
      </c>
      <c r="D6" s="148" t="s">
        <v>31</v>
      </c>
      <c r="E6" s="71" t="s">
        <v>360</v>
      </c>
      <c r="F6" s="148" t="s">
        <v>33</v>
      </c>
      <c r="G6" s="71" t="s">
        <v>361</v>
      </c>
      <c r="H6" s="243" t="s">
        <v>362</v>
      </c>
      <c r="I6" s="292" t="s">
        <v>401</v>
      </c>
      <c r="J6" s="243" t="s">
        <v>363</v>
      </c>
      <c r="K6" s="244" t="s">
        <v>12</v>
      </c>
      <c r="L6" s="245" t="s">
        <v>364</v>
      </c>
      <c r="M6" s="303" t="s">
        <v>376</v>
      </c>
      <c r="O6" s="304"/>
      <c r="S6" s="294"/>
      <c r="T6" s="294"/>
      <c r="U6" s="294"/>
      <c r="V6" s="294"/>
      <c r="W6" s="294"/>
      <c r="X6" s="294"/>
      <c r="Y6" s="294"/>
      <c r="Z6" s="294"/>
      <c r="AA6" s="294"/>
    </row>
    <row r="7" spans="1:27" ht="15.6" x14ac:dyDescent="0.3">
      <c r="A7" s="28">
        <f>INDEX('DIMENCINAMENTO DE PLACA'!I28:I33,'DIMENCINAMENTO DE PLACA'!F18)</f>
        <v>26212.770151498873</v>
      </c>
      <c r="B7" s="28">
        <f>INDEX('DIMENCINAMENTO DE PLACA'!F21:F26,'DIMENCINAMENTO DE PLACA'!F18)</f>
        <v>4437.7759993327045</v>
      </c>
      <c r="C7" s="192">
        <f>'PLANINHA CENTRAL'!K27*995</f>
        <v>15099.935226745009</v>
      </c>
      <c r="D7" s="28">
        <f>_xlfn.SINGLE('MAO DE OBRA'!F35)</f>
        <v>6423.9073257738737</v>
      </c>
      <c r="E7" s="28">
        <f>INSUMO_II</f>
        <v>1867.58</v>
      </c>
      <c r="F7" s="28">
        <f>'CONTROLE DE ESTOQUE '!O5</f>
        <v>525.84199999999987</v>
      </c>
      <c r="G7" s="26">
        <v>799</v>
      </c>
      <c r="H7" s="26">
        <f>A7+B7+C7+SUM($Y$29:$Y$32)</f>
        <v>45750.481377576587</v>
      </c>
      <c r="I7" s="299">
        <f>H7+D7+E7+F7+G7</f>
        <v>55366.810703350457</v>
      </c>
      <c r="J7" s="83">
        <f>A7+B7+C7+D7+E7+F7+G7</f>
        <v>55366.810703350457</v>
      </c>
      <c r="K7" s="300">
        <f>((J7*M7)/100)+J7</f>
        <v>64779.168522920038</v>
      </c>
      <c r="L7" s="301">
        <f>(K7*(M7-6)/100)</f>
        <v>7125.7085375212037</v>
      </c>
      <c r="M7" s="174">
        <f>INDEX($W$1:$W$5,S$1)</f>
        <v>17</v>
      </c>
      <c r="S7" s="294"/>
      <c r="T7" s="294"/>
      <c r="U7" s="294"/>
      <c r="V7" s="294"/>
      <c r="W7" s="294"/>
      <c r="X7" s="294"/>
      <c r="Y7" s="294"/>
      <c r="Z7" s="294"/>
      <c r="AA7" s="294"/>
    </row>
    <row r="8" spans="1:27" ht="15.6" customHeight="1" x14ac:dyDescent="0.3">
      <c r="A8" s="69"/>
      <c r="B8" s="212"/>
      <c r="C8" s="302"/>
      <c r="D8" s="302"/>
      <c r="E8" s="70"/>
      <c r="F8" s="302"/>
      <c r="G8" s="302"/>
      <c r="H8" s="302"/>
      <c r="I8" s="302"/>
      <c r="J8" s="735"/>
      <c r="K8" s="735"/>
      <c r="L8" s="735"/>
      <c r="M8" s="735"/>
      <c r="S8" s="294"/>
      <c r="T8" s="294"/>
      <c r="U8" s="294"/>
      <c r="V8" s="294"/>
      <c r="W8" s="294"/>
      <c r="X8" s="294"/>
      <c r="Y8" s="294"/>
      <c r="Z8" s="294"/>
      <c r="AA8" s="294"/>
    </row>
    <row r="9" spans="1:27" ht="21.6" thickBot="1" x14ac:dyDescent="0.35">
      <c r="A9" s="737" t="s">
        <v>366</v>
      </c>
      <c r="B9" s="737"/>
      <c r="C9" s="737"/>
      <c r="D9" s="737"/>
      <c r="E9" s="737"/>
      <c r="F9" s="737"/>
      <c r="G9" s="737"/>
      <c r="H9" s="737"/>
      <c r="I9" s="737"/>
      <c r="J9" s="737"/>
      <c r="K9" s="737"/>
      <c r="L9" s="312"/>
      <c r="M9" s="312"/>
      <c r="S9" s="294"/>
      <c r="T9" s="294"/>
      <c r="U9" s="294"/>
      <c r="V9" s="294"/>
      <c r="W9" s="294"/>
      <c r="X9" s="294"/>
      <c r="Y9" s="294"/>
      <c r="Z9" s="294"/>
      <c r="AA9" s="294"/>
    </row>
    <row r="10" spans="1:27" ht="31.2" x14ac:dyDescent="0.3">
      <c r="A10" s="148" t="s">
        <v>357</v>
      </c>
      <c r="B10" s="214" t="s">
        <v>358</v>
      </c>
      <c r="C10" s="72" t="s">
        <v>359</v>
      </c>
      <c r="D10" s="148" t="s">
        <v>31</v>
      </c>
      <c r="E10" s="71" t="s">
        <v>360</v>
      </c>
      <c r="F10" s="148" t="s">
        <v>33</v>
      </c>
      <c r="G10" s="71" t="s">
        <v>361</v>
      </c>
      <c r="H10" s="243" t="s">
        <v>362</v>
      </c>
      <c r="I10" s="292" t="s">
        <v>401</v>
      </c>
      <c r="J10" s="243" t="s">
        <v>363</v>
      </c>
      <c r="K10" s="244" t="s">
        <v>12</v>
      </c>
      <c r="L10" s="245" t="s">
        <v>364</v>
      </c>
      <c r="M10" s="303" t="s">
        <v>376</v>
      </c>
      <c r="S10" s="294"/>
      <c r="T10" s="294"/>
      <c r="U10" s="294"/>
      <c r="V10" s="294"/>
      <c r="W10" s="294"/>
      <c r="X10" s="294"/>
      <c r="Y10" s="294"/>
      <c r="Z10" s="294"/>
      <c r="AA10" s="294"/>
    </row>
    <row r="11" spans="1:27" ht="15.6" x14ac:dyDescent="0.3">
      <c r="A11" s="28">
        <f>INDEX('DIMENCINAMENTO DE PLACA'!I45:I50,'DIMENCINAMENTO DE PLACA'!F35)</f>
        <v>30573.98484992639</v>
      </c>
      <c r="B11" s="28">
        <f>INDEX('DIMENCINAMENTO DE PLACA'!F38:F43,'DIMENCINAMENTO DE PLACA'!F35)</f>
        <v>5364.3446145779935</v>
      </c>
      <c r="C11" s="192">
        <f>'PLANINHA CENTRAL'!K41*995</f>
        <v>0</v>
      </c>
      <c r="D11" s="28">
        <f>_xlfn.SINGLE('MAO DE OBRA'!F64)</f>
        <v>6388.3132509354527</v>
      </c>
      <c r="E11" s="28">
        <f>INSUMO_III</f>
        <v>1867.58</v>
      </c>
      <c r="F11" s="28">
        <f>'CONTROLE DE ESTOQUE '!O7</f>
        <v>525.84199999999987</v>
      </c>
      <c r="G11" s="26">
        <v>799</v>
      </c>
      <c r="H11" s="26">
        <f>A11+B11+C11+SUM($Y$29:$Y$32)</f>
        <v>35938.329464504386</v>
      </c>
      <c r="I11" s="299">
        <f>H11+D11+E11+F11+G11</f>
        <v>45519.064715439839</v>
      </c>
      <c r="J11" s="83">
        <f>A11+B11+C11+D11+E11+F11+G11</f>
        <v>45519.064715439839</v>
      </c>
      <c r="K11" s="300">
        <f>((J11*M11)/100)+J11</f>
        <v>55533.258952836608</v>
      </c>
      <c r="L11" s="301">
        <f>(K11*(M11-6)/100)</f>
        <v>8885.3214324538567</v>
      </c>
      <c r="M11" s="174">
        <f>INDEX($W$1:$W$5,T$1)</f>
        <v>22</v>
      </c>
      <c r="S11" s="294"/>
      <c r="T11" s="294"/>
      <c r="U11" s="294"/>
      <c r="V11" s="294"/>
      <c r="W11" s="294"/>
      <c r="X11" s="294"/>
      <c r="Y11" s="294"/>
      <c r="Z11" s="294"/>
      <c r="AA11" s="294"/>
    </row>
    <row r="12" spans="1:27" ht="15.6" customHeight="1" x14ac:dyDescent="0.3">
      <c r="A12" s="69"/>
      <c r="B12" s="212"/>
      <c r="C12" s="302"/>
      <c r="D12" s="302"/>
      <c r="E12" s="70"/>
      <c r="F12" s="302"/>
      <c r="G12" s="302"/>
      <c r="H12" s="302"/>
      <c r="I12" s="302"/>
      <c r="J12" s="735"/>
      <c r="K12" s="735"/>
      <c r="L12" s="735"/>
      <c r="M12" s="735"/>
      <c r="S12" s="294"/>
      <c r="T12" s="294"/>
      <c r="U12" s="294"/>
      <c r="V12" s="294"/>
      <c r="W12" s="294"/>
      <c r="X12" s="294"/>
      <c r="Y12" s="294"/>
      <c r="Z12" s="294"/>
      <c r="AA12" s="294"/>
    </row>
    <row r="13" spans="1:27" ht="24" customHeight="1" thickBot="1" x14ac:dyDescent="0.35">
      <c r="A13" s="737" t="s">
        <v>367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312"/>
      <c r="M13" s="312"/>
      <c r="S13" s="294"/>
      <c r="T13" s="294"/>
      <c r="U13" s="294"/>
      <c r="V13" s="294"/>
      <c r="W13" s="294"/>
      <c r="X13" s="294"/>
      <c r="Y13" s="294"/>
      <c r="Z13" s="294"/>
      <c r="AA13" s="294"/>
    </row>
    <row r="14" spans="1:27" ht="15.6" hidden="1" x14ac:dyDescent="0.3">
      <c r="A14" s="25" t="s">
        <v>357</v>
      </c>
      <c r="B14" s="213"/>
      <c r="C14" s="62" t="s">
        <v>359</v>
      </c>
      <c r="D14" s="27" t="s">
        <v>31</v>
      </c>
      <c r="E14" s="27" t="s">
        <v>32</v>
      </c>
      <c r="F14" s="27" t="s">
        <v>33</v>
      </c>
      <c r="G14" s="25" t="s">
        <v>368</v>
      </c>
      <c r="H14" s="25" t="s">
        <v>128</v>
      </c>
      <c r="I14" s="61" t="s">
        <v>12</v>
      </c>
      <c r="S14" s="305"/>
      <c r="T14" s="305"/>
      <c r="U14" s="305"/>
      <c r="V14" s="305"/>
      <c r="W14" s="305"/>
      <c r="X14" s="305"/>
    </row>
    <row r="15" spans="1:27" ht="31.2" x14ac:dyDescent="0.3">
      <c r="A15" s="148" t="s">
        <v>357</v>
      </c>
      <c r="B15" s="214" t="s">
        <v>358</v>
      </c>
      <c r="C15" s="72" t="s">
        <v>359</v>
      </c>
      <c r="D15" s="148" t="s">
        <v>31</v>
      </c>
      <c r="E15" s="71" t="s">
        <v>360</v>
      </c>
      <c r="F15" s="148" t="s">
        <v>33</v>
      </c>
      <c r="G15" s="71" t="s">
        <v>361</v>
      </c>
      <c r="H15" s="243" t="s">
        <v>362</v>
      </c>
      <c r="I15" s="292" t="s">
        <v>401</v>
      </c>
      <c r="J15" s="243" t="s">
        <v>363</v>
      </c>
      <c r="K15" s="244" t="s">
        <v>12</v>
      </c>
      <c r="L15" s="245" t="s">
        <v>364</v>
      </c>
      <c r="M15" s="303" t="s">
        <v>376</v>
      </c>
      <c r="S15" s="305"/>
      <c r="T15" s="305"/>
      <c r="U15" s="305"/>
      <c r="V15" s="305"/>
      <c r="W15" s="305"/>
      <c r="X15" s="305"/>
    </row>
    <row r="16" spans="1:27" ht="15.6" x14ac:dyDescent="0.3">
      <c r="A16" s="28">
        <f>INDEX('DIMENCINAMENTO DE PLACA'!I62:I67,'DIMENCINAMENTO DE PLACA'!F52)</f>
        <v>26212.770151498873</v>
      </c>
      <c r="B16" s="28">
        <f>INDEX('DIMENCINAMENTO DE PLACA'!F55:F60,'DIMENCINAMENTO DE PLACA'!F52)</f>
        <v>4437.7759993327045</v>
      </c>
      <c r="C16" s="192">
        <f>'PLANINHA CENTRAL'!K55*995</f>
        <v>0</v>
      </c>
      <c r="D16" s="28">
        <f>GAST_IV</f>
        <v>7830.0730025330122</v>
      </c>
      <c r="E16" s="28">
        <f>INSUMO_IV</f>
        <v>1867.58</v>
      </c>
      <c r="F16" s="28">
        <f>'CONTROLE DE ESTOQUE '!O9</f>
        <v>525.84199999999987</v>
      </c>
      <c r="G16" s="26">
        <f>G11</f>
        <v>799</v>
      </c>
      <c r="H16" s="26">
        <f>A16+B16+C16+SUM($Y$29:$Y$32)</f>
        <v>30650.546150831578</v>
      </c>
      <c r="I16" s="299">
        <f>H16+D16+E16+F16+G16</f>
        <v>41673.041153364589</v>
      </c>
      <c r="J16" s="83">
        <f>A16+B16+C16+D16+E16+F16+G16</f>
        <v>41673.041153364589</v>
      </c>
      <c r="K16" s="300">
        <f>((J16*M16)/100)+J16</f>
        <v>48757.45814943657</v>
      </c>
      <c r="L16" s="301">
        <f>(K16*(M16-6)/100)</f>
        <v>5363.3203964380218</v>
      </c>
      <c r="M16" s="174">
        <f>INDEX($W$1:$W$5,U$1)</f>
        <v>17</v>
      </c>
    </row>
    <row r="17" spans="1:26" ht="15.6" customHeight="1" x14ac:dyDescent="0.3">
      <c r="A17" s="69"/>
      <c r="B17" s="212"/>
      <c r="C17" s="302"/>
      <c r="D17" s="302"/>
      <c r="E17" s="70"/>
      <c r="F17" s="302"/>
      <c r="G17" s="302"/>
      <c r="H17" s="302"/>
      <c r="I17" s="302"/>
      <c r="J17" s="735"/>
      <c r="K17" s="735"/>
      <c r="L17" s="735"/>
      <c r="M17" s="735"/>
    </row>
    <row r="18" spans="1:26" ht="21.6" thickBot="1" x14ac:dyDescent="0.35">
      <c r="A18" s="738" t="s">
        <v>369</v>
      </c>
      <c r="B18" s="738"/>
      <c r="C18" s="738"/>
      <c r="D18" s="738"/>
      <c r="E18" s="738"/>
      <c r="F18" s="738"/>
      <c r="G18" s="738"/>
      <c r="H18" s="738"/>
      <c r="I18" s="738"/>
      <c r="J18" s="738"/>
      <c r="K18" s="738"/>
      <c r="L18" s="312"/>
      <c r="M18" s="312"/>
    </row>
    <row r="19" spans="1:26" ht="31.2" x14ac:dyDescent="0.3">
      <c r="A19" s="148" t="s">
        <v>357</v>
      </c>
      <c r="B19" s="214" t="s">
        <v>358</v>
      </c>
      <c r="C19" s="72" t="s">
        <v>359</v>
      </c>
      <c r="D19" s="148" t="s">
        <v>31</v>
      </c>
      <c r="E19" s="71" t="s">
        <v>360</v>
      </c>
      <c r="F19" s="148" t="s">
        <v>33</v>
      </c>
      <c r="G19" s="71" t="s">
        <v>361</v>
      </c>
      <c r="H19" s="243" t="s">
        <v>362</v>
      </c>
      <c r="I19" s="292" t="s">
        <v>401</v>
      </c>
      <c r="J19" s="243" t="s">
        <v>363</v>
      </c>
      <c r="K19" s="244" t="s">
        <v>12</v>
      </c>
      <c r="L19" s="245" t="s">
        <v>364</v>
      </c>
      <c r="M19" s="303" t="s">
        <v>376</v>
      </c>
    </row>
    <row r="20" spans="1:26" ht="15.6" x14ac:dyDescent="0.3">
      <c r="A20" s="28">
        <f>INDEX('DIMENCINAMENTO DE PLACA'!I79:I84,'DIMENCINAMENTO DE PLACA'!F69)</f>
        <v>29270.24465389326</v>
      </c>
      <c r="B20" s="28">
        <f>INDEX('DIMENCINAMENTO DE PLACA'!F72:F77,'DIMENCINAMENTO DE PLACA'!F69)</f>
        <v>4179.7793618023406</v>
      </c>
      <c r="C20" s="192">
        <f>INVER_V*995</f>
        <v>0</v>
      </c>
      <c r="D20" s="28">
        <f>GAST_V</f>
        <v>7483.6459815819717</v>
      </c>
      <c r="E20" s="28">
        <f>INSUMO_V</f>
        <v>1867.58</v>
      </c>
      <c r="F20" s="28">
        <f>'CONTROLE DE ESTOQUE '!O11</f>
        <v>525.84199999999987</v>
      </c>
      <c r="G20" s="26">
        <f>G16</f>
        <v>799</v>
      </c>
      <c r="H20" s="26">
        <f>A20+B20+C20+SUM($Y$29:$Y$32)</f>
        <v>33450.024015695599</v>
      </c>
      <c r="I20" s="299">
        <f>H20+D20+E20+F20+G20</f>
        <v>44126.091997277566</v>
      </c>
      <c r="J20" s="83">
        <f>A20+B20+C20+D20+E20+F20+G20</f>
        <v>44126.091997277566</v>
      </c>
      <c r="K20" s="300">
        <f>((J20*M20)/100)+J20</f>
        <v>51627.527636814753</v>
      </c>
      <c r="L20" s="301">
        <f>(K20*(M20-6)/100)</f>
        <v>5679.0280400496231</v>
      </c>
      <c r="M20" s="174">
        <f>INDEX($W$1:$W$5,V$1)</f>
        <v>17</v>
      </c>
    </row>
    <row r="21" spans="1:26" ht="15.6" customHeight="1" x14ac:dyDescent="0.3">
      <c r="A21" s="69"/>
      <c r="B21" s="212"/>
      <c r="C21" s="302"/>
      <c r="D21" s="302"/>
      <c r="E21" s="70"/>
      <c r="F21" s="302"/>
      <c r="G21" s="302"/>
      <c r="H21" s="302"/>
      <c r="I21" s="302"/>
      <c r="J21" s="735"/>
      <c r="K21" s="735"/>
      <c r="L21" s="735"/>
      <c r="M21" s="735"/>
    </row>
    <row r="26" spans="1:26" ht="18.600000000000001" x14ac:dyDescent="0.3">
      <c r="H26" s="306"/>
      <c r="I26" s="307"/>
      <c r="J26" s="308"/>
      <c r="V26"/>
    </row>
    <row r="27" spans="1:26" x14ac:dyDescent="0.3">
      <c r="J27" s="308"/>
    </row>
    <row r="28" spans="1:26" x14ac:dyDescent="0.3">
      <c r="S28"/>
      <c r="T28"/>
      <c r="U28"/>
      <c r="V28"/>
      <c r="W28"/>
      <c r="X28"/>
      <c r="Y28"/>
    </row>
    <row r="29" spans="1:26" x14ac:dyDescent="0.3">
      <c r="R29"/>
      <c r="S29"/>
      <c r="T29"/>
      <c r="U29"/>
      <c r="V29"/>
      <c r="W29"/>
      <c r="X29"/>
      <c r="Y29"/>
      <c r="Z29" s="309"/>
    </row>
    <row r="30" spans="1:26" x14ac:dyDescent="0.3">
      <c r="R30"/>
      <c r="S30"/>
      <c r="T30"/>
      <c r="U30"/>
      <c r="V30"/>
      <c r="W30"/>
      <c r="X30"/>
      <c r="Y30"/>
      <c r="Z30" s="309"/>
    </row>
    <row r="31" spans="1:26" x14ac:dyDescent="0.3">
      <c r="R31"/>
      <c r="S31"/>
      <c r="T31"/>
      <c r="U31"/>
      <c r="V31"/>
      <c r="W31"/>
      <c r="X31"/>
      <c r="Y31"/>
      <c r="Z31" s="309"/>
    </row>
    <row r="32" spans="1:26" x14ac:dyDescent="0.3">
      <c r="R32"/>
      <c r="S32"/>
      <c r="T32"/>
      <c r="U32"/>
      <c r="V32"/>
      <c r="W32"/>
      <c r="X32"/>
      <c r="Y32"/>
      <c r="Z32" s="309"/>
    </row>
    <row r="33" spans="18:26" x14ac:dyDescent="0.3">
      <c r="R33" s="295"/>
      <c r="U33" s="309"/>
      <c r="V33" s="309"/>
      <c r="Y33" s="309"/>
      <c r="Z33" s="309"/>
    </row>
    <row r="34" spans="18:26" x14ac:dyDescent="0.3">
      <c r="R34" s="295"/>
      <c r="U34" s="309"/>
      <c r="V34" s="309"/>
      <c r="Y34" s="309"/>
      <c r="Z34" s="309"/>
    </row>
    <row r="35" spans="18:26" x14ac:dyDescent="0.3">
      <c r="R35" s="295"/>
      <c r="T35" s="298">
        <v>1</v>
      </c>
      <c r="U35" s="311" t="s">
        <v>406</v>
      </c>
      <c r="V35" s="311">
        <v>1</v>
      </c>
      <c r="Y35" s="309"/>
      <c r="Z35" s="309"/>
    </row>
    <row r="36" spans="18:26" x14ac:dyDescent="0.3">
      <c r="T36" s="298">
        <v>2</v>
      </c>
      <c r="U36" s="311" t="s">
        <v>407</v>
      </c>
      <c r="V36" s="311">
        <v>0</v>
      </c>
      <c r="Y36" s="309"/>
      <c r="Z36" s="309"/>
    </row>
    <row r="37" spans="18:26" x14ac:dyDescent="0.3">
      <c r="T37" s="298">
        <v>2</v>
      </c>
      <c r="U37" s="309"/>
      <c r="V37" s="309"/>
      <c r="Y37" s="309"/>
      <c r="Z37" s="309"/>
    </row>
    <row r="38" spans="18:26" x14ac:dyDescent="0.3">
      <c r="T38" s="298">
        <v>2</v>
      </c>
      <c r="U38" s="309"/>
      <c r="V38" s="309"/>
      <c r="Y38" s="309"/>
      <c r="Z38" s="309"/>
    </row>
    <row r="39" spans="18:26" x14ac:dyDescent="0.3">
      <c r="U39" s="309"/>
      <c r="V39" s="309"/>
      <c r="Y39" s="309"/>
      <c r="Z39" s="309"/>
    </row>
    <row r="40" spans="18:26" x14ac:dyDescent="0.3">
      <c r="U40" s="309"/>
      <c r="V40" s="309"/>
      <c r="Y40" s="309"/>
      <c r="Z40" s="309"/>
    </row>
    <row r="41" spans="18:26" x14ac:dyDescent="0.3">
      <c r="U41" s="309"/>
      <c r="V41" s="309"/>
      <c r="Y41" s="309"/>
      <c r="Z41" s="309"/>
    </row>
    <row r="42" spans="18:26" x14ac:dyDescent="0.3">
      <c r="U42" s="309"/>
      <c r="V42" s="309"/>
      <c r="Y42" s="309"/>
      <c r="Z42" s="309"/>
    </row>
  </sheetData>
  <mergeCells count="14">
    <mergeCell ref="L12:M12"/>
    <mergeCell ref="L17:M17"/>
    <mergeCell ref="L8:M8"/>
    <mergeCell ref="L4:M4"/>
    <mergeCell ref="L21:M21"/>
    <mergeCell ref="J21:K21"/>
    <mergeCell ref="A1:K1"/>
    <mergeCell ref="A5:K5"/>
    <mergeCell ref="J8:K8"/>
    <mergeCell ref="A9:K9"/>
    <mergeCell ref="J12:K12"/>
    <mergeCell ref="A13:K13"/>
    <mergeCell ref="J17:K17"/>
    <mergeCell ref="A18:K18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6" r:id="rId4" name="Drop Down 2">
              <controlPr defaultSize="0" autoLine="0" autoPict="0">
                <anchor moveWithCells="1">
                  <from>
                    <xdr:col>12</xdr:col>
                    <xdr:colOff>15240</xdr:colOff>
                    <xdr:row>5</xdr:row>
                    <xdr:rowOff>388620</xdr:rowOff>
                  </from>
                  <to>
                    <xdr:col>12</xdr:col>
                    <xdr:colOff>1409700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5" name="Drop Down 3">
              <controlPr defaultSize="0" autoLine="0" autoPict="0">
                <anchor moveWithCells="1">
                  <from>
                    <xdr:col>11</xdr:col>
                    <xdr:colOff>1394460</xdr:colOff>
                    <xdr:row>10</xdr:row>
                    <xdr:rowOff>7620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6" name="Drop Down 4">
              <controlPr defaultSize="0" autoLine="0" autoPict="0">
                <anchor moveWithCells="1">
                  <from>
                    <xdr:col>12</xdr:col>
                    <xdr:colOff>0</xdr:colOff>
                    <xdr:row>15</xdr:row>
                    <xdr:rowOff>15240</xdr:rowOff>
                  </from>
                  <to>
                    <xdr:col>13</xdr:col>
                    <xdr:colOff>22860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7" name="Drop Down 5">
              <controlPr defaultSize="0" autoLine="0" autoPict="0">
                <anchor moveWithCells="1">
                  <from>
                    <xdr:col>12</xdr:col>
                    <xdr:colOff>15240</xdr:colOff>
                    <xdr:row>19</xdr:row>
                    <xdr:rowOff>38100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8" name="Drop Down 18">
              <controlPr defaultSize="0" autoLine="0" autoPict="0">
                <anchor moveWithCells="1">
                  <from>
                    <xdr:col>11</xdr:col>
                    <xdr:colOff>1394460</xdr:colOff>
                    <xdr:row>15</xdr:row>
                    <xdr:rowOff>15240</xdr:rowOff>
                  </from>
                  <to>
                    <xdr:col>12</xdr:col>
                    <xdr:colOff>1402080</xdr:colOff>
                    <xdr:row>15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9" name="Drop Down 19">
              <controlPr defaultSize="0" autoLine="0" autoPict="0">
                <anchor moveWithCells="1">
                  <from>
                    <xdr:col>11</xdr:col>
                    <xdr:colOff>1394460</xdr:colOff>
                    <xdr:row>6</xdr:row>
                    <xdr:rowOff>7620</xdr:rowOff>
                  </from>
                  <to>
                    <xdr:col>13</xdr:col>
                    <xdr:colOff>0</xdr:colOff>
                    <xdr:row>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5" r:id="rId10" name="Drop Down 1">
              <controlPr defaultSize="0" autoLine="0" autoPict="0">
                <anchor moveWithCells="1">
                  <from>
                    <xdr:col>13</xdr:col>
                    <xdr:colOff>7620</xdr:colOff>
                    <xdr:row>2</xdr:row>
                    <xdr:rowOff>7620</xdr:rowOff>
                  </from>
                  <to>
                    <xdr:col>14</xdr:col>
                    <xdr:colOff>7620</xdr:colOff>
                    <xdr:row>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52C6-0568-4A49-9A1E-EB436093A16C}">
  <dimension ref="C5:AU308"/>
  <sheetViews>
    <sheetView zoomScale="70" zoomScaleNormal="70" workbookViewId="0"/>
  </sheetViews>
  <sheetFormatPr defaultRowHeight="14.4" x14ac:dyDescent="0.3"/>
  <cols>
    <col min="1" max="1" width="12.6640625" customWidth="1"/>
    <col min="2" max="2" width="17.33203125" customWidth="1"/>
    <col min="3" max="3" width="110.6640625" customWidth="1"/>
    <col min="4" max="4" width="48.44140625" customWidth="1"/>
    <col min="5" max="5" width="11" customWidth="1"/>
    <col min="6" max="6" width="10.44140625" customWidth="1"/>
    <col min="7" max="7" width="29.33203125" customWidth="1"/>
    <col min="8" max="8" width="7.77734375" bestFit="1" customWidth="1"/>
    <col min="9" max="9" width="11.44140625" customWidth="1"/>
    <col min="10" max="10" width="10.6640625" customWidth="1"/>
    <col min="11" max="11" width="8.44140625" customWidth="1"/>
    <col min="12" max="12" width="12.6640625" bestFit="1" customWidth="1"/>
    <col min="14" max="14" width="8.88671875" customWidth="1"/>
    <col min="17" max="17" width="36" customWidth="1"/>
    <col min="18" max="18" width="11.6640625" bestFit="1" customWidth="1"/>
    <col min="19" max="19" width="11.88671875" bestFit="1" customWidth="1"/>
    <col min="20" max="20" width="40.6640625" bestFit="1" customWidth="1"/>
    <col min="21" max="21" width="11.6640625" customWidth="1"/>
    <col min="22" max="22" width="11.88671875" bestFit="1" customWidth="1"/>
    <col min="27" max="27" width="10.88671875" customWidth="1"/>
    <col min="28" max="28" width="2" hidden="1" customWidth="1"/>
    <col min="29" max="29" width="40.6640625" bestFit="1" customWidth="1"/>
    <col min="30" max="30" width="6.44140625" customWidth="1"/>
    <col min="31" max="31" width="13.6640625" customWidth="1"/>
    <col min="32" max="32" width="22.109375" customWidth="1"/>
    <col min="35" max="35" width="9.5546875" bestFit="1" customWidth="1"/>
  </cols>
  <sheetData>
    <row r="5" spans="26:38" ht="15.6" customHeight="1" x14ac:dyDescent="0.3"/>
    <row r="14" spans="26:38" x14ac:dyDescent="0.3">
      <c r="Z14" s="310"/>
    </row>
    <row r="15" spans="26:38" x14ac:dyDescent="0.3">
      <c r="Z15" s="310"/>
    </row>
    <row r="16" spans="26:38" x14ac:dyDescent="0.3">
      <c r="Z16" s="310"/>
      <c r="AL16" s="136"/>
    </row>
    <row r="17" spans="26:38" x14ac:dyDescent="0.3">
      <c r="Z17" s="310"/>
      <c r="AL17" s="136"/>
    </row>
    <row r="18" spans="26:38" x14ac:dyDescent="0.3">
      <c r="Z18" s="310"/>
    </row>
    <row r="19" spans="26:38" x14ac:dyDescent="0.3">
      <c r="Z19" s="310"/>
    </row>
    <row r="20" spans="26:38" x14ac:dyDescent="0.3">
      <c r="Z20" s="310"/>
    </row>
    <row r="21" spans="26:38" x14ac:dyDescent="0.3">
      <c r="Z21" s="310"/>
    </row>
    <row r="22" spans="26:38" ht="28.8" customHeight="1" x14ac:dyDescent="0.3">
      <c r="Z22" s="310"/>
    </row>
    <row r="23" spans="26:38" x14ac:dyDescent="0.3">
      <c r="Z23" s="310"/>
    </row>
    <row r="24" spans="26:38" x14ac:dyDescent="0.3">
      <c r="Z24" s="310"/>
    </row>
    <row r="25" spans="26:38" x14ac:dyDescent="0.3">
      <c r="Z25" s="310"/>
    </row>
    <row r="26" spans="26:38" x14ac:dyDescent="0.3">
      <c r="Z26" s="310"/>
    </row>
    <row r="27" spans="26:38" x14ac:dyDescent="0.3">
      <c r="Z27" s="310"/>
    </row>
    <row r="28" spans="26:38" x14ac:dyDescent="0.3">
      <c r="Z28" s="742"/>
    </row>
    <row r="29" spans="26:38" x14ac:dyDescent="0.3">
      <c r="Z29" s="742"/>
    </row>
    <row r="30" spans="26:38" x14ac:dyDescent="0.3">
      <c r="Z30" s="310"/>
    </row>
    <row r="31" spans="26:38" x14ac:dyDescent="0.3">
      <c r="Z31" s="310"/>
    </row>
    <row r="32" spans="26:38" x14ac:dyDescent="0.3">
      <c r="Z32" s="310"/>
    </row>
    <row r="44" spans="3:35" ht="15" thickBot="1" x14ac:dyDescent="0.35"/>
    <row r="45" spans="3:35" ht="15" thickBot="1" x14ac:dyDescent="0.35">
      <c r="AF45" s="739" t="s">
        <v>435</v>
      </c>
      <c r="AG45" s="740"/>
      <c r="AH45" s="739" t="s">
        <v>436</v>
      </c>
      <c r="AI45" s="740"/>
    </row>
    <row r="46" spans="3:35" ht="15" thickBot="1" x14ac:dyDescent="0.35">
      <c r="AF46" s="743" t="s">
        <v>437</v>
      </c>
      <c r="AG46" s="744"/>
      <c r="AH46" s="743" t="s">
        <v>437</v>
      </c>
      <c r="AI46" s="744"/>
    </row>
    <row r="47" spans="3:35" ht="15" thickBot="1" x14ac:dyDescent="0.35">
      <c r="AF47" s="333" t="s">
        <v>438</v>
      </c>
      <c r="AG47" s="334">
        <f>INDEX('DIMENCINAMENTO DE PLACA'!B11:B16,'DIMENCINAMENTO DE PLACA'!F1)</f>
        <v>545</v>
      </c>
      <c r="AH47" s="335" t="s">
        <v>438</v>
      </c>
      <c r="AI47" s="347">
        <f>'PLANINHA CENTRAL'!K4</f>
        <v>12.646511915196825</v>
      </c>
    </row>
    <row r="48" spans="3:35" ht="58.2" thickBot="1" x14ac:dyDescent="0.35">
      <c r="C48" s="461" t="s">
        <v>505</v>
      </c>
      <c r="AF48" s="333" t="s">
        <v>439</v>
      </c>
      <c r="AG48" s="334" t="s">
        <v>440</v>
      </c>
      <c r="AH48" s="335" t="s">
        <v>439</v>
      </c>
      <c r="AI48" s="334" t="s">
        <v>440</v>
      </c>
    </row>
    <row r="49" spans="3:47" ht="43.8" thickBot="1" x14ac:dyDescent="0.35">
      <c r="C49" s="462" t="s">
        <v>506</v>
      </c>
      <c r="AF49" s="333" t="s">
        <v>441</v>
      </c>
      <c r="AG49" s="334" t="s">
        <v>442</v>
      </c>
      <c r="AH49" s="335" t="s">
        <v>441</v>
      </c>
      <c r="AI49" s="334" t="s">
        <v>442</v>
      </c>
    </row>
    <row r="50" spans="3:47" ht="97.8" thickBot="1" x14ac:dyDescent="0.35">
      <c r="C50" s="463" t="s">
        <v>507</v>
      </c>
      <c r="AF50" s="333" t="s">
        <v>443</v>
      </c>
      <c r="AG50" s="334" t="s">
        <v>444</v>
      </c>
      <c r="AH50" s="335" t="s">
        <v>443</v>
      </c>
      <c r="AI50" s="334" t="s">
        <v>445</v>
      </c>
    </row>
    <row r="51" spans="3:47" ht="29.4" thickBot="1" x14ac:dyDescent="0.35">
      <c r="C51" s="461" t="s">
        <v>508</v>
      </c>
      <c r="AF51" s="333" t="s">
        <v>446</v>
      </c>
      <c r="AG51" s="346">
        <f>INDEX('DIMENCINAMENTO DE PLACA'!G11:G16,'DIMENCINAMENTO DE PLACA'!F1)</f>
        <v>23.204609018709771</v>
      </c>
      <c r="AH51" s="335" t="s">
        <v>446</v>
      </c>
      <c r="AI51" s="334">
        <v>1</v>
      </c>
    </row>
    <row r="52" spans="3:47" ht="29.4" thickBot="1" x14ac:dyDescent="0.35">
      <c r="C52" s="462" t="s">
        <v>509</v>
      </c>
      <c r="AF52" s="333" t="s">
        <v>447</v>
      </c>
      <c r="AG52" s="334">
        <f>SUM('ESTRUTURA + ISUMOS'!F39:F45)</f>
        <v>0</v>
      </c>
      <c r="AH52" s="335" t="s">
        <v>448</v>
      </c>
      <c r="AI52" s="334">
        <f>'ESTRUTURA + ISUMOS'!F39</f>
        <v>0</v>
      </c>
    </row>
    <row r="54" spans="3:47" ht="17.399999999999999" x14ac:dyDescent="0.3">
      <c r="C54" s="464" t="s">
        <v>510</v>
      </c>
    </row>
    <row r="55" spans="3:47" ht="21" x14ac:dyDescent="0.3">
      <c r="AF55" s="745" t="s">
        <v>449</v>
      </c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2"/>
      <c r="AU55" s="742"/>
    </row>
    <row r="56" spans="3:47" ht="32.4" x14ac:dyDescent="0.3">
      <c r="C56" s="463" t="s">
        <v>511</v>
      </c>
      <c r="AF56" s="746" t="s">
        <v>450</v>
      </c>
      <c r="AG56" s="746"/>
      <c r="AH56" s="746"/>
      <c r="AI56" s="746"/>
      <c r="AJ56" s="746"/>
      <c r="AK56" s="746"/>
      <c r="AL56" s="746"/>
      <c r="AM56" s="746"/>
      <c r="AN56" s="746"/>
      <c r="AO56" s="746"/>
      <c r="AP56" s="746"/>
      <c r="AQ56" s="746"/>
      <c r="AR56" s="746"/>
      <c r="AS56" s="746"/>
      <c r="AT56" s="742"/>
      <c r="AU56" s="742"/>
    </row>
    <row r="57" spans="3:47" x14ac:dyDescent="0.3">
      <c r="AF57" s="746"/>
      <c r="AG57" s="746"/>
      <c r="AH57" s="746"/>
      <c r="AI57" s="746"/>
      <c r="AJ57" s="746"/>
      <c r="AK57" s="746"/>
      <c r="AL57" s="746"/>
      <c r="AM57" s="746"/>
      <c r="AN57" s="746"/>
      <c r="AO57" s="746"/>
      <c r="AP57" s="746"/>
      <c r="AQ57" s="746"/>
      <c r="AR57" s="746"/>
      <c r="AS57" s="746"/>
      <c r="AU57" s="310"/>
    </row>
    <row r="58" spans="3:47" x14ac:dyDescent="0.3">
      <c r="AF58" s="746"/>
      <c r="AG58" s="746"/>
      <c r="AH58" s="746"/>
      <c r="AI58" s="746"/>
      <c r="AJ58" s="746"/>
      <c r="AK58" s="746"/>
      <c r="AL58" s="746"/>
      <c r="AM58" s="746"/>
      <c r="AN58" s="746"/>
      <c r="AO58" s="746"/>
      <c r="AP58" s="746"/>
      <c r="AQ58" s="746"/>
      <c r="AR58" s="746"/>
      <c r="AS58" s="746"/>
      <c r="AU58" s="310"/>
    </row>
    <row r="59" spans="3:47" ht="17.399999999999999" x14ac:dyDescent="0.3">
      <c r="C59" s="464" t="s">
        <v>512</v>
      </c>
      <c r="AF59" s="741" t="s">
        <v>451</v>
      </c>
      <c r="AG59" s="741"/>
      <c r="AH59" s="741"/>
      <c r="AI59" s="741"/>
      <c r="AJ59" s="741"/>
      <c r="AK59" s="741"/>
      <c r="AL59" s="741"/>
      <c r="AM59" s="741"/>
      <c r="AN59" s="741"/>
      <c r="AO59" s="741"/>
      <c r="AP59" s="741"/>
      <c r="AQ59" s="741"/>
      <c r="AR59" s="741"/>
      <c r="AS59" s="741"/>
      <c r="AT59" s="742"/>
      <c r="AU59" s="742"/>
    </row>
    <row r="60" spans="3:47" x14ac:dyDescent="0.3">
      <c r="AF60" s="296"/>
      <c r="AG60" s="296"/>
      <c r="AM60" s="296"/>
      <c r="AN60" s="296"/>
      <c r="AQ60" s="296"/>
      <c r="AR60" s="296"/>
      <c r="AT60" s="742"/>
      <c r="AU60" s="742"/>
    </row>
    <row r="61" spans="3:47" ht="49.2" thickBot="1" x14ac:dyDescent="0.35">
      <c r="C61" s="463" t="s">
        <v>513</v>
      </c>
      <c r="AF61" s="296"/>
      <c r="AG61" s="747" t="s">
        <v>452</v>
      </c>
      <c r="AH61" s="747"/>
      <c r="AI61" s="747"/>
      <c r="AJ61" s="747"/>
      <c r="AK61" s="747"/>
      <c r="AL61" s="747" t="s">
        <v>410</v>
      </c>
      <c r="AM61" s="747"/>
      <c r="AN61" s="747"/>
      <c r="AO61" s="747" t="s">
        <v>453</v>
      </c>
      <c r="AP61" s="747"/>
      <c r="AQ61" s="747"/>
      <c r="AR61" s="296"/>
      <c r="AT61" s="742"/>
      <c r="AU61" s="742"/>
    </row>
    <row r="62" spans="3:47" ht="15.6" thickTop="1" thickBot="1" x14ac:dyDescent="0.35">
      <c r="AF62" s="296"/>
      <c r="AG62" s="748" t="s">
        <v>454</v>
      </c>
      <c r="AH62" s="748"/>
      <c r="AI62" s="748"/>
      <c r="AJ62" s="748"/>
      <c r="AK62" s="748"/>
      <c r="AL62" s="749">
        <v>579.23</v>
      </c>
      <c r="AM62" s="749"/>
      <c r="AN62" s="749"/>
      <c r="AO62" s="750" t="s">
        <v>417</v>
      </c>
      <c r="AP62" s="750"/>
      <c r="AQ62" s="750"/>
      <c r="AT62" s="742"/>
      <c r="AU62" s="742"/>
    </row>
    <row r="63" spans="3:47" x14ac:dyDescent="0.3">
      <c r="AF63" s="296"/>
      <c r="AG63" s="751" t="s">
        <v>455</v>
      </c>
      <c r="AH63" s="751"/>
      <c r="AI63" s="751"/>
      <c r="AJ63" s="751"/>
      <c r="AK63" s="751"/>
      <c r="AL63" s="753">
        <f>'GERAÇÃO DE ENERGIA'!E6</f>
        <v>1500</v>
      </c>
      <c r="AM63" s="754"/>
      <c r="AN63" s="754"/>
      <c r="AO63" s="754" t="s">
        <v>415</v>
      </c>
      <c r="AP63" s="754"/>
      <c r="AQ63" s="754"/>
      <c r="AT63" s="742"/>
      <c r="AU63" s="742"/>
    </row>
    <row r="64" spans="3:47" ht="18" thickBot="1" x14ac:dyDescent="0.35">
      <c r="C64" s="464" t="s">
        <v>514</v>
      </c>
      <c r="AF64" s="296"/>
      <c r="AG64" s="752"/>
      <c r="AH64" s="752"/>
      <c r="AI64" s="752"/>
      <c r="AJ64" s="752"/>
      <c r="AK64" s="752"/>
      <c r="AL64" s="755"/>
      <c r="AM64" s="755"/>
      <c r="AN64" s="755"/>
      <c r="AO64" s="755"/>
      <c r="AP64" s="755"/>
      <c r="AQ64" s="755"/>
      <c r="AT64" s="742"/>
      <c r="AU64" s="742"/>
    </row>
    <row r="65" spans="3:47" ht="15" thickBot="1" x14ac:dyDescent="0.35">
      <c r="AF65" s="296"/>
      <c r="AG65" s="776" t="s">
        <v>456</v>
      </c>
      <c r="AH65" s="776"/>
      <c r="AI65" s="776"/>
      <c r="AJ65" s="776"/>
      <c r="AK65" s="776"/>
      <c r="AL65" s="777">
        <f>'GERAÇÃO DE ENERGIA'!E18</f>
        <v>18000</v>
      </c>
      <c r="AM65" s="777"/>
      <c r="AN65" s="777"/>
      <c r="AO65" s="778" t="s">
        <v>420</v>
      </c>
      <c r="AP65" s="778"/>
      <c r="AQ65" s="778"/>
      <c r="AT65" s="742"/>
      <c r="AU65" s="742"/>
    </row>
    <row r="66" spans="3:47" ht="16.2" x14ac:dyDescent="0.3">
      <c r="C66" s="462" t="s">
        <v>515</v>
      </c>
      <c r="AF66" s="296"/>
      <c r="AG66" s="751" t="s">
        <v>457</v>
      </c>
      <c r="AH66" s="751"/>
      <c r="AI66" s="751"/>
      <c r="AJ66" s="751"/>
      <c r="AK66" s="751"/>
      <c r="AL66" s="756">
        <f>'GERAÇÃO DE ENERGIA'!I6</f>
        <v>1655.9999999999998</v>
      </c>
      <c r="AM66" s="756"/>
      <c r="AN66" s="756"/>
      <c r="AO66" s="754" t="s">
        <v>417</v>
      </c>
      <c r="AP66" s="754"/>
      <c r="AQ66" s="754"/>
      <c r="AT66" s="742"/>
      <c r="AU66" s="742"/>
    </row>
    <row r="67" spans="3:47" ht="16.8" thickBot="1" x14ac:dyDescent="0.35">
      <c r="C67" s="462" t="s">
        <v>516</v>
      </c>
      <c r="AF67" s="296"/>
      <c r="AG67" s="752"/>
      <c r="AH67" s="752"/>
      <c r="AI67" s="752"/>
      <c r="AJ67" s="752"/>
      <c r="AK67" s="752"/>
      <c r="AL67" s="757"/>
      <c r="AM67" s="757"/>
      <c r="AN67" s="757"/>
      <c r="AO67" s="755"/>
      <c r="AP67" s="755"/>
      <c r="AQ67" s="755"/>
      <c r="AT67" s="742"/>
      <c r="AU67" s="742"/>
    </row>
    <row r="68" spans="3:47" ht="16.2" x14ac:dyDescent="0.3">
      <c r="C68" s="462" t="s">
        <v>517</v>
      </c>
      <c r="AF68" s="296"/>
      <c r="AG68" s="772" t="s">
        <v>458</v>
      </c>
      <c r="AH68" s="772"/>
      <c r="AI68" s="772"/>
      <c r="AJ68" s="772"/>
      <c r="AK68" s="772"/>
      <c r="AL68" s="756">
        <f>'GERAÇÃO DE ENERGIA'!J6</f>
        <v>19871.999999999996</v>
      </c>
      <c r="AM68" s="756"/>
      <c r="AN68" s="756"/>
      <c r="AO68" s="754" t="s">
        <v>459</v>
      </c>
      <c r="AP68" s="754"/>
      <c r="AQ68" s="754"/>
      <c r="AT68" s="742"/>
      <c r="AU68" s="742"/>
    </row>
    <row r="69" spans="3:47" ht="16.8" thickBot="1" x14ac:dyDescent="0.35">
      <c r="C69" s="462" t="s">
        <v>518</v>
      </c>
      <c r="AF69" s="296"/>
      <c r="AG69" s="773"/>
      <c r="AH69" s="773"/>
      <c r="AI69" s="773"/>
      <c r="AJ69" s="773"/>
      <c r="AK69" s="773"/>
      <c r="AL69" s="774"/>
      <c r="AM69" s="774"/>
      <c r="AN69" s="774"/>
      <c r="AO69" s="775"/>
      <c r="AP69" s="775"/>
      <c r="AQ69" s="775"/>
      <c r="AT69" s="742"/>
      <c r="AU69" s="742"/>
    </row>
    <row r="70" spans="3:47" ht="16.8" thickTop="1" x14ac:dyDescent="0.3">
      <c r="C70" s="462" t="s">
        <v>519</v>
      </c>
      <c r="AF70" s="296"/>
      <c r="AG70" s="759" t="s">
        <v>460</v>
      </c>
      <c r="AH70" s="760"/>
      <c r="AI70" s="760"/>
      <c r="AJ70" s="760"/>
      <c r="AK70" s="760"/>
      <c r="AL70" s="760"/>
      <c r="AM70" s="760"/>
      <c r="AN70" s="763">
        <f>VALORES!K3</f>
        <v>65707.147802562962</v>
      </c>
      <c r="AO70" s="763"/>
      <c r="AP70" s="763"/>
      <c r="AQ70" s="764"/>
      <c r="AT70" s="742"/>
      <c r="AU70" s="742"/>
    </row>
    <row r="71" spans="3:47" ht="16.2" x14ac:dyDescent="0.3">
      <c r="C71" s="462" t="s">
        <v>520</v>
      </c>
      <c r="AF71" s="310"/>
      <c r="AG71" s="759"/>
      <c r="AH71" s="760"/>
      <c r="AI71" s="760"/>
      <c r="AJ71" s="760"/>
      <c r="AK71" s="760"/>
      <c r="AL71" s="760"/>
      <c r="AM71" s="760"/>
      <c r="AN71" s="765"/>
      <c r="AO71" s="765"/>
      <c r="AP71" s="765"/>
      <c r="AQ71" s="766"/>
      <c r="AR71" s="769"/>
      <c r="AS71" s="742"/>
      <c r="AT71" s="742"/>
      <c r="AU71" s="742"/>
    </row>
    <row r="72" spans="3:47" ht="16.8" thickBot="1" x14ac:dyDescent="0.35">
      <c r="C72" s="462" t="s">
        <v>521</v>
      </c>
      <c r="AF72" s="310"/>
      <c r="AG72" s="761"/>
      <c r="AH72" s="762"/>
      <c r="AI72" s="762"/>
      <c r="AJ72" s="762"/>
      <c r="AK72" s="762"/>
      <c r="AL72" s="762"/>
      <c r="AM72" s="762"/>
      <c r="AN72" s="767"/>
      <c r="AO72" s="767"/>
      <c r="AP72" s="767"/>
      <c r="AQ72" s="768"/>
      <c r="AR72" s="770"/>
      <c r="AS72" s="771"/>
      <c r="AT72" s="771"/>
      <c r="AU72" s="771"/>
    </row>
    <row r="73" spans="3:47" ht="16.2" x14ac:dyDescent="0.3">
      <c r="C73" s="462" t="s">
        <v>522</v>
      </c>
      <c r="AF73" s="310"/>
      <c r="AR73" s="770"/>
      <c r="AS73" s="771"/>
      <c r="AT73" s="771"/>
      <c r="AU73" s="771"/>
    </row>
    <row r="79" spans="3:47" ht="19.8" x14ac:dyDescent="0.3">
      <c r="C79" s="465" t="s">
        <v>523</v>
      </c>
    </row>
    <row r="90" spans="3:5" ht="19.8" x14ac:dyDescent="0.3">
      <c r="C90" s="465"/>
    </row>
    <row r="91" spans="3:5" x14ac:dyDescent="0.3">
      <c r="D91" s="437"/>
      <c r="E91" s="437"/>
    </row>
    <row r="92" spans="3:5" x14ac:dyDescent="0.3">
      <c r="D92" s="437"/>
      <c r="E92" s="437"/>
    </row>
    <row r="93" spans="3:5" x14ac:dyDescent="0.3">
      <c r="D93" s="437"/>
      <c r="E93" s="437"/>
    </row>
    <row r="94" spans="3:5" x14ac:dyDescent="0.3">
      <c r="D94" s="437"/>
      <c r="E94" s="437"/>
    </row>
    <row r="95" spans="3:5" x14ac:dyDescent="0.3">
      <c r="D95" s="437"/>
      <c r="E95" s="437"/>
    </row>
    <row r="96" spans="3:5" x14ac:dyDescent="0.3">
      <c r="D96" s="437"/>
      <c r="E96" s="437"/>
    </row>
    <row r="97" spans="3:5" x14ac:dyDescent="0.3">
      <c r="E97" s="437"/>
    </row>
    <row r="98" spans="3:5" x14ac:dyDescent="0.3">
      <c r="E98" s="437"/>
    </row>
    <row r="99" spans="3:5" x14ac:dyDescent="0.3">
      <c r="C99" s="466" t="s">
        <v>524</v>
      </c>
      <c r="E99" s="437"/>
    </row>
    <row r="100" spans="3:5" x14ac:dyDescent="0.3">
      <c r="C100" s="466" t="s">
        <v>525</v>
      </c>
    </row>
    <row r="101" spans="3:5" x14ac:dyDescent="0.3">
      <c r="C101" s="466" t="s">
        <v>526</v>
      </c>
    </row>
    <row r="102" spans="3:5" x14ac:dyDescent="0.3">
      <c r="C102" s="467" t="s">
        <v>527</v>
      </c>
    </row>
    <row r="103" spans="3:5" x14ac:dyDescent="0.3">
      <c r="C103" s="466" t="s">
        <v>528</v>
      </c>
    </row>
    <row r="104" spans="3:5" x14ac:dyDescent="0.3">
      <c r="C104" s="758" t="s">
        <v>529</v>
      </c>
    </row>
    <row r="105" spans="3:5" x14ac:dyDescent="0.3">
      <c r="C105" s="758"/>
    </row>
    <row r="106" spans="3:5" x14ac:dyDescent="0.3">
      <c r="C106" s="758"/>
    </row>
    <row r="107" spans="3:5" x14ac:dyDescent="0.3">
      <c r="C107" s="758"/>
    </row>
    <row r="115" spans="3:3" ht="19.8" x14ac:dyDescent="0.3">
      <c r="C115" s="465"/>
    </row>
    <row r="116" spans="3:3" ht="19.8" x14ac:dyDescent="0.3">
      <c r="C116" s="465"/>
    </row>
    <row r="128" spans="3:3" ht="19.8" x14ac:dyDescent="0.3">
      <c r="C128" s="465" t="s">
        <v>530</v>
      </c>
    </row>
    <row r="129" spans="3:4" ht="19.8" x14ac:dyDescent="0.3">
      <c r="C129" s="465"/>
    </row>
    <row r="130" spans="3:4" ht="19.8" x14ac:dyDescent="0.3">
      <c r="C130" s="465"/>
    </row>
    <row r="131" spans="3:4" ht="19.8" x14ac:dyDescent="0.3">
      <c r="C131" s="465"/>
    </row>
    <row r="132" spans="3:4" ht="19.8" x14ac:dyDescent="0.3">
      <c r="C132" s="465"/>
    </row>
    <row r="140" spans="3:4" x14ac:dyDescent="0.3">
      <c r="C140" s="758" t="s">
        <v>531</v>
      </c>
      <c r="D140" s="437"/>
    </row>
    <row r="141" spans="3:4" x14ac:dyDescent="0.3">
      <c r="C141" s="758"/>
      <c r="D141" s="437"/>
    </row>
    <row r="142" spans="3:4" x14ac:dyDescent="0.3">
      <c r="C142" s="466" t="s">
        <v>532</v>
      </c>
      <c r="D142" s="437"/>
    </row>
    <row r="143" spans="3:4" x14ac:dyDescent="0.3">
      <c r="C143" s="781" t="s">
        <v>533</v>
      </c>
      <c r="D143" s="437"/>
    </row>
    <row r="144" spans="3:4" ht="2.4" customHeight="1" x14ac:dyDescent="0.3">
      <c r="C144" s="781"/>
      <c r="D144" s="437"/>
    </row>
    <row r="145" spans="3:4" ht="6.6" customHeight="1" x14ac:dyDescent="0.3">
      <c r="C145" s="781" t="s">
        <v>534</v>
      </c>
      <c r="D145" s="437"/>
    </row>
    <row r="146" spans="3:4" x14ac:dyDescent="0.3">
      <c r="C146" s="781"/>
      <c r="D146" s="437"/>
    </row>
    <row r="147" spans="3:4" ht="25.2" customHeight="1" x14ac:dyDescent="0.3">
      <c r="C147" s="758" t="s">
        <v>535</v>
      </c>
      <c r="D147" s="437"/>
    </row>
    <row r="148" spans="3:4" x14ac:dyDescent="0.3">
      <c r="C148" s="758"/>
      <c r="D148" s="437"/>
    </row>
    <row r="149" spans="3:4" x14ac:dyDescent="0.3">
      <c r="C149" s="758" t="s">
        <v>536</v>
      </c>
      <c r="D149" s="437"/>
    </row>
    <row r="150" spans="3:4" x14ac:dyDescent="0.3">
      <c r="C150" s="758"/>
      <c r="D150" s="437"/>
    </row>
    <row r="152" spans="3:4" ht="21" x14ac:dyDescent="0.3">
      <c r="C152" s="441" t="s">
        <v>537</v>
      </c>
    </row>
    <row r="154" spans="3:4" ht="28.2" x14ac:dyDescent="0.3">
      <c r="C154" s="468" t="s">
        <v>540</v>
      </c>
    </row>
    <row r="156" spans="3:4" ht="17.399999999999999" x14ac:dyDescent="0.3">
      <c r="C156" s="440" t="s">
        <v>538</v>
      </c>
    </row>
    <row r="158" spans="3:4" ht="98.4" x14ac:dyDescent="0.4">
      <c r="C158" s="469" t="s">
        <v>539</v>
      </c>
    </row>
    <row r="170" spans="3:3" x14ac:dyDescent="0.3">
      <c r="C170" s="438"/>
    </row>
    <row r="171" spans="3:3" x14ac:dyDescent="0.3">
      <c r="C171" s="438"/>
    </row>
    <row r="172" spans="3:3" x14ac:dyDescent="0.3">
      <c r="C172" s="438"/>
    </row>
    <row r="173" spans="3:3" x14ac:dyDescent="0.3">
      <c r="C173" s="438"/>
    </row>
    <row r="174" spans="3:3" x14ac:dyDescent="0.3">
      <c r="C174" s="438"/>
    </row>
    <row r="175" spans="3:3" x14ac:dyDescent="0.3">
      <c r="C175" s="438"/>
    </row>
    <row r="176" spans="3:3" x14ac:dyDescent="0.3">
      <c r="C176" s="438"/>
    </row>
    <row r="177" spans="3:3" x14ac:dyDescent="0.3">
      <c r="C177" s="438"/>
    </row>
    <row r="178" spans="3:3" x14ac:dyDescent="0.3">
      <c r="C178" s="438"/>
    </row>
    <row r="179" spans="3:3" x14ac:dyDescent="0.3">
      <c r="C179" s="438"/>
    </row>
    <row r="180" spans="3:3" x14ac:dyDescent="0.3">
      <c r="C180" s="438"/>
    </row>
    <row r="181" spans="3:3" x14ac:dyDescent="0.3">
      <c r="C181" s="438"/>
    </row>
    <row r="182" spans="3:3" x14ac:dyDescent="0.3">
      <c r="C182" s="438"/>
    </row>
    <row r="183" spans="3:3" x14ac:dyDescent="0.3">
      <c r="C183" s="438"/>
    </row>
    <row r="184" spans="3:3" x14ac:dyDescent="0.3">
      <c r="C184" s="438"/>
    </row>
    <row r="185" spans="3:3" x14ac:dyDescent="0.3">
      <c r="C185" s="438"/>
    </row>
    <row r="186" spans="3:3" x14ac:dyDescent="0.3">
      <c r="C186" s="438"/>
    </row>
    <row r="187" spans="3:3" x14ac:dyDescent="0.3">
      <c r="C187" s="438"/>
    </row>
    <row r="188" spans="3:3" x14ac:dyDescent="0.3">
      <c r="C188" s="438"/>
    </row>
    <row r="189" spans="3:3" x14ac:dyDescent="0.3">
      <c r="C189" s="438"/>
    </row>
    <row r="190" spans="3:3" x14ac:dyDescent="0.3">
      <c r="C190" s="438"/>
    </row>
    <row r="191" spans="3:3" x14ac:dyDescent="0.3">
      <c r="C191" s="438"/>
    </row>
    <row r="192" spans="3:3" x14ac:dyDescent="0.3">
      <c r="C192" s="438"/>
    </row>
    <row r="193" spans="3:9" x14ac:dyDescent="0.3">
      <c r="C193" s="438"/>
    </row>
    <row r="194" spans="3:9" ht="15" customHeight="1" x14ac:dyDescent="0.3">
      <c r="C194" s="438"/>
    </row>
    <row r="195" spans="3:9" ht="15" customHeight="1" x14ac:dyDescent="0.3">
      <c r="C195" s="438"/>
    </row>
    <row r="196" spans="3:9" x14ac:dyDescent="0.3">
      <c r="C196" s="438"/>
    </row>
    <row r="197" spans="3:9" x14ac:dyDescent="0.3">
      <c r="C197" s="438"/>
    </row>
    <row r="198" spans="3:9" x14ac:dyDescent="0.3">
      <c r="C198" s="438"/>
    </row>
    <row r="199" spans="3:9" x14ac:dyDescent="0.3">
      <c r="C199" s="438"/>
    </row>
    <row r="200" spans="3:9" x14ac:dyDescent="0.3">
      <c r="C200" s="438"/>
    </row>
    <row r="201" spans="3:9" x14ac:dyDescent="0.3">
      <c r="C201" s="438"/>
    </row>
    <row r="202" spans="3:9" x14ac:dyDescent="0.3">
      <c r="C202" s="438"/>
      <c r="F202" s="438"/>
      <c r="G202" s="438"/>
      <c r="H202" s="438"/>
      <c r="I202" s="438"/>
    </row>
    <row r="203" spans="3:9" x14ac:dyDescent="0.3">
      <c r="C203" s="438"/>
      <c r="F203" s="438"/>
      <c r="G203" s="438"/>
      <c r="H203" s="438"/>
      <c r="I203" s="438"/>
    </row>
    <row r="204" spans="3:9" x14ac:dyDescent="0.3">
      <c r="C204" s="438"/>
      <c r="F204" s="438"/>
      <c r="G204" s="438"/>
      <c r="H204" s="438"/>
      <c r="I204" s="438"/>
    </row>
    <row r="205" spans="3:9" x14ac:dyDescent="0.3">
      <c r="C205" s="438"/>
      <c r="F205" s="438"/>
      <c r="G205" s="438"/>
      <c r="H205" s="438"/>
      <c r="I205" s="438"/>
    </row>
    <row r="206" spans="3:9" x14ac:dyDescent="0.3">
      <c r="C206" s="438"/>
      <c r="F206" s="438"/>
      <c r="G206" s="438"/>
      <c r="H206" s="438"/>
      <c r="I206" s="438"/>
    </row>
    <row r="207" spans="3:9" x14ac:dyDescent="0.3">
      <c r="C207" s="438"/>
      <c r="F207" s="438"/>
      <c r="G207" s="438"/>
      <c r="H207" s="438"/>
      <c r="I207" s="438"/>
    </row>
    <row r="208" spans="3:9" x14ac:dyDescent="0.3">
      <c r="C208" s="438"/>
      <c r="F208" s="438"/>
      <c r="G208" s="438"/>
      <c r="H208" s="438"/>
      <c r="I208" s="438"/>
    </row>
    <row r="209" spans="3:10" x14ac:dyDescent="0.3">
      <c r="C209" s="438"/>
      <c r="F209" s="438"/>
      <c r="G209" s="438"/>
      <c r="H209" s="438"/>
      <c r="I209" s="438"/>
    </row>
    <row r="210" spans="3:10" x14ac:dyDescent="0.3">
      <c r="C210" s="438"/>
      <c r="F210" s="438"/>
      <c r="G210" s="438"/>
      <c r="H210" s="438"/>
      <c r="I210" s="438"/>
    </row>
    <row r="211" spans="3:10" x14ac:dyDescent="0.3">
      <c r="C211" s="438"/>
      <c r="F211" s="438"/>
      <c r="G211" s="438"/>
      <c r="H211" s="438"/>
      <c r="I211" s="438"/>
    </row>
    <row r="212" spans="3:10" x14ac:dyDescent="0.3">
      <c r="C212" s="438"/>
      <c r="F212" s="438"/>
      <c r="G212" s="438"/>
      <c r="H212" s="438"/>
      <c r="I212" s="438"/>
    </row>
    <row r="213" spans="3:10" x14ac:dyDescent="0.3">
      <c r="C213" s="438"/>
    </row>
    <row r="214" spans="3:10" x14ac:dyDescent="0.3">
      <c r="C214" s="438"/>
    </row>
    <row r="215" spans="3:10" x14ac:dyDescent="0.3">
      <c r="C215" s="438"/>
    </row>
    <row r="216" spans="3:10" x14ac:dyDescent="0.3">
      <c r="C216" s="438"/>
    </row>
    <row r="217" spans="3:10" x14ac:dyDescent="0.3">
      <c r="C217" s="438"/>
    </row>
    <row r="218" spans="3:10" x14ac:dyDescent="0.3">
      <c r="C218" s="438"/>
    </row>
    <row r="221" spans="3:10" ht="21" x14ac:dyDescent="0.3">
      <c r="F221" s="438"/>
      <c r="G221" s="507" t="s">
        <v>433</v>
      </c>
      <c r="H221" s="507"/>
      <c r="I221" s="507"/>
      <c r="J221" s="507"/>
    </row>
    <row r="222" spans="3:10" x14ac:dyDescent="0.3">
      <c r="F222" s="438"/>
      <c r="G222" s="438"/>
      <c r="H222" s="438"/>
      <c r="I222" s="438"/>
    </row>
    <row r="223" spans="3:10" ht="15" thickBot="1" x14ac:dyDescent="0.35">
      <c r="F223" s="478"/>
      <c r="G223" s="470" t="s">
        <v>412</v>
      </c>
      <c r="H223" s="470"/>
      <c r="I223" s="512" t="s">
        <v>413</v>
      </c>
      <c r="J223" s="512"/>
    </row>
    <row r="224" spans="3:10" ht="15.6" thickTop="1" thickBot="1" x14ac:dyDescent="0.35">
      <c r="F224" s="478"/>
      <c r="G224" s="470" t="s">
        <v>409</v>
      </c>
      <c r="H224" s="470"/>
      <c r="I224" s="439" t="s">
        <v>410</v>
      </c>
      <c r="J224" s="486" t="s">
        <v>411</v>
      </c>
    </row>
    <row r="225" spans="6:10" ht="15.6" thickTop="1" thickBot="1" x14ac:dyDescent="0.35">
      <c r="F225" s="438"/>
      <c r="G225" s="786" t="s">
        <v>414</v>
      </c>
      <c r="H225" s="786"/>
      <c r="I225" s="327">
        <f>'PLANINHA CENTRAL'!$G$11</f>
        <v>1500</v>
      </c>
      <c r="J225" s="329" t="s">
        <v>415</v>
      </c>
    </row>
    <row r="226" spans="6:10" ht="28.2" customHeight="1" thickBot="1" x14ac:dyDescent="0.35">
      <c r="F226" s="438"/>
      <c r="G226" s="785" t="s">
        <v>416</v>
      </c>
      <c r="H226" s="785"/>
      <c r="I226" s="331">
        <f>'GERAÇÃO DE ENERGIA'!$H$6</f>
        <v>69</v>
      </c>
      <c r="J226" s="329" t="s">
        <v>417</v>
      </c>
    </row>
    <row r="227" spans="6:10" ht="28.2" customHeight="1" thickBot="1" x14ac:dyDescent="0.35">
      <c r="F227" s="438"/>
      <c r="G227" s="785" t="s">
        <v>418</v>
      </c>
      <c r="H227" s="785"/>
      <c r="I227" s="331">
        <f>'GERAÇÃO DE ENERGIA'!$G$6</f>
        <v>1724.9999999999998</v>
      </c>
      <c r="J227" s="329" t="s">
        <v>417</v>
      </c>
    </row>
    <row r="228" spans="6:10" ht="15" thickBot="1" x14ac:dyDescent="0.35">
      <c r="F228" s="438"/>
      <c r="G228" s="787" t="s">
        <v>419</v>
      </c>
      <c r="H228" s="787"/>
      <c r="I228" s="332">
        <f>'GERAÇÃO DE ENERGIA'!$J$6</f>
        <v>19871.999999999996</v>
      </c>
      <c r="J228" s="330" t="s">
        <v>420</v>
      </c>
    </row>
    <row r="229" spans="6:10" ht="15" thickTop="1" x14ac:dyDescent="0.3">
      <c r="F229" s="438"/>
      <c r="G229" s="438"/>
      <c r="H229" s="438"/>
      <c r="I229" s="438"/>
    </row>
    <row r="230" spans="6:10" x14ac:dyDescent="0.3">
      <c r="F230" s="438"/>
      <c r="G230" s="438"/>
      <c r="H230" s="438"/>
      <c r="I230" s="438"/>
    </row>
    <row r="231" spans="6:10" ht="21" x14ac:dyDescent="0.4">
      <c r="F231" s="438"/>
      <c r="G231" s="513" t="s">
        <v>434</v>
      </c>
      <c r="H231" s="513"/>
      <c r="I231" s="513"/>
      <c r="J231" s="513"/>
    </row>
    <row r="232" spans="6:10" x14ac:dyDescent="0.3">
      <c r="F232" s="438"/>
      <c r="G232" s="438"/>
      <c r="H232" s="506"/>
      <c r="I232" s="438"/>
    </row>
    <row r="233" spans="6:10" ht="15" thickBot="1" x14ac:dyDescent="0.35">
      <c r="F233" s="438"/>
      <c r="G233" s="439" t="s">
        <v>421</v>
      </c>
      <c r="H233" s="747" t="s">
        <v>427</v>
      </c>
      <c r="I233" s="747"/>
      <c r="J233" s="747"/>
    </row>
    <row r="234" spans="6:10" ht="15.6" thickTop="1" thickBot="1" x14ac:dyDescent="0.35">
      <c r="F234" s="438"/>
      <c r="G234" s="439" t="s">
        <v>422</v>
      </c>
      <c r="H234" s="470"/>
      <c r="I234" s="780" t="s">
        <v>428</v>
      </c>
      <c r="J234" s="780"/>
    </row>
    <row r="235" spans="6:10" ht="15.6" thickTop="1" thickBot="1" x14ac:dyDescent="0.35">
      <c r="F235" s="438"/>
      <c r="G235" s="314" t="s">
        <v>423</v>
      </c>
      <c r="H235" s="314"/>
      <c r="I235" s="327" t="e">
        <f>'PLANINHA CENTRAL'!#REF!</f>
        <v>#REF!</v>
      </c>
      <c r="J235" s="329" t="s">
        <v>429</v>
      </c>
    </row>
    <row r="236" spans="6:10" ht="15" thickBot="1" x14ac:dyDescent="0.35">
      <c r="F236" s="438"/>
      <c r="G236" s="314" t="s">
        <v>424</v>
      </c>
      <c r="H236" s="314"/>
      <c r="I236" s="327" t="e">
        <f>'PLANINHA CENTRAL'!#REF!</f>
        <v>#REF!</v>
      </c>
      <c r="J236" s="329" t="s">
        <v>430</v>
      </c>
    </row>
    <row r="237" spans="6:10" ht="15" thickBot="1" x14ac:dyDescent="0.35">
      <c r="F237" s="438"/>
      <c r="G237" s="314" t="s">
        <v>425</v>
      </c>
      <c r="H237" s="314"/>
      <c r="I237" s="327" t="e">
        <f>'PLANINHA CENTRAL'!#REF!</f>
        <v>#REF!</v>
      </c>
      <c r="J237" s="329" t="s">
        <v>431</v>
      </c>
    </row>
    <row r="238" spans="6:10" ht="15" thickBot="1" x14ac:dyDescent="0.35">
      <c r="F238" s="438"/>
      <c r="G238" s="315" t="s">
        <v>426</v>
      </c>
      <c r="H238" s="315"/>
      <c r="I238" s="328" t="e">
        <f>'PLANINHA CENTRAL'!#REF!</f>
        <v>#REF!</v>
      </c>
      <c r="J238" s="330" t="s">
        <v>432</v>
      </c>
    </row>
    <row r="239" spans="6:10" ht="15" thickTop="1" x14ac:dyDescent="0.3">
      <c r="F239" s="438"/>
      <c r="G239" s="438"/>
      <c r="H239" s="438"/>
      <c r="I239" s="438"/>
    </row>
    <row r="240" spans="6:10" ht="15" thickBot="1" x14ac:dyDescent="0.35">
      <c r="F240" s="438"/>
      <c r="G240" s="438"/>
      <c r="H240" s="438"/>
      <c r="I240" s="438"/>
    </row>
    <row r="241" spans="6:10" ht="15" thickBot="1" x14ac:dyDescent="0.35">
      <c r="F241" s="438"/>
      <c r="G241" s="508" t="s">
        <v>435</v>
      </c>
      <c r="H241" s="509"/>
      <c r="I241" s="508" t="s">
        <v>436</v>
      </c>
      <c r="J241" s="509"/>
    </row>
    <row r="242" spans="6:10" ht="15" thickBot="1" x14ac:dyDescent="0.35">
      <c r="F242" s="438"/>
      <c r="G242" s="510" t="s">
        <v>437</v>
      </c>
      <c r="H242" s="511"/>
      <c r="I242" s="743" t="s">
        <v>437</v>
      </c>
      <c r="J242" s="744"/>
    </row>
    <row r="243" spans="6:10" ht="15" thickBot="1" x14ac:dyDescent="0.35">
      <c r="F243" s="438"/>
      <c r="G243" s="333" t="s">
        <v>438</v>
      </c>
      <c r="H243" s="334" t="e">
        <f>INDEX('DIMENCINAMENTO DE PLACA'!#REF!,'DIMENCINAMENTO DE PLACA'!#REF!)</f>
        <v>#REF!</v>
      </c>
      <c r="I243" s="335" t="s">
        <v>438</v>
      </c>
      <c r="J243" s="347" t="e">
        <f>'PLANINHA CENTRAL'!#REF!</f>
        <v>#REF!</v>
      </c>
    </row>
    <row r="244" spans="6:10" ht="43.8" thickBot="1" x14ac:dyDescent="0.35">
      <c r="F244" s="438"/>
      <c r="G244" s="333" t="s">
        <v>439</v>
      </c>
      <c r="H244" s="334" t="s">
        <v>440</v>
      </c>
      <c r="I244" s="335" t="s">
        <v>439</v>
      </c>
      <c r="J244" s="334" t="s">
        <v>440</v>
      </c>
    </row>
    <row r="245" spans="6:10" ht="29.4" thickBot="1" x14ac:dyDescent="0.35">
      <c r="F245" s="438"/>
      <c r="G245" s="333" t="s">
        <v>441</v>
      </c>
      <c r="H245" s="334" t="s">
        <v>442</v>
      </c>
      <c r="I245" s="335" t="s">
        <v>441</v>
      </c>
      <c r="J245" s="334" t="s">
        <v>442</v>
      </c>
    </row>
    <row r="246" spans="6:10" ht="15" thickBot="1" x14ac:dyDescent="0.35">
      <c r="F246" s="438"/>
      <c r="G246" s="333" t="s">
        <v>443</v>
      </c>
      <c r="H246" s="334" t="s">
        <v>444</v>
      </c>
      <c r="I246" s="335" t="s">
        <v>443</v>
      </c>
      <c r="J246" s="334" t="s">
        <v>445</v>
      </c>
    </row>
    <row r="247" spans="6:10" ht="15" thickBot="1" x14ac:dyDescent="0.35">
      <c r="F247" s="438"/>
      <c r="G247" s="333" t="s">
        <v>446</v>
      </c>
      <c r="H247" s="346" t="e">
        <f>INDEX('DIMENCINAMENTO DE PLACA'!#REF!,'DIMENCINAMENTO DE PLACA'!#REF!)</f>
        <v>#REF!</v>
      </c>
      <c r="I247" s="335" t="s">
        <v>446</v>
      </c>
      <c r="J247" s="334">
        <v>1</v>
      </c>
    </row>
    <row r="248" spans="6:10" ht="15" thickBot="1" x14ac:dyDescent="0.35">
      <c r="F248" s="438"/>
      <c r="G248" s="333" t="s">
        <v>447</v>
      </c>
      <c r="H248" s="334" t="e">
        <f>SUM('ESTRUTURA + ISUMOS'!#REF!)</f>
        <v>#REF!</v>
      </c>
      <c r="I248" s="335" t="s">
        <v>448</v>
      </c>
      <c r="J248" s="334" t="e">
        <f>'ESTRUTURA + ISUMOS'!#REF!</f>
        <v>#REF!</v>
      </c>
    </row>
    <row r="249" spans="6:10" ht="15" thickBot="1" x14ac:dyDescent="0.35">
      <c r="F249" s="438"/>
      <c r="G249" s="438"/>
      <c r="H249" s="438"/>
      <c r="I249" s="438"/>
    </row>
    <row r="250" spans="6:10" ht="16.2" x14ac:dyDescent="0.3">
      <c r="F250" s="438"/>
      <c r="G250" s="515" t="s">
        <v>541</v>
      </c>
      <c r="H250" s="516"/>
      <c r="I250" s="516"/>
      <c r="J250" s="517"/>
    </row>
    <row r="251" spans="6:10" ht="15" customHeight="1" x14ac:dyDescent="0.3">
      <c r="F251" s="438"/>
      <c r="G251" s="788"/>
      <c r="H251" s="789"/>
      <c r="I251" s="789"/>
      <c r="J251" s="790"/>
    </row>
    <row r="252" spans="6:10" ht="16.2" x14ac:dyDescent="0.3">
      <c r="G252" s="791" t="s">
        <v>542</v>
      </c>
      <c r="H252" s="792"/>
      <c r="I252" s="792"/>
      <c r="J252" s="793"/>
    </row>
    <row r="253" spans="6:10" ht="16.2" x14ac:dyDescent="0.3">
      <c r="G253" s="791" t="s">
        <v>543</v>
      </c>
      <c r="H253" s="792"/>
      <c r="I253" s="792"/>
      <c r="J253" s="793"/>
    </row>
    <row r="254" spans="6:10" ht="16.2" x14ac:dyDescent="0.3">
      <c r="G254" s="791" t="s">
        <v>544</v>
      </c>
      <c r="H254" s="792"/>
      <c r="I254" s="792"/>
      <c r="J254" s="793"/>
    </row>
    <row r="255" spans="6:10" ht="30.6" customHeight="1" x14ac:dyDescent="0.3">
      <c r="G255" s="791" t="s">
        <v>545</v>
      </c>
      <c r="H255" s="792"/>
      <c r="I255" s="792"/>
      <c r="J255" s="793"/>
    </row>
    <row r="256" spans="6:10" ht="16.8" thickBot="1" x14ac:dyDescent="0.35">
      <c r="G256" s="782" t="s">
        <v>546</v>
      </c>
      <c r="H256" s="783"/>
      <c r="I256" s="783"/>
      <c r="J256" s="784"/>
    </row>
    <row r="259" spans="7:21" ht="21" x14ac:dyDescent="0.3">
      <c r="G259" s="518" t="s">
        <v>110</v>
      </c>
      <c r="H259" s="514"/>
      <c r="I259" s="514"/>
      <c r="J259" s="514"/>
    </row>
    <row r="265" spans="7:21" ht="21" x14ac:dyDescent="0.3">
      <c r="R265" s="487"/>
      <c r="S265" s="487"/>
      <c r="T265" s="742"/>
      <c r="U265" s="742"/>
    </row>
    <row r="266" spans="7:21" ht="14.4" customHeight="1" x14ac:dyDescent="0.3">
      <c r="R266" s="485"/>
      <c r="S266" s="485"/>
      <c r="T266" s="742"/>
      <c r="U266" s="742"/>
    </row>
    <row r="267" spans="7:21" x14ac:dyDescent="0.3">
      <c r="R267" s="485"/>
      <c r="S267" s="485"/>
      <c r="T267" s="478"/>
      <c r="U267" s="471"/>
    </row>
    <row r="268" spans="7:21" x14ac:dyDescent="0.3">
      <c r="R268" s="485"/>
      <c r="S268" s="485"/>
      <c r="T268" s="478"/>
      <c r="U268" s="471"/>
    </row>
    <row r="269" spans="7:21" ht="17.399999999999999" x14ac:dyDescent="0.3">
      <c r="R269" s="488"/>
      <c r="S269" s="488"/>
      <c r="T269" s="742"/>
      <c r="U269" s="742"/>
    </row>
    <row r="270" spans="7:21" x14ac:dyDescent="0.3">
      <c r="R270" s="296"/>
      <c r="S270" s="478"/>
      <c r="T270" s="742"/>
      <c r="U270" s="742"/>
    </row>
    <row r="271" spans="7:21" x14ac:dyDescent="0.3">
      <c r="R271" s="296"/>
      <c r="S271" s="478"/>
      <c r="T271" s="742"/>
      <c r="U271" s="742"/>
    </row>
    <row r="272" spans="7:21" x14ac:dyDescent="0.3">
      <c r="R272" s="478"/>
      <c r="S272" s="478"/>
      <c r="T272" s="742"/>
      <c r="U272" s="742"/>
    </row>
    <row r="273" spans="18:21" x14ac:dyDescent="0.3">
      <c r="R273" s="478"/>
      <c r="S273" s="478"/>
      <c r="T273" s="742"/>
      <c r="U273" s="742"/>
    </row>
    <row r="274" spans="18:21" x14ac:dyDescent="0.3">
      <c r="R274" s="478"/>
      <c r="S274" s="478"/>
      <c r="T274" s="742"/>
      <c r="U274" s="742"/>
    </row>
    <row r="275" spans="18:21" x14ac:dyDescent="0.3">
      <c r="R275" s="478"/>
      <c r="S275" s="478"/>
      <c r="T275" s="742"/>
      <c r="U275" s="742"/>
    </row>
    <row r="276" spans="18:21" ht="14.4" customHeight="1" x14ac:dyDescent="0.3">
      <c r="R276" s="478"/>
      <c r="S276" s="478"/>
      <c r="T276" s="742"/>
      <c r="U276" s="742"/>
    </row>
    <row r="277" spans="18:21" x14ac:dyDescent="0.3">
      <c r="R277" s="478"/>
      <c r="S277" s="478"/>
      <c r="T277" s="742"/>
      <c r="U277" s="742"/>
    </row>
    <row r="278" spans="18:21" x14ac:dyDescent="0.3">
      <c r="R278" s="478"/>
      <c r="S278" s="478"/>
      <c r="T278" s="742"/>
      <c r="U278" s="742"/>
    </row>
    <row r="279" spans="18:21" x14ac:dyDescent="0.3">
      <c r="R279" s="478"/>
      <c r="S279" s="478"/>
      <c r="T279" s="742"/>
      <c r="U279" s="742"/>
    </row>
    <row r="280" spans="18:21" ht="15" customHeight="1" x14ac:dyDescent="0.3">
      <c r="R280" s="478"/>
      <c r="S280" s="478"/>
      <c r="T280" s="742"/>
      <c r="U280" s="742"/>
    </row>
    <row r="281" spans="18:21" ht="14.4" customHeight="1" x14ac:dyDescent="0.3">
      <c r="R281" s="769"/>
      <c r="S281" s="742"/>
      <c r="T281" s="742"/>
      <c r="U281" s="742"/>
    </row>
    <row r="282" spans="18:21" ht="15" customHeight="1" x14ac:dyDescent="0.3">
      <c r="R282" s="770"/>
      <c r="S282" s="771"/>
      <c r="T282" s="771"/>
      <c r="U282" s="771"/>
    </row>
    <row r="291" spans="5:16" ht="21" x14ac:dyDescent="0.3">
      <c r="E291" s="795" t="s">
        <v>449</v>
      </c>
      <c r="F291" s="795"/>
      <c r="G291" s="795"/>
      <c r="H291" s="795"/>
      <c r="I291" s="487"/>
      <c r="J291" s="487"/>
      <c r="K291" s="487"/>
      <c r="L291" s="487"/>
      <c r="M291" s="487"/>
      <c r="N291" s="487"/>
      <c r="O291" s="487"/>
      <c r="P291" s="487"/>
    </row>
    <row r="292" spans="5:16" x14ac:dyDescent="0.3">
      <c r="E292" s="794" t="s">
        <v>450</v>
      </c>
      <c r="F292" s="794"/>
      <c r="G292" s="794"/>
      <c r="H292" s="794"/>
      <c r="I292" s="485"/>
      <c r="J292" s="485"/>
      <c r="K292" s="485"/>
      <c r="L292" s="485"/>
      <c r="M292" s="485"/>
      <c r="N292" s="485"/>
      <c r="O292" s="485"/>
      <c r="P292" s="485"/>
    </row>
    <row r="293" spans="5:16" x14ac:dyDescent="0.3">
      <c r="E293" s="794"/>
      <c r="F293" s="794"/>
      <c r="G293" s="794"/>
      <c r="H293" s="794"/>
      <c r="I293" s="485"/>
      <c r="J293" s="485"/>
      <c r="K293" s="485"/>
      <c r="L293" s="485"/>
      <c r="M293" s="485"/>
      <c r="N293" s="485"/>
      <c r="O293" s="485"/>
      <c r="P293" s="485"/>
    </row>
    <row r="294" spans="5:16" x14ac:dyDescent="0.3">
      <c r="E294" s="794"/>
      <c r="F294" s="794"/>
      <c r="G294" s="794"/>
      <c r="H294" s="794"/>
      <c r="I294" s="485"/>
      <c r="J294" s="485"/>
      <c r="K294" s="485"/>
      <c r="L294" s="485"/>
      <c r="M294" s="485"/>
      <c r="N294" s="485"/>
      <c r="O294" s="485"/>
      <c r="P294" s="485"/>
    </row>
    <row r="295" spans="5:16" ht="17.399999999999999" x14ac:dyDescent="0.3">
      <c r="E295" s="779" t="s">
        <v>451</v>
      </c>
      <c r="F295" s="779"/>
      <c r="G295" s="779"/>
      <c r="H295" s="779"/>
      <c r="I295" s="488"/>
      <c r="J295" s="488"/>
      <c r="K295" s="488"/>
      <c r="L295" s="488"/>
      <c r="M295" s="488"/>
      <c r="N295" s="488"/>
      <c r="O295" s="488"/>
      <c r="P295" s="488"/>
    </row>
    <row r="296" spans="5:16" ht="15" thickBot="1" x14ac:dyDescent="0.35">
      <c r="E296" s="486" t="s">
        <v>452</v>
      </c>
      <c r="F296" s="486" t="s">
        <v>410</v>
      </c>
      <c r="G296" s="486"/>
      <c r="H296" s="486"/>
      <c r="I296" s="478"/>
      <c r="J296" s="478"/>
      <c r="K296" s="478"/>
      <c r="L296" s="296"/>
      <c r="M296" s="296"/>
      <c r="N296" s="478"/>
      <c r="O296" s="478"/>
      <c r="P296" s="296"/>
    </row>
    <row r="297" spans="5:16" ht="15.6" thickTop="1" thickBot="1" x14ac:dyDescent="0.35">
      <c r="E297" s="484" t="s">
        <v>454</v>
      </c>
      <c r="N297" s="747" t="s">
        <v>453</v>
      </c>
      <c r="O297" s="747"/>
      <c r="P297" s="747"/>
    </row>
    <row r="298" spans="5:16" ht="15.6" thickTop="1" thickBot="1" x14ac:dyDescent="0.35">
      <c r="E298" s="479" t="s">
        <v>455</v>
      </c>
      <c r="G298" s="484"/>
      <c r="H298" s="484"/>
      <c r="I298" s="484"/>
      <c r="J298" s="484"/>
      <c r="K298" s="503">
        <v>579.23</v>
      </c>
      <c r="L298" s="503"/>
      <c r="M298" s="503"/>
      <c r="N298" s="504" t="s">
        <v>417</v>
      </c>
      <c r="O298" s="504"/>
      <c r="P298" s="504"/>
    </row>
    <row r="299" spans="5:16" ht="15" thickBot="1" x14ac:dyDescent="0.35">
      <c r="E299" s="481" t="s">
        <v>456</v>
      </c>
      <c r="G299" s="482"/>
      <c r="H299" s="482"/>
      <c r="I299" s="482"/>
      <c r="J299" s="482"/>
      <c r="K299" s="505" t="e">
        <f>'GERAÇÃO DE ENERGIA'!#REF!</f>
        <v>#REF!</v>
      </c>
      <c r="L299" s="495"/>
      <c r="M299" s="495"/>
      <c r="N299" s="495" t="s">
        <v>415</v>
      </c>
      <c r="O299" s="495"/>
      <c r="P299" s="495"/>
    </row>
    <row r="300" spans="5:16" ht="15" thickBot="1" x14ac:dyDescent="0.35">
      <c r="E300" s="479" t="s">
        <v>457</v>
      </c>
      <c r="F300" s="483"/>
      <c r="G300" s="483"/>
      <c r="H300" s="483"/>
      <c r="I300" s="483"/>
      <c r="J300" s="483"/>
      <c r="K300" s="329"/>
      <c r="L300" s="329"/>
      <c r="M300" s="329"/>
      <c r="N300" s="329"/>
      <c r="O300" s="329"/>
      <c r="P300" s="329"/>
    </row>
    <row r="301" spans="5:16" ht="15" thickBot="1" x14ac:dyDescent="0.35">
      <c r="E301" s="479" t="s">
        <v>458</v>
      </c>
      <c r="G301" s="481"/>
      <c r="H301" s="481"/>
      <c r="I301" s="481"/>
      <c r="J301" s="481"/>
      <c r="K301" s="500" t="e">
        <f>'GERAÇÃO DE ENERGIA'!#REF!</f>
        <v>#REF!</v>
      </c>
      <c r="L301" s="500"/>
      <c r="M301" s="500"/>
      <c r="N301" s="501" t="s">
        <v>420</v>
      </c>
      <c r="O301" s="501"/>
      <c r="P301" s="501"/>
    </row>
    <row r="302" spans="5:16" x14ac:dyDescent="0.3">
      <c r="E302" s="296"/>
      <c r="G302" s="482"/>
      <c r="H302" s="482"/>
      <c r="I302" s="482"/>
      <c r="J302" s="482"/>
      <c r="K302" s="493" t="e">
        <f>'GERAÇÃO DE ENERGIA'!#REF!</f>
        <v>#REF!</v>
      </c>
      <c r="L302" s="493"/>
      <c r="M302" s="493"/>
      <c r="N302" s="495" t="s">
        <v>417</v>
      </c>
      <c r="O302" s="495"/>
      <c r="P302" s="495"/>
    </row>
    <row r="303" spans="5:16" ht="15" thickBot="1" x14ac:dyDescent="0.35">
      <c r="E303" s="296"/>
      <c r="F303" s="483"/>
      <c r="G303" s="483"/>
      <c r="H303" s="483"/>
      <c r="I303" s="483"/>
      <c r="J303" s="483"/>
      <c r="K303" s="502"/>
      <c r="L303" s="502"/>
      <c r="M303" s="502"/>
      <c r="N303" s="329"/>
      <c r="O303" s="329"/>
      <c r="P303" s="329"/>
    </row>
    <row r="304" spans="5:16" x14ac:dyDescent="0.3">
      <c r="E304" s="296"/>
      <c r="G304" s="479"/>
      <c r="H304" s="479"/>
      <c r="I304" s="479"/>
      <c r="J304" s="479"/>
      <c r="K304" s="493" t="e">
        <f>'GERAÇÃO DE ENERGIA'!#REF!</f>
        <v>#REF!</v>
      </c>
      <c r="L304" s="493"/>
      <c r="M304" s="493"/>
      <c r="N304" s="495" t="s">
        <v>459</v>
      </c>
      <c r="O304" s="495"/>
      <c r="P304" s="495"/>
    </row>
    <row r="305" spans="5:16" ht="15" thickBot="1" x14ac:dyDescent="0.35">
      <c r="E305" s="296"/>
      <c r="F305" s="480"/>
      <c r="G305" s="480"/>
      <c r="H305" s="480"/>
      <c r="I305" s="480"/>
      <c r="J305" s="480"/>
      <c r="K305" s="494"/>
      <c r="L305" s="494"/>
      <c r="M305" s="494"/>
      <c r="N305" s="330"/>
      <c r="O305" s="330"/>
      <c r="P305" s="330"/>
    </row>
    <row r="306" spans="5:16" ht="21.6" thickTop="1" x14ac:dyDescent="0.3">
      <c r="E306" s="296"/>
      <c r="F306" s="496" t="s">
        <v>460</v>
      </c>
      <c r="G306" s="497"/>
      <c r="H306" s="497"/>
      <c r="I306" s="497"/>
      <c r="J306" s="497"/>
      <c r="K306" s="497"/>
      <c r="L306" s="497"/>
      <c r="M306" s="472" t="e">
        <f>VALORES!#REF!</f>
        <v>#REF!</v>
      </c>
      <c r="N306" s="472"/>
      <c r="O306" s="472"/>
      <c r="P306" s="473"/>
    </row>
    <row r="307" spans="5:16" ht="21" x14ac:dyDescent="0.3">
      <c r="E307" s="471"/>
      <c r="F307" s="496"/>
      <c r="G307" s="497"/>
      <c r="H307" s="497"/>
      <c r="I307" s="497"/>
      <c r="J307" s="497"/>
      <c r="K307" s="497"/>
      <c r="L307" s="497"/>
      <c r="M307" s="474"/>
      <c r="N307" s="474"/>
      <c r="O307" s="474"/>
      <c r="P307" s="475"/>
    </row>
    <row r="308" spans="5:16" ht="21.6" thickBot="1" x14ac:dyDescent="0.35">
      <c r="E308" s="471"/>
      <c r="F308" s="498"/>
      <c r="G308" s="499"/>
      <c r="H308" s="499"/>
      <c r="I308" s="499"/>
      <c r="J308" s="499"/>
      <c r="K308" s="499"/>
      <c r="L308" s="499"/>
      <c r="M308" s="476"/>
      <c r="N308" s="476"/>
      <c r="O308" s="476"/>
      <c r="P308" s="477"/>
    </row>
  </sheetData>
  <mergeCells count="82">
    <mergeCell ref="G253:J253"/>
    <mergeCell ref="G254:J254"/>
    <mergeCell ref="G255:J255"/>
    <mergeCell ref="N297:P297"/>
    <mergeCell ref="T271:U271"/>
    <mergeCell ref="T278:U278"/>
    <mergeCell ref="T279:U280"/>
    <mergeCell ref="R281:U281"/>
    <mergeCell ref="R282:U282"/>
    <mergeCell ref="T275:U275"/>
    <mergeCell ref="T276:U276"/>
    <mergeCell ref="T277:U277"/>
    <mergeCell ref="T265:U265"/>
    <mergeCell ref="T266:U266"/>
    <mergeCell ref="T269:U269"/>
    <mergeCell ref="E291:H291"/>
    <mergeCell ref="E292:H294"/>
    <mergeCell ref="T272:U272"/>
    <mergeCell ref="T273:U273"/>
    <mergeCell ref="T274:U274"/>
    <mergeCell ref="T270:U270"/>
    <mergeCell ref="E295:H295"/>
    <mergeCell ref="I234:J234"/>
    <mergeCell ref="I242:J242"/>
    <mergeCell ref="C140:C141"/>
    <mergeCell ref="C143:C144"/>
    <mergeCell ref="C145:C146"/>
    <mergeCell ref="C147:C148"/>
    <mergeCell ref="C149:C150"/>
    <mergeCell ref="G256:J256"/>
    <mergeCell ref="G226:H226"/>
    <mergeCell ref="G227:H227"/>
    <mergeCell ref="G225:H225"/>
    <mergeCell ref="G228:H228"/>
    <mergeCell ref="H233:J233"/>
    <mergeCell ref="G251:J251"/>
    <mergeCell ref="G252:J252"/>
    <mergeCell ref="C104:C107"/>
    <mergeCell ref="Z28:Z29"/>
    <mergeCell ref="AG70:AM72"/>
    <mergeCell ref="AN70:AQ72"/>
    <mergeCell ref="AR71:AU71"/>
    <mergeCell ref="AR72:AU72"/>
    <mergeCell ref="AT68:AU68"/>
    <mergeCell ref="AR73:AU73"/>
    <mergeCell ref="AG68:AK69"/>
    <mergeCell ref="AL68:AN69"/>
    <mergeCell ref="AO68:AQ69"/>
    <mergeCell ref="AT69:AU70"/>
    <mergeCell ref="AT65:AU65"/>
    <mergeCell ref="AG65:AK65"/>
    <mergeCell ref="AL65:AN65"/>
    <mergeCell ref="AO65:AQ65"/>
    <mergeCell ref="AT66:AU66"/>
    <mergeCell ref="AG66:AK67"/>
    <mergeCell ref="AL66:AN67"/>
    <mergeCell ref="AO66:AQ67"/>
    <mergeCell ref="AT67:AU67"/>
    <mergeCell ref="AT63:AU63"/>
    <mergeCell ref="AG63:AK64"/>
    <mergeCell ref="AL63:AN64"/>
    <mergeCell ref="AO63:AQ64"/>
    <mergeCell ref="AT64:AU64"/>
    <mergeCell ref="AT61:AU61"/>
    <mergeCell ref="AG61:AK61"/>
    <mergeCell ref="AL61:AN61"/>
    <mergeCell ref="AO61:AQ61"/>
    <mergeCell ref="AT62:AU62"/>
    <mergeCell ref="AG62:AK62"/>
    <mergeCell ref="AL62:AN62"/>
    <mergeCell ref="AO62:AQ62"/>
    <mergeCell ref="AF45:AG45"/>
    <mergeCell ref="AH45:AI45"/>
    <mergeCell ref="AF59:AS59"/>
    <mergeCell ref="AT59:AU59"/>
    <mergeCell ref="AT60:AU60"/>
    <mergeCell ref="AF46:AG46"/>
    <mergeCell ref="AH46:AI46"/>
    <mergeCell ref="AF55:AS55"/>
    <mergeCell ref="AT55:AU55"/>
    <mergeCell ref="AF56:AS58"/>
    <mergeCell ref="AT56:AU56"/>
  </mergeCells>
  <pageMargins left="1.0745614035087718" right="0.25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53</vt:i4>
      </vt:variant>
    </vt:vector>
  </HeadingPairs>
  <TitlesOfParts>
    <vt:vector size="66" baseType="lpstr">
      <vt:lpstr>PLANINHA CENTRAL</vt:lpstr>
      <vt:lpstr>TABELAS</vt:lpstr>
      <vt:lpstr>EQUIPAMENTO AD</vt:lpstr>
      <vt:lpstr>ANALIZE DE DADOS </vt:lpstr>
      <vt:lpstr>P.D.E</vt:lpstr>
      <vt:lpstr>DIMENCINAMENTO DE PLACA</vt:lpstr>
      <vt:lpstr>GERAÇÃO DE ENERGIA</vt:lpstr>
      <vt:lpstr>RETORNO DE INVESTIMENTO </vt:lpstr>
      <vt:lpstr>CONTROLE DE ESTOQUE </vt:lpstr>
      <vt:lpstr>ESTRUTURA + ISUMOS</vt:lpstr>
      <vt:lpstr>MAO DE OBRA</vt:lpstr>
      <vt:lpstr>VALORES</vt:lpstr>
      <vt:lpstr>PROPOSTA</vt:lpstr>
      <vt:lpstr>A</vt:lpstr>
      <vt:lpstr>ARCOND</vt:lpstr>
      <vt:lpstr>ARCONDI</vt:lpstr>
      <vt:lpstr>PROPOSTA!Area_de_impressao</vt:lpstr>
      <vt:lpstr>ARMAÇAO</vt:lpstr>
      <vt:lpstr>CENTRO...PLAN...1</vt:lpstr>
      <vt:lpstr>FEC</vt:lpstr>
      <vt:lpstr>FERR_I</vt:lpstr>
      <vt:lpstr>FERR_II</vt:lpstr>
      <vt:lpstr>FERR_III</vt:lpstr>
      <vt:lpstr>FERR_IV</vt:lpstr>
      <vt:lpstr>FERR_V</vt:lpstr>
      <vt:lpstr>GAST_I</vt:lpstr>
      <vt:lpstr>GAST_II</vt:lpstr>
      <vt:lpstr>GAST_III</vt:lpstr>
      <vt:lpstr>GAST_IV</vt:lpstr>
      <vt:lpstr>GAST_V</vt:lpstr>
      <vt:lpstr>GERAÇO1</vt:lpstr>
      <vt:lpstr>INST...AR</vt:lpstr>
      <vt:lpstr>INSUMO_I</vt:lpstr>
      <vt:lpstr>INSUMO_II</vt:lpstr>
      <vt:lpstr>INSUMO_III</vt:lpstr>
      <vt:lpstr>INSUMO_IV</vt:lpstr>
      <vt:lpstr>INSUMO_V</vt:lpstr>
      <vt:lpstr>INVER_I</vt:lpstr>
      <vt:lpstr>INVER_II</vt:lpstr>
      <vt:lpstr>INVER_III</vt:lpstr>
      <vt:lpstr>INVER_IV</vt:lpstr>
      <vt:lpstr>INVER_V</vt:lpstr>
      <vt:lpstr>MENU</vt:lpstr>
      <vt:lpstr>PERDA0001</vt:lpstr>
      <vt:lpstr>PERDA0002</vt:lpstr>
      <vt:lpstr>PERDA0003</vt:lpstr>
      <vt:lpstr>PERDA0004</vt:lpstr>
      <vt:lpstr>PERDA0005</vt:lpstr>
      <vt:lpstr>PERDAS</vt:lpstr>
      <vt:lpstr>PERDAS_I</vt:lpstr>
      <vt:lpstr>PERDAS_II</vt:lpstr>
      <vt:lpstr>PERDASI</vt:lpstr>
      <vt:lpstr>PLACA_I</vt:lpstr>
      <vt:lpstr>PLACA_II</vt:lpstr>
      <vt:lpstr>PLACA_III</vt:lpstr>
      <vt:lpstr>PLACA_IIII</vt:lpstr>
      <vt:lpstr>PLACA_SOMATORIA</vt:lpstr>
      <vt:lpstr>RET.INVEST1</vt:lpstr>
      <vt:lpstr>SUB...TRANSF</vt:lpstr>
      <vt:lpstr>TABELA1</vt:lpstr>
      <vt:lpstr>TOTALDEPLACA_I</vt:lpstr>
      <vt:lpstr>VALOR_I</vt:lpstr>
      <vt:lpstr>VALOR_II</vt:lpstr>
      <vt:lpstr>VALOR_III</vt:lpstr>
      <vt:lpstr>VALOR_IV</vt:lpstr>
      <vt:lpstr>VALOR_V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thiag</dc:creator>
  <cp:keywords/>
  <dc:description/>
  <cp:lastModifiedBy>Thiago Esteves</cp:lastModifiedBy>
  <cp:revision/>
  <cp:lastPrinted>2022-02-09T20:47:13Z</cp:lastPrinted>
  <dcterms:created xsi:type="dcterms:W3CDTF">2021-05-15T16:06:48Z</dcterms:created>
  <dcterms:modified xsi:type="dcterms:W3CDTF">2022-10-03T18:08:46Z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2022-10-03T18:06:33Z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b1832c91-0774-465d-bb76-6d683e82b47c</vt:lpwstr>
  </property>
  <property fmtid="{D5CDD505-2E9C-101B-9397-08002B2CF9AE}" pid="7" name="MSIP_Label_defa4170-0d19-0005-0004-bc88714345d2_ActionId">
    <vt:lpwstr>dd3db25c-d3df-416d-8671-8767c3daa078</vt:lpwstr>
  </property>
  <property fmtid="{D5CDD505-2E9C-101B-9397-08002B2CF9AE}" pid="8" name="MSIP_Label_defa4170-0d19-0005-0004-bc88714345d2_ContentBits">
    <vt:lpwstr>0</vt:lpwstr>
  </property>
</Properties>
</file>