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defaultThemeVersion="166925"/>
  <xr:revisionPtr revIDLastSave="2688" documentId="11_92485C45C1F39E42E268565A893E8C18510380CC" xr6:coauthVersionLast="47" xr6:coauthVersionMax="47" xr10:uidLastSave="{168FF571-CDBA-41CB-AE22-5B7C03799CEB}"/>
  <bookViews>
    <workbookView xWindow="240" yWindow="105" windowWidth="14805" windowHeight="8010" xr2:uid="{00000000-000D-0000-FFFF-FFFF00000000}"/>
  </bookViews>
  <sheets>
    <sheet name="Plannilha central(Envestidor)" sheetId="1" r:id="rId1"/>
    <sheet name="PLANTAS PARA COMPARATIVOS" sheetId="4" r:id="rId2"/>
    <sheet name="calculo de lotes no empreendime" sheetId="8" r:id="rId3"/>
    <sheet name="PORCENTAGEM" sheetId="9" r:id="rId4"/>
    <sheet name="CONTROLE" sheetId="2" r:id="rId5"/>
    <sheet name="Orçamento dos servisos" sheetId="3" r:id="rId6"/>
    <sheet name="BDI(Servisos)" sheetId="5" r:id="rId7"/>
    <sheet name="BDI(Gerenciadora)" sheetId="6" r:id="rId8"/>
    <sheet name="Lucro presumido gerenciadora 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28" i="4"/>
  <c r="F24" i="4"/>
  <c r="H10" i="8"/>
  <c r="H7" i="8"/>
  <c r="H9" i="8"/>
  <c r="G10" i="8"/>
  <c r="G9" i="8"/>
  <c r="F9" i="8"/>
  <c r="E7" i="8"/>
  <c r="E9" i="8" s="1"/>
  <c r="E10" i="8" s="1"/>
  <c r="C6" i="8"/>
  <c r="D3" i="8"/>
  <c r="E3" i="8"/>
  <c r="F3" i="8"/>
  <c r="G7" i="8" s="1"/>
  <c r="C5" i="2"/>
  <c r="C3" i="2"/>
  <c r="E52" i="9"/>
  <c r="C55" i="9"/>
  <c r="C52" i="9"/>
  <c r="B55" i="9"/>
  <c r="B86" i="9"/>
  <c r="D84" i="9"/>
  <c r="B84" i="9"/>
  <c r="B82" i="9"/>
  <c r="B80" i="9"/>
  <c r="A68" i="9"/>
  <c r="A65" i="9"/>
  <c r="A62" i="9"/>
  <c r="A59" i="9"/>
  <c r="I55" i="9"/>
  <c r="G55" i="9"/>
  <c r="F55" i="9"/>
  <c r="E55" i="9"/>
  <c r="I52" i="9"/>
  <c r="G52" i="9"/>
  <c r="F52" i="9"/>
  <c r="B32" i="9"/>
  <c r="B34" i="9"/>
  <c r="B36" i="9"/>
  <c r="B38" i="9"/>
  <c r="C26" i="1"/>
  <c r="C43" i="1"/>
  <c r="A50" i="1"/>
  <c r="D26" i="1"/>
  <c r="A14" i="9"/>
  <c r="G7" i="9"/>
  <c r="F7" i="9"/>
  <c r="E7" i="9"/>
  <c r="C7" i="9"/>
  <c r="G4" i="9"/>
  <c r="F4" i="9"/>
  <c r="E4" i="9"/>
  <c r="C4" i="9"/>
  <c r="I7" i="9"/>
  <c r="I4" i="9"/>
  <c r="E24" i="4"/>
  <c r="C24" i="4"/>
  <c r="E28" i="4" s="1"/>
  <c r="C21" i="1"/>
  <c r="C20" i="1"/>
  <c r="C17" i="1"/>
  <c r="C18" i="1"/>
  <c r="C19" i="1"/>
  <c r="C16" i="1"/>
  <c r="C13" i="1"/>
  <c r="C14" i="1"/>
  <c r="C15" i="1"/>
  <c r="G26" i="1"/>
  <c r="F26" i="1"/>
  <c r="E26" i="1"/>
  <c r="H3" i="8"/>
  <c r="A56" i="1"/>
  <c r="A53" i="1"/>
  <c r="A47" i="1"/>
  <c r="E43" i="1"/>
  <c r="C24" i="7"/>
  <c r="D24" i="7" s="1"/>
  <c r="E24" i="7" s="1"/>
  <c r="E16" i="7"/>
  <c r="B13" i="7"/>
  <c r="B12" i="7"/>
  <c r="B11" i="7"/>
  <c r="B10" i="7"/>
  <c r="B9" i="7"/>
  <c r="B8" i="7"/>
  <c r="B7" i="7"/>
  <c r="B6" i="7"/>
  <c r="B5" i="7"/>
  <c r="B4" i="7"/>
  <c r="A3" i="3"/>
  <c r="D21" i="2"/>
  <c r="D22" i="2"/>
  <c r="D23" i="2"/>
  <c r="D24" i="2"/>
  <c r="D25" i="2"/>
  <c r="D18" i="2"/>
  <c r="D19" i="2"/>
  <c r="D20" i="2"/>
  <c r="D17" i="2"/>
  <c r="E17" i="2" s="1"/>
  <c r="I26" i="1"/>
  <c r="F30" i="2" s="1"/>
  <c r="C7" i="1"/>
  <c r="C6" i="1"/>
  <c r="C5" i="1"/>
  <c r="C8" i="1"/>
  <c r="C9" i="1"/>
  <c r="C10" i="1"/>
  <c r="C11" i="1"/>
  <c r="C12" i="1"/>
  <c r="C22" i="1"/>
  <c r="C4" i="1"/>
  <c r="C3" i="8" l="1"/>
  <c r="F7" i="8"/>
  <c r="F10" i="8"/>
  <c r="B30" i="2"/>
  <c r="D30" i="2" s="1"/>
  <c r="E30" i="2" s="1"/>
  <c r="E84" i="9"/>
  <c r="A11" i="9"/>
  <c r="A17" i="9"/>
  <c r="A20" i="9"/>
  <c r="B30" i="1"/>
  <c r="H4" i="1"/>
  <c r="G4" i="1"/>
  <c r="F4" i="1"/>
  <c r="B39" i="1"/>
  <c r="H22" i="1"/>
  <c r="G22" i="1"/>
  <c r="F22" i="1"/>
  <c r="B38" i="1"/>
  <c r="H12" i="1"/>
  <c r="G12" i="1"/>
  <c r="F12" i="1"/>
  <c r="B37" i="1"/>
  <c r="H11" i="1"/>
  <c r="G11" i="1"/>
  <c r="F11" i="1"/>
  <c r="B36" i="1"/>
  <c r="H10" i="1"/>
  <c r="F10" i="1"/>
  <c r="B35" i="1"/>
  <c r="H9" i="1"/>
  <c r="G9" i="1"/>
  <c r="F9" i="1"/>
  <c r="B34" i="1"/>
  <c r="B15" i="9" s="1"/>
  <c r="B63" i="9" s="1"/>
  <c r="H8" i="1"/>
  <c r="G8" i="1"/>
  <c r="F8" i="1"/>
  <c r="B31" i="1"/>
  <c r="B12" i="9" s="1"/>
  <c r="B60" i="9" s="1"/>
  <c r="H5" i="1"/>
  <c r="G5" i="1"/>
  <c r="F5" i="1"/>
  <c r="B32" i="1"/>
  <c r="H6" i="1"/>
  <c r="G6" i="1"/>
  <c r="F6" i="1"/>
  <c r="B33" i="1"/>
  <c r="B14" i="9" s="1"/>
  <c r="B62" i="9" s="1"/>
  <c r="H7" i="1"/>
  <c r="G7" i="1"/>
  <c r="F7" i="1"/>
  <c r="H15" i="1"/>
  <c r="G15" i="1"/>
  <c r="F15" i="1"/>
  <c r="H14" i="1"/>
  <c r="G14" i="1"/>
  <c r="F14" i="1"/>
  <c r="H13" i="1"/>
  <c r="G13" i="1"/>
  <c r="F13" i="1"/>
  <c r="H16" i="1"/>
  <c r="G16" i="1"/>
  <c r="F16" i="1"/>
  <c r="H19" i="1"/>
  <c r="G19" i="1"/>
  <c r="F19" i="1"/>
  <c r="H18" i="1"/>
  <c r="G18" i="1"/>
  <c r="F18" i="1"/>
  <c r="H17" i="1"/>
  <c r="G17" i="1"/>
  <c r="F17" i="1"/>
  <c r="H20" i="1"/>
  <c r="G20" i="1"/>
  <c r="F20" i="1"/>
  <c r="H21" i="1"/>
  <c r="G21" i="1"/>
  <c r="F21" i="1"/>
  <c r="B49" i="1"/>
  <c r="B51" i="1"/>
  <c r="B48" i="1"/>
  <c r="B50" i="1"/>
  <c r="A8" i="3"/>
  <c r="A6" i="3"/>
  <c r="E3" i="3"/>
  <c r="E6" i="3" s="1"/>
  <c r="D3" i="3"/>
  <c r="D6" i="3" s="1"/>
  <c r="C3" i="3"/>
  <c r="C6" i="3" s="1"/>
  <c r="B3" i="3"/>
  <c r="B6" i="3" s="1"/>
  <c r="A19" i="7"/>
  <c r="G4" i="7"/>
  <c r="F4" i="7"/>
  <c r="E4" i="7"/>
  <c r="A20" i="7"/>
  <c r="G5" i="7"/>
  <c r="F5" i="7"/>
  <c r="E5" i="7"/>
  <c r="A21" i="7"/>
  <c r="G6" i="7"/>
  <c r="F6" i="7"/>
  <c r="E6" i="7"/>
  <c r="A22" i="7"/>
  <c r="G7" i="7"/>
  <c r="F7" i="7"/>
  <c r="E7" i="7"/>
  <c r="A23" i="7"/>
  <c r="G8" i="7"/>
  <c r="F8" i="7"/>
  <c r="E8" i="7"/>
  <c r="A24" i="7"/>
  <c r="G9" i="7"/>
  <c r="F9" i="7"/>
  <c r="E9" i="7"/>
  <c r="A25" i="7"/>
  <c r="G10" i="7"/>
  <c r="F10" i="7"/>
  <c r="E10" i="7"/>
  <c r="A26" i="7"/>
  <c r="G11" i="7"/>
  <c r="F11" i="7"/>
  <c r="E11" i="7"/>
  <c r="A27" i="7"/>
  <c r="G12" i="7"/>
  <c r="F12" i="7"/>
  <c r="E12" i="7"/>
  <c r="A28" i="7"/>
  <c r="G13" i="7"/>
  <c r="F13" i="7"/>
  <c r="E13" i="7"/>
  <c r="B26" i="2"/>
  <c r="E19" i="2" s="1"/>
  <c r="B47" i="1" l="1"/>
  <c r="C47" i="1" s="1"/>
  <c r="B13" i="9"/>
  <c r="B61" i="9" s="1"/>
  <c r="B52" i="1"/>
  <c r="B16" i="9"/>
  <c r="B64" i="9" s="1"/>
  <c r="B53" i="1"/>
  <c r="B17" i="9"/>
  <c r="B65" i="9" s="1"/>
  <c r="B54" i="1"/>
  <c r="B18" i="9"/>
  <c r="B66" i="9" s="1"/>
  <c r="B55" i="1"/>
  <c r="B19" i="9"/>
  <c r="B67" i="9" s="1"/>
  <c r="B56" i="1"/>
  <c r="B20" i="9"/>
  <c r="B68" i="9" s="1"/>
  <c r="B11" i="9"/>
  <c r="C30" i="1"/>
  <c r="D30" i="1" s="1"/>
  <c r="E21" i="2"/>
  <c r="F17" i="2" s="1"/>
  <c r="F21" i="2" s="1"/>
  <c r="F23" i="2" s="1"/>
  <c r="D36" i="9"/>
  <c r="E36" i="9"/>
  <c r="F3" i="2" s="1"/>
  <c r="E3" i="2"/>
  <c r="C33" i="7"/>
  <c r="H53" i="1"/>
  <c r="C53" i="1"/>
  <c r="H47" i="1"/>
  <c r="D47" i="1"/>
  <c r="D53" i="1"/>
  <c r="I47" i="1"/>
  <c r="G47" i="1"/>
  <c r="E47" i="1"/>
  <c r="F47" i="1" s="1"/>
  <c r="F19" i="7"/>
  <c r="G19" i="7" s="1"/>
  <c r="H19" i="7" s="1"/>
  <c r="B19" i="7"/>
  <c r="C19" i="7" s="1"/>
  <c r="D19" i="7" s="1"/>
  <c r="E19" i="7" s="1"/>
  <c r="B59" i="9" l="1"/>
  <c r="C59" i="9" s="1"/>
  <c r="C11" i="9"/>
  <c r="H30" i="1"/>
  <c r="H36" i="1"/>
  <c r="C36" i="1"/>
  <c r="I53" i="1"/>
  <c r="L47" i="1"/>
  <c r="J47" i="1"/>
  <c r="K47" i="1" s="1"/>
  <c r="G53" i="1"/>
  <c r="E53" i="1"/>
  <c r="F53" i="1" s="1"/>
  <c r="A32" i="7"/>
  <c r="I19" i="7"/>
  <c r="H17" i="9" l="1"/>
  <c r="C17" i="9"/>
  <c r="H11" i="9"/>
  <c r="D11" i="9"/>
  <c r="H65" i="9"/>
  <c r="C65" i="9"/>
  <c r="H59" i="9"/>
  <c r="D59" i="9"/>
  <c r="G30" i="1"/>
  <c r="I30" i="1"/>
  <c r="D36" i="1"/>
  <c r="E30" i="1"/>
  <c r="A3" i="2" s="1"/>
  <c r="L53" i="1"/>
  <c r="J53" i="1"/>
  <c r="K53" i="1" s="1"/>
  <c r="B43" i="7"/>
  <c r="B38" i="7"/>
  <c r="B33" i="7"/>
  <c r="D33" i="7" s="1"/>
  <c r="D65" i="9" l="1"/>
  <c r="I59" i="9"/>
  <c r="G59" i="9"/>
  <c r="E59" i="9"/>
  <c r="E11" i="9"/>
  <c r="D17" i="9"/>
  <c r="I11" i="9"/>
  <c r="G11" i="9"/>
  <c r="F30" i="1"/>
  <c r="E36" i="1"/>
  <c r="F36" i="1" s="1"/>
  <c r="G36" i="1"/>
  <c r="L30" i="1"/>
  <c r="J30" i="1"/>
  <c r="K30" i="1" s="1"/>
  <c r="I36" i="1"/>
  <c r="C38" i="7"/>
  <c r="C43" i="7"/>
  <c r="I17" i="9" l="1"/>
  <c r="L11" i="9"/>
  <c r="J11" i="9"/>
  <c r="K11" i="9" s="1"/>
  <c r="G17" i="9"/>
  <c r="E17" i="9"/>
  <c r="F17" i="9" s="1"/>
  <c r="A24" i="9"/>
  <c r="F11" i="9"/>
  <c r="A72" i="9"/>
  <c r="F59" i="9"/>
  <c r="I65" i="9"/>
  <c r="L59" i="9"/>
  <c r="J59" i="9"/>
  <c r="K59" i="9" s="1"/>
  <c r="G65" i="9"/>
  <c r="E65" i="9"/>
  <c r="F65" i="9" s="1"/>
  <c r="J36" i="1"/>
  <c r="K36" i="1" s="1"/>
  <c r="L36" i="1"/>
  <c r="E43" i="7"/>
  <c r="D43" i="7"/>
  <c r="E38" i="7"/>
  <c r="D38" i="7"/>
  <c r="L65" i="9" l="1"/>
  <c r="J65" i="9"/>
  <c r="K65" i="9" s="1"/>
  <c r="D77" i="9"/>
  <c r="D76" i="9"/>
  <c r="E76" i="9" s="1"/>
  <c r="D75" i="9"/>
  <c r="D74" i="9"/>
  <c r="D73" i="9"/>
  <c r="D72" i="9"/>
  <c r="D29" i="9"/>
  <c r="D25" i="9"/>
  <c r="D26" i="9"/>
  <c r="D27" i="9"/>
  <c r="D28" i="9"/>
  <c r="E28" i="9" s="1"/>
  <c r="D24" i="9"/>
  <c r="L17" i="9"/>
  <c r="J17" i="9"/>
  <c r="K17" i="9" s="1"/>
  <c r="E24" i="9" l="1"/>
  <c r="C32" i="9"/>
  <c r="E27" i="9"/>
  <c r="D38" i="9" s="1"/>
  <c r="C38" i="9"/>
  <c r="G36" i="9"/>
  <c r="E26" i="9"/>
  <c r="G24" i="9" s="1"/>
  <c r="A43" i="9" s="1"/>
  <c r="A9" i="2" s="1"/>
  <c r="C36" i="9"/>
  <c r="D3" i="2" s="1"/>
  <c r="E24" i="2" s="1"/>
  <c r="E25" i="9"/>
  <c r="D34" i="9" s="1"/>
  <c r="C34" i="9"/>
  <c r="E29" i="9"/>
  <c r="C40" i="9"/>
  <c r="D40" i="9" s="1"/>
  <c r="C80" i="9"/>
  <c r="E72" i="9"/>
  <c r="C82" i="9"/>
  <c r="E73" i="9"/>
  <c r="D82" i="9" s="1"/>
  <c r="C84" i="9"/>
  <c r="E74" i="9"/>
  <c r="G84" i="9"/>
  <c r="F84" i="9" s="1"/>
  <c r="C86" i="9"/>
  <c r="E75" i="9"/>
  <c r="D86" i="9" s="1"/>
  <c r="C88" i="9"/>
  <c r="E77" i="9"/>
  <c r="D88" i="9" s="1"/>
  <c r="E86" i="9" l="1"/>
  <c r="B92" i="9"/>
  <c r="C92" i="9" s="1"/>
  <c r="G86" i="9"/>
  <c r="F86" i="9" s="1"/>
  <c r="G72" i="9"/>
  <c r="A91" i="9" s="1"/>
  <c r="D80" i="9"/>
  <c r="F72" i="9"/>
  <c r="F36" i="9"/>
  <c r="G3" i="2" s="1"/>
  <c r="H3" i="2"/>
  <c r="D5" i="2"/>
  <c r="E5" i="2"/>
  <c r="E38" i="9"/>
  <c r="B44" i="9"/>
  <c r="D32" i="9"/>
  <c r="F24" i="9"/>
  <c r="C44" i="9" l="1"/>
  <c r="B10" i="2"/>
  <c r="C10" i="2" s="1"/>
  <c r="F5" i="2"/>
  <c r="G38" i="9"/>
  <c r="F92" i="9"/>
  <c r="G92" i="9" s="1"/>
  <c r="D92" i="9"/>
  <c r="E92" i="9" s="1"/>
  <c r="F38" i="9" l="1"/>
  <c r="H5" i="2"/>
  <c r="G5" i="2" l="1"/>
  <c r="F44" i="9"/>
  <c r="D44" i="9"/>
  <c r="E44" i="9" l="1"/>
  <c r="D10" i="2"/>
  <c r="E10" i="2" s="1"/>
  <c r="G44" i="9"/>
  <c r="F10" i="2"/>
  <c r="G10" i="2" s="1"/>
  <c r="H10" i="2" s="1"/>
</calcChain>
</file>

<file path=xl/sharedStrings.xml><?xml version="1.0" encoding="utf-8"?>
<sst xmlns="http://schemas.openxmlformats.org/spreadsheetml/2006/main" count="545" uniqueCount="180">
  <si>
    <t>CALCULO PARA EMPREENDIMENTO</t>
  </si>
  <si>
    <t>NUMERO DE LOTES IDENTIFICAÇAO DO LOTE</t>
  </si>
  <si>
    <t>DESCRITIVO DOS LOTES</t>
  </si>
  <si>
    <t>VALOR DO M²</t>
  </si>
  <si>
    <t xml:space="preserve">M² TOTAL </t>
  </si>
  <si>
    <t>VALOR DE VENDA</t>
  </si>
  <si>
    <t>PORCENTAGEM DE INVESTIMENTO</t>
  </si>
  <si>
    <t xml:space="preserve">LEGENDA PARA LOTTEAMENTO
LOTEAMENO ENTORNO DO EMPRENDIMENTO RAIO DE 4KM: 
LOTEAMENO ENTORNO DO EMPRENDIMENTO RAIO DE 15KM:
LOTEAMENO ENTORNO DO EMPRENDIMENTO RAIO DE 30KM:
LOTEAMENO ENTORNO DO EMPRENDIMENTO RAIO DE 50KM:
            </t>
  </si>
  <si>
    <t>CORETORA(8%) VALOR POR VENDADE LOTE</t>
  </si>
  <si>
    <t>GERENCIADORA (12%)  VALOR POR VENDADE LOTE</t>
  </si>
  <si>
    <t>LUCRO ESTIMADO APRA IMVESTIDOR POR M²(30%)  VALOR POR VENDADE LOTE</t>
  </si>
  <si>
    <t>LOTEAMENTO MISTO-ANA CRISTINA-(BARUERI)</t>
  </si>
  <si>
    <t>TERRENO - NOVA PAULISTA-(JANDIRA)</t>
  </si>
  <si>
    <t>LOTEAMENTO-ALTOS DE JANDIRA-(COTIA)-AVISTA</t>
  </si>
  <si>
    <t>LOTEAMENTO-ALTOS DE JANDIRA-(COTIA)-179X</t>
  </si>
  <si>
    <t>LOTEAMENTO-ALTOS DE JANDIRA-(COTIA)-ENTRADA+36X+144X+15X</t>
  </si>
  <si>
    <t>CONDOMINIO-KM 26 RAPOSO TAVARES</t>
  </si>
  <si>
    <t>LOTEAMENTO-BOSQUE DO SOL- COTIA-AVISTA</t>
  </si>
  <si>
    <t>LOTEAMENTO-BOSQUE DO SOL- COTIA-120X</t>
  </si>
  <si>
    <t>LOTEAMENTO-BOSQUE DO SOL- COTIA-240X</t>
  </si>
  <si>
    <t>LOTEAMENTO-VIVA COITIA-A VISTA</t>
  </si>
  <si>
    <t>LOTEAMENTO-COLINAS DO VALE-ITAPEVI-AVISTA</t>
  </si>
  <si>
    <t>LOTEAMENTO-COLINAS DO VALE-ITAPEVI-ENTRADA+240X</t>
  </si>
  <si>
    <t>LOTEAMENTO-COLINAS DO VALE-ITAPEVI-ENTRADA+180X</t>
  </si>
  <si>
    <t>LOTEAMENTO-VILA PORTO-ITAPEVI-AVISTA: 2,5 KM DO CENTRO+ PROJETO ARQUITETONICO GRATIS+ ITBI GRATES</t>
  </si>
  <si>
    <t>LOTEAMENTO-VILA PORTO-ITAPEVI-ENTRADA+ 240X: 2,5 KM DO CENTRO+ PROJETO ARQUITETONICO GRATIS+ ITBI GRATES</t>
  </si>
  <si>
    <t>LOTEAMENTO-VILA PORTO-ITAPEVI-ENTRADA+ 180X: 2,5 KM DO CENTRO+ PROJETO ARQUITETONICO GRATIS+ ITBI GRATES</t>
  </si>
  <si>
    <t>LOTEAMENTTO-FATIMA- DIVISA DE COITIA E JANDIRA- AVITA</t>
  </si>
  <si>
    <t>lOTEAMENTO VITTA TAILIN- JANDIRA-AVISTA</t>
  </si>
  <si>
    <t>CALCULO COMPARATIVO ENTRE LOTES</t>
  </si>
  <si>
    <t>DESCRITIVO DO EMPRENDIMENTO</t>
  </si>
  <si>
    <t>AREA TOTAL M²</t>
  </si>
  <si>
    <t>AREA TOTAL M²-30%</t>
  </si>
  <si>
    <t>VALOR DA TAXA 38%</t>
  </si>
  <si>
    <t>VALOR DA TAXA 30%</t>
  </si>
  <si>
    <t>VALOR DA TAXA 20%</t>
  </si>
  <si>
    <t>VALOR DA TAXA 10%</t>
  </si>
  <si>
    <t>VALOR POR  M²</t>
  </si>
  <si>
    <t>VALOR TOTAL( A PRAZO)</t>
  </si>
  <si>
    <t>Valor(A VISTA)</t>
  </si>
  <si>
    <t xml:space="preserve">LOTEAMENTO DO EMPRENDIMENTO </t>
  </si>
  <si>
    <t>COMPARATIVO DE VALORES</t>
  </si>
  <si>
    <t>QUANTIDADE DE LOTE ESTIMADA (125M²)</t>
  </si>
  <si>
    <t>ESTIMATIVA DA VALORIZAÇÃO POR(%)</t>
  </si>
  <si>
    <t>QUANTIDADE DE LOTE ESTIMADA (130M²)</t>
  </si>
  <si>
    <t xml:space="preserve">MEDIA DE VALORIZÇAO </t>
  </si>
  <si>
    <t>VALOR DE VENDA ESTIMDA POR (M²)</t>
  </si>
  <si>
    <t>VALOR DE VENDA ESTIMDA TOTAL(M²)</t>
  </si>
  <si>
    <t>VALOR DE LUCRO ESTIMADO 30%</t>
  </si>
  <si>
    <t>PREÇO UNITARIO</t>
  </si>
  <si>
    <t>QUANTIDADE DE LOTE ESTIMADA (140M²)</t>
  </si>
  <si>
    <t>QUANTIDADE DE LOTE ESTIMADA (150M²)</t>
  </si>
  <si>
    <t>CALCULO COMPARATIVO ENTRE LOTES ( ENTORNO DO EMPRENDIMENTO)</t>
  </si>
  <si>
    <t xml:space="preserve">ANALIZE DE RETORDO INVESTIMENTO </t>
  </si>
  <si>
    <t>TEMPO DE VENDA(ANOS)</t>
  </si>
  <si>
    <t xml:space="preserve">Porcentagem de venda </t>
  </si>
  <si>
    <t>QUANTIDADES DE LOTE</t>
  </si>
  <si>
    <t>MEDIAS  DE LOTES</t>
  </si>
  <si>
    <t>MEDIA DE VENDA</t>
  </si>
  <si>
    <t>17+</t>
  </si>
  <si>
    <t xml:space="preserve">TIPOS DE LOTE </t>
  </si>
  <si>
    <t>QUANTIDADE</t>
  </si>
  <si>
    <t>QUANT.TOTAL</t>
  </si>
  <si>
    <t>VENDIDO(8/06/2021)</t>
  </si>
  <si>
    <t>TOTAL VENDIDO (8/06/2021)</t>
  </si>
  <si>
    <t>PORCENTAGEM DE VENDA (%)</t>
  </si>
  <si>
    <t>A</t>
  </si>
  <si>
    <t>B</t>
  </si>
  <si>
    <t>C</t>
  </si>
  <si>
    <t>D</t>
  </si>
  <si>
    <t xml:space="preserve">FUTURAS VENDAS </t>
  </si>
  <si>
    <t>PORCENTAGEM DE FUTURAS VENDAS (%)</t>
  </si>
  <si>
    <t>E</t>
  </si>
  <si>
    <t>F</t>
  </si>
  <si>
    <t>G</t>
  </si>
  <si>
    <t>H</t>
  </si>
  <si>
    <t>I</t>
  </si>
  <si>
    <t>J</t>
  </si>
  <si>
    <t>K</t>
  </si>
  <si>
    <t>AREA TOTAL  MENOS M²-30%</t>
  </si>
  <si>
    <t>VALOR DOS  DESCONTOS M²-10%</t>
  </si>
  <si>
    <t>AREA TOTAL M²-20%</t>
  </si>
  <si>
    <t>Área</t>
  </si>
  <si>
    <t>DESCRITIVO AREAS (TAXAS)</t>
  </si>
  <si>
    <t>AREA AREA UNITARIA (M²)</t>
  </si>
  <si>
    <t>CALCULO TOTAL DA AREA SOBRESALENTE DA PLANTA (M²)</t>
  </si>
  <si>
    <t xml:space="preserve">COPARATIVO DE AREAS E TAXAS </t>
  </si>
  <si>
    <t>DESCRITIVO</t>
  </si>
  <si>
    <t>AREA TOTAL(M²)</t>
  </si>
  <si>
    <t>DESCONTO DE 30%</t>
  </si>
  <si>
    <t>DESCONTO DE 20%</t>
  </si>
  <si>
    <t>DESCONTO DE 10%</t>
  </si>
  <si>
    <t>REFERENTE PLANILHA PRINCIPAL</t>
  </si>
  <si>
    <t>REFERENTE A PLANTA EM CAD</t>
  </si>
  <si>
    <t>DESCONTO DO PAVIMENTO</t>
  </si>
  <si>
    <t xml:space="preserve">TAXAS SOBRESALENTES </t>
  </si>
  <si>
    <t>L</t>
  </si>
  <si>
    <t>M</t>
  </si>
  <si>
    <t>N</t>
  </si>
  <si>
    <t>O</t>
  </si>
  <si>
    <t>P</t>
  </si>
  <si>
    <t>Area da CH</t>
  </si>
  <si>
    <t>Asfalto Inferior</t>
  </si>
  <si>
    <t>Asfalto Superior</t>
  </si>
  <si>
    <t>Area de alta tensão</t>
  </si>
  <si>
    <t>CALCULO COMPARATIVO ENTRE LOTES(30%)</t>
  </si>
  <si>
    <t>DEFINIÇAO DE PORCERTAGEM(%)</t>
  </si>
  <si>
    <t xml:space="preserve">VALOR DE VENDA PRESUMIDA </t>
  </si>
  <si>
    <t xml:space="preserve">DESCRITIVO </t>
  </si>
  <si>
    <t>PORCENTAGEM(%)</t>
  </si>
  <si>
    <t xml:space="preserve">VALOR UNITARIO </t>
  </si>
  <si>
    <t>PARCELADO EM 24X</t>
  </si>
  <si>
    <t>ENVESTIMENTO MENSAL (TOTAL)</t>
  </si>
  <si>
    <t>VALOR DE SERVISOS DA  LYSEIS ENGENHARIA (MES)</t>
  </si>
  <si>
    <t>LUCRU(30%)</t>
  </si>
  <si>
    <t>jURIDICO(25%)</t>
  </si>
  <si>
    <t>GERENCIAMENTO(12%)</t>
  </si>
  <si>
    <t>CUSTO DE OBRA(25%)</t>
  </si>
  <si>
    <t>CORETAGEM(8%)</t>
  </si>
  <si>
    <t xml:space="preserve">DESCRITIVO DE PAGAMENTOS </t>
  </si>
  <si>
    <t>VALOR TOTAL</t>
  </si>
  <si>
    <t>PARCELADO EM 18X</t>
  </si>
  <si>
    <t>TOTAL DE 18X</t>
  </si>
  <si>
    <t>RESTANTES DA PARCELA DE 6X</t>
  </si>
  <si>
    <t>TOTAL DE 6X</t>
  </si>
  <si>
    <t>PARCELADO EM X3</t>
  </si>
  <si>
    <t>TOTAL DE 3X</t>
  </si>
  <si>
    <t>RESTANTES DA PARCELA DE 21X</t>
  </si>
  <si>
    <t>TOTAL DE 21X</t>
  </si>
  <si>
    <t>PARCELADO EM 16X</t>
  </si>
  <si>
    <t xml:space="preserve">COMPARATIVO </t>
  </si>
  <si>
    <t>VALOR UNITARIO REFERENTE A 3 MESES</t>
  </si>
  <si>
    <t>VALOR REFERENTE A 3 MESES (TOTAL)</t>
  </si>
  <si>
    <t>VALOR UNITARIO REFERENTE A 15 MESES</t>
  </si>
  <si>
    <t>VALOR REFERENTE A 15 MESES (TOTAL)</t>
  </si>
  <si>
    <t>VALOR UNITARIO REFERENTE A 6 MESES</t>
  </si>
  <si>
    <t>VALOR REFERENTE A 6 MESES (TOTAL)</t>
  </si>
  <si>
    <t xml:space="preserve">CONTROLE-LYSEIS ENGENHARIA </t>
  </si>
  <si>
    <t>VALOR (TOTAL)</t>
  </si>
  <si>
    <t xml:space="preserve">QUADRO DE FUNCIONARIO </t>
  </si>
  <si>
    <t>DESCRETIVO</t>
  </si>
  <si>
    <t>VALOR UNITARIA (MES)</t>
  </si>
  <si>
    <t>QUANT.(ANO)</t>
  </si>
  <si>
    <t>TOTAL UNITARIO (MES)</t>
  </si>
  <si>
    <t xml:space="preserve">PAGAMENTO PRA OS SOCIOS UNITARIO </t>
  </si>
  <si>
    <t>ENGENHEIRO</t>
  </si>
  <si>
    <t>VALOR TOTAL+20%</t>
  </si>
  <si>
    <t xml:space="preserve">SALRIO UNITARIO </t>
  </si>
  <si>
    <t>VaLOR DA GERENCIADORA POR MES</t>
  </si>
  <si>
    <t>GORDURA</t>
  </si>
  <si>
    <t>MESTRE DE OBRA</t>
  </si>
  <si>
    <t>ALMOXARIFE</t>
  </si>
  <si>
    <t xml:space="preserve">LUCRO PRESUMIDO </t>
  </si>
  <si>
    <t>GORDURA MES</t>
  </si>
  <si>
    <t xml:space="preserve">AXILIAR </t>
  </si>
  <si>
    <t>ESTAGIRIO</t>
  </si>
  <si>
    <t>20%- HORA EXTRA</t>
  </si>
  <si>
    <t>CUSTO INICIAL</t>
  </si>
  <si>
    <t>QUANT. DE PARCELA</t>
  </si>
  <si>
    <t xml:space="preserve">VALOR DAS PARCELAS </t>
  </si>
  <si>
    <t>TOTAL DAS PARCELAS</t>
  </si>
  <si>
    <t xml:space="preserve">TOTAL DO CUSTO </t>
  </si>
  <si>
    <t xml:space="preserve">ADIVOGADOS </t>
  </si>
  <si>
    <t>DIVISAO DE LUCRO</t>
  </si>
  <si>
    <t>VALOR TOTAL LUCRO</t>
  </si>
  <si>
    <t>FELIPE(30)</t>
  </si>
  <si>
    <t>THIAGO(25)</t>
  </si>
  <si>
    <t>IVAN(25)</t>
  </si>
  <si>
    <t>ANTONY(15)</t>
  </si>
  <si>
    <t>DIVISAO DE LUCRO + CAPTALIZAÇAO(50)</t>
  </si>
  <si>
    <t>CAPITALIZAÇAO(50)</t>
  </si>
  <si>
    <t>MEDIA VALORIÇAO (%)</t>
  </si>
  <si>
    <t>AVISTA</t>
  </si>
  <si>
    <t>VALOR DE VENDA ESTIMDA(M²)</t>
  </si>
  <si>
    <t>LYSEIS</t>
  </si>
  <si>
    <t xml:space="preserve">BRUTO PRESUMIDO </t>
  </si>
  <si>
    <t xml:space="preserve">CUSTOS DA  GERENCIADORA </t>
  </si>
  <si>
    <t xml:space="preserve">LUCRI PRESUMIDO </t>
  </si>
  <si>
    <t>CUSTOS DE DESCONTO(0,5%)</t>
  </si>
  <si>
    <t>CUSTOS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</si>
</sst>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R$-416]* #,##0.00_-;\-[$R$-416]* #,##0.00_-;_-[$R$-416]* &quot;-&quot;??_-;_-@_-"/>
    <numFmt numFmtId="165" formatCode="_-* #,##0_-;\-* #,##0_-;_-* &quot;-&quot;??_-;_-@_-"/>
    <numFmt numFmtId="166" formatCode="_-[$R$-416]\ * #,##0.00_-;\-[$R$-416]\ * #,##0.00_-;_-[$R$-416]\ * &quot;-&quot;??_-;_-@_-"/>
  </numFmts>
  <fonts count="2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375623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13E8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8747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33AC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CFBFC"/>
        <bgColor indexed="64"/>
      </patternFill>
    </fill>
    <fill>
      <patternFill patternType="solid">
        <fgColor rgb="FF2F75B5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92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3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9" fontId="3" fillId="5" borderId="1" xfId="0" applyNumberFormat="1" applyFont="1" applyFill="1" applyBorder="1" applyAlignment="1">
      <alignment horizontal="left" vertical="center"/>
    </xf>
    <xf numFmtId="9" fontId="3" fillId="5" borderId="3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left" vertical="center"/>
    </xf>
    <xf numFmtId="9" fontId="3" fillId="8" borderId="3" xfId="0" applyNumberFormat="1" applyFont="1" applyFill="1" applyBorder="1" applyAlignment="1">
      <alignment horizontal="left" vertical="center"/>
    </xf>
    <xf numFmtId="9" fontId="3" fillId="8" borderId="1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0" fillId="0" borderId="1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/>
    <xf numFmtId="0" fontId="4" fillId="11" borderId="5" xfId="0" applyFont="1" applyFill="1" applyBorder="1"/>
    <xf numFmtId="0" fontId="3" fillId="4" borderId="2" xfId="0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43" fontId="3" fillId="0" borderId="2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9" borderId="16" xfId="0" applyFill="1" applyBorder="1"/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9" fontId="3" fillId="8" borderId="15" xfId="0" applyNumberFormat="1" applyFont="1" applyFill="1" applyBorder="1" applyAlignment="1">
      <alignment horizontal="left" vertical="center"/>
    </xf>
    <xf numFmtId="9" fontId="3" fillId="5" borderId="15" xfId="0" applyNumberFormat="1" applyFont="1" applyFill="1" applyBorder="1" applyAlignment="1">
      <alignment horizontal="left" vertical="center"/>
    </xf>
    <xf numFmtId="9" fontId="3" fillId="8" borderId="8" xfId="0" applyNumberFormat="1" applyFont="1" applyFill="1" applyBorder="1" applyAlignment="1">
      <alignment horizontal="left" vertical="center"/>
    </xf>
    <xf numFmtId="9" fontId="10" fillId="13" borderId="15" xfId="0" applyNumberFormat="1" applyFont="1" applyFill="1" applyBorder="1" applyAlignment="1">
      <alignment horizontal="left" vertical="center"/>
    </xf>
    <xf numFmtId="9" fontId="10" fillId="13" borderId="8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14" borderId="18" xfId="0" applyFont="1" applyFill="1" applyBorder="1" applyAlignment="1">
      <alignment horizontal="center" vertical="center" wrapText="1"/>
    </xf>
    <xf numFmtId="9" fontId="3" fillId="15" borderId="15" xfId="0" applyNumberFormat="1" applyFont="1" applyFill="1" applyBorder="1" applyAlignment="1">
      <alignment horizontal="left" vertical="center"/>
    </xf>
    <xf numFmtId="0" fontId="0" fillId="9" borderId="0" xfId="0" applyFill="1" applyAlignment="1">
      <alignment horizontal="left"/>
    </xf>
    <xf numFmtId="0" fontId="4" fillId="17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43" fontId="3" fillId="6" borderId="2" xfId="0" applyNumberFormat="1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 wrapText="1"/>
    </xf>
    <xf numFmtId="43" fontId="3" fillId="6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64" fontId="3" fillId="18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15" borderId="8" xfId="0" applyFont="1" applyFill="1" applyBorder="1" applyAlignment="1">
      <alignment horizontal="left" vertical="center" wrapText="1"/>
    </xf>
    <xf numFmtId="0" fontId="3" fillId="18" borderId="8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9" fontId="12" fillId="0" borderId="0" xfId="0" applyNumberFormat="1" applyFont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0" fillId="20" borderId="30" xfId="0" applyFill="1" applyBorder="1" applyAlignment="1"/>
    <xf numFmtId="0" fontId="0" fillId="20" borderId="31" xfId="0" applyFill="1" applyBorder="1" applyAlignment="1"/>
    <xf numFmtId="0" fontId="0" fillId="20" borderId="32" xfId="0" applyFill="1" applyBorder="1" applyAlignment="1"/>
    <xf numFmtId="0" fontId="0" fillId="20" borderId="33" xfId="0" applyFill="1" applyBorder="1" applyAlignment="1"/>
    <xf numFmtId="0" fontId="0" fillId="20" borderId="1" xfId="0" applyFill="1" applyBorder="1" applyAlignment="1"/>
    <xf numFmtId="0" fontId="0" fillId="20" borderId="34" xfId="0" applyFill="1" applyBorder="1" applyAlignment="1"/>
    <xf numFmtId="0" fontId="0" fillId="20" borderId="35" xfId="0" applyFill="1" applyBorder="1" applyAlignment="1"/>
    <xf numFmtId="0" fontId="0" fillId="20" borderId="36" xfId="0" applyFill="1" applyBorder="1" applyAlignment="1"/>
    <xf numFmtId="0" fontId="0" fillId="20" borderId="37" xfId="0" applyFill="1" applyBorder="1" applyAlignment="1"/>
    <xf numFmtId="0" fontId="3" fillId="0" borderId="15" xfId="0" applyFont="1" applyBorder="1" applyAlignment="1">
      <alignment horizontal="left" vertical="center" wrapText="1"/>
    </xf>
    <xf numFmtId="0" fontId="3" fillId="19" borderId="15" xfId="0" applyFont="1" applyFill="1" applyBorder="1" applyAlignment="1">
      <alignment horizontal="left" vertical="center" wrapText="1"/>
    </xf>
    <xf numFmtId="0" fontId="3" fillId="18" borderId="15" xfId="0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164" fontId="0" fillId="0" borderId="0" xfId="0" applyNumberFormat="1"/>
    <xf numFmtId="164" fontId="1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9" borderId="2" xfId="0" applyFont="1" applyFill="1" applyBorder="1" applyAlignment="1">
      <alignment horizontal="left" vertical="center" wrapText="1"/>
    </xf>
    <xf numFmtId="43" fontId="3" fillId="9" borderId="0" xfId="0" applyNumberFormat="1" applyFont="1" applyFill="1" applyBorder="1" applyAlignment="1">
      <alignment horizontal="center" vertical="center"/>
    </xf>
    <xf numFmtId="164" fontId="3" fillId="9" borderId="0" xfId="0" applyNumberFormat="1" applyFont="1" applyFill="1" applyBorder="1" applyAlignment="1">
      <alignment horizontal="center" vertical="center"/>
    </xf>
    <xf numFmtId="43" fontId="3" fillId="6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6" fontId="0" fillId="0" borderId="0" xfId="0" applyNumberFormat="1"/>
    <xf numFmtId="166" fontId="3" fillId="21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6" borderId="0" xfId="0" applyFill="1"/>
    <xf numFmtId="0" fontId="4" fillId="1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166" fontId="3" fillId="21" borderId="41" xfId="0" applyNumberFormat="1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166" fontId="3" fillId="21" borderId="2" xfId="0" applyNumberFormat="1" applyFont="1" applyFill="1" applyBorder="1" applyAlignment="1">
      <alignment horizontal="center" vertical="center"/>
    </xf>
    <xf numFmtId="166" fontId="3" fillId="21" borderId="6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6" fontId="0" fillId="24" borderId="0" xfId="0" applyNumberFormat="1" applyFill="1"/>
    <xf numFmtId="166" fontId="3" fillId="23" borderId="1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166" fontId="0" fillId="24" borderId="1" xfId="0" applyNumberFormat="1" applyFill="1" applyBorder="1"/>
    <xf numFmtId="0" fontId="3" fillId="22" borderId="45" xfId="0" applyFont="1" applyFill="1" applyBorder="1" applyAlignment="1">
      <alignment horizontal="center" vertical="center" wrapText="1"/>
    </xf>
    <xf numFmtId="0" fontId="3" fillId="22" borderId="43" xfId="0" applyFont="1" applyFill="1" applyBorder="1" applyAlignment="1">
      <alignment horizontal="center" vertical="center" wrapText="1"/>
    </xf>
    <xf numFmtId="0" fontId="3" fillId="22" borderId="44" xfId="0" applyFont="1" applyFill="1" applyBorder="1" applyAlignment="1">
      <alignment horizontal="center" vertical="center" wrapText="1"/>
    </xf>
    <xf numFmtId="0" fontId="3" fillId="22" borderId="16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23" borderId="2" xfId="0" applyFont="1" applyFill="1" applyBorder="1" applyAlignment="1">
      <alignment horizontal="center" vertical="center"/>
    </xf>
    <xf numFmtId="166" fontId="3" fillId="23" borderId="2" xfId="0" applyNumberFormat="1" applyFont="1" applyFill="1" applyBorder="1" applyAlignment="1">
      <alignment horizontal="center" vertical="center"/>
    </xf>
    <xf numFmtId="164" fontId="0" fillId="0" borderId="5" xfId="0" applyNumberFormat="1" applyBorder="1"/>
    <xf numFmtId="0" fontId="0" fillId="0" borderId="5" xfId="0" applyBorder="1"/>
    <xf numFmtId="164" fontId="0" fillId="0" borderId="41" xfId="0" applyNumberFormat="1" applyBorder="1"/>
    <xf numFmtId="0" fontId="3" fillId="26" borderId="5" xfId="0" applyFont="1" applyFill="1" applyBorder="1" applyAlignment="1">
      <alignment horizontal="left" vertical="center"/>
    </xf>
    <xf numFmtId="0" fontId="3" fillId="26" borderId="1" xfId="0" applyFont="1" applyFill="1" applyBorder="1" applyAlignment="1">
      <alignment horizontal="left" vertical="center"/>
    </xf>
    <xf numFmtId="0" fontId="3" fillId="26" borderId="2" xfId="0" applyFont="1" applyFill="1" applyBorder="1" applyAlignment="1">
      <alignment horizontal="left" vertical="center"/>
    </xf>
    <xf numFmtId="0" fontId="4" fillId="14" borderId="43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vertical="center"/>
    </xf>
    <xf numFmtId="166" fontId="3" fillId="0" borderId="1" xfId="0" applyNumberFormat="1" applyFont="1" applyBorder="1"/>
    <xf numFmtId="0" fontId="4" fillId="14" borderId="44" xfId="0" applyFont="1" applyFill="1" applyBorder="1" applyAlignment="1">
      <alignment horizontal="center" vertical="center"/>
    </xf>
    <xf numFmtId="0" fontId="1" fillId="10" borderId="3" xfId="0" applyFont="1" applyFill="1" applyBorder="1"/>
    <xf numFmtId="164" fontId="0" fillId="0" borderId="6" xfId="0" applyNumberFormat="1" applyBorder="1"/>
    <xf numFmtId="0" fontId="3" fillId="26" borderId="1" xfId="0" applyFont="1" applyFill="1" applyBorder="1" applyAlignment="1">
      <alignment wrapText="1"/>
    </xf>
    <xf numFmtId="0" fontId="3" fillId="26" borderId="1" xfId="0" applyFont="1" applyFill="1" applyBorder="1"/>
    <xf numFmtId="0" fontId="3" fillId="26" borderId="1" xfId="0" applyFont="1" applyFill="1" applyBorder="1" applyAlignment="1">
      <alignment horizontal="center" vertical="center"/>
    </xf>
    <xf numFmtId="43" fontId="3" fillId="0" borderId="3" xfId="0" applyNumberFormat="1" applyFont="1" applyBorder="1" applyAlignment="1">
      <alignment horizontal="center" vertical="center"/>
    </xf>
    <xf numFmtId="43" fontId="3" fillId="0" borderId="8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2" borderId="49" xfId="0" applyFont="1" applyFill="1" applyBorder="1" applyAlignment="1">
      <alignment wrapText="1"/>
    </xf>
    <xf numFmtId="4" fontId="16" fillId="2" borderId="50" xfId="0" applyNumberFormat="1" applyFont="1" applyFill="1" applyBorder="1" applyAlignment="1">
      <alignment wrapText="1"/>
    </xf>
    <xf numFmtId="0" fontId="16" fillId="27" borderId="49" xfId="0" applyFont="1" applyFill="1" applyBorder="1" applyAlignment="1">
      <alignment wrapText="1"/>
    </xf>
    <xf numFmtId="0" fontId="16" fillId="27" borderId="50" xfId="0" applyFont="1" applyFill="1" applyBorder="1" applyAlignment="1">
      <alignment wrapText="1"/>
    </xf>
    <xf numFmtId="0" fontId="16" fillId="22" borderId="49" xfId="0" applyFont="1" applyFill="1" applyBorder="1" applyAlignment="1">
      <alignment wrapText="1"/>
    </xf>
    <xf numFmtId="4" fontId="16" fillId="22" borderId="50" xfId="0" applyNumberFormat="1" applyFont="1" applyFill="1" applyBorder="1" applyAlignment="1">
      <alignment wrapText="1"/>
    </xf>
    <xf numFmtId="0" fontId="16" fillId="28" borderId="49" xfId="0" applyFont="1" applyFill="1" applyBorder="1" applyAlignment="1">
      <alignment wrapText="1"/>
    </xf>
    <xf numFmtId="4" fontId="16" fillId="28" borderId="50" xfId="0" applyNumberFormat="1" applyFont="1" applyFill="1" applyBorder="1" applyAlignment="1">
      <alignment wrapText="1"/>
    </xf>
    <xf numFmtId="0" fontId="18" fillId="26" borderId="1" xfId="0" applyFont="1" applyFill="1" applyBorder="1" applyAlignment="1">
      <alignment horizontal="center" vertical="center" wrapText="1"/>
    </xf>
    <xf numFmtId="0" fontId="16" fillId="9" borderId="0" xfId="0" applyFont="1" applyFill="1" applyBorder="1" applyAlignment="1">
      <alignment wrapText="1"/>
    </xf>
    <xf numFmtId="0" fontId="18" fillId="26" borderId="3" xfId="0" applyFont="1" applyFill="1" applyBorder="1" applyAlignment="1">
      <alignment horizontal="center" vertical="center" wrapText="1"/>
    </xf>
    <xf numFmtId="0" fontId="16" fillId="27" borderId="52" xfId="0" applyFont="1" applyFill="1" applyBorder="1" applyAlignment="1">
      <alignment wrapText="1"/>
    </xf>
    <xf numFmtId="0" fontId="18" fillId="26" borderId="5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9" borderId="55" xfId="0" applyFont="1" applyFill="1" applyBorder="1" applyAlignment="1">
      <alignment vertical="center"/>
    </xf>
    <xf numFmtId="0" fontId="3" fillId="9" borderId="56" xfId="0" applyFont="1" applyFill="1" applyBorder="1" applyAlignment="1">
      <alignment vertical="center"/>
    </xf>
    <xf numFmtId="0" fontId="3" fillId="9" borderId="58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43" fontId="3" fillId="27" borderId="5" xfId="0" applyNumberFormat="1" applyFont="1" applyFill="1" applyBorder="1" applyAlignment="1">
      <alignment horizontal="center" vertical="center"/>
    </xf>
    <xf numFmtId="43" fontId="3" fillId="22" borderId="5" xfId="0" applyNumberFormat="1" applyFont="1" applyFill="1" applyBorder="1" applyAlignment="1">
      <alignment horizontal="center" vertical="center"/>
    </xf>
    <xf numFmtId="43" fontId="3" fillId="29" borderId="5" xfId="0" applyNumberFormat="1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43" fontId="3" fillId="29" borderId="1" xfId="0" applyNumberFormat="1" applyFont="1" applyFill="1" applyBorder="1" applyAlignment="1">
      <alignment horizontal="center" vertical="center"/>
    </xf>
    <xf numFmtId="0" fontId="2" fillId="10" borderId="64" xfId="0" applyFont="1" applyFill="1" applyBorder="1" applyAlignment="1">
      <alignment horizontal="center" vertical="center"/>
    </xf>
    <xf numFmtId="0" fontId="2" fillId="10" borderId="65" xfId="0" applyFont="1" applyFill="1" applyBorder="1" applyAlignment="1">
      <alignment horizontal="center" vertical="center"/>
    </xf>
    <xf numFmtId="4" fontId="3" fillId="29" borderId="1" xfId="0" applyNumberFormat="1" applyFont="1" applyFill="1" applyBorder="1" applyAlignment="1">
      <alignment horizontal="center" vertical="center"/>
    </xf>
    <xf numFmtId="4" fontId="3" fillId="22" borderId="2" xfId="0" applyNumberFormat="1" applyFont="1" applyFill="1" applyBorder="1" applyAlignment="1">
      <alignment horizontal="center" vertical="center"/>
    </xf>
    <xf numFmtId="4" fontId="3" fillId="27" borderId="5" xfId="0" applyNumberFormat="1" applyFont="1" applyFill="1" applyBorder="1" applyAlignment="1">
      <alignment horizontal="center" vertical="center"/>
    </xf>
    <xf numFmtId="9" fontId="16" fillId="6" borderId="0" xfId="0" applyNumberFormat="1" applyFont="1" applyFill="1" applyBorder="1" applyAlignment="1">
      <alignment wrapText="1"/>
    </xf>
    <xf numFmtId="0" fontId="2" fillId="30" borderId="63" xfId="0" applyFont="1" applyFill="1" applyBorder="1" applyAlignment="1">
      <alignment horizontal="center" vertical="center"/>
    </xf>
    <xf numFmtId="0" fontId="2" fillId="30" borderId="64" xfId="0" applyFont="1" applyFill="1" applyBorder="1" applyAlignment="1">
      <alignment horizontal="center" vertical="center"/>
    </xf>
    <xf numFmtId="0" fontId="2" fillId="30" borderId="65" xfId="0" applyFont="1" applyFill="1" applyBorder="1" applyAlignment="1">
      <alignment horizontal="center" vertical="center"/>
    </xf>
    <xf numFmtId="0" fontId="7" fillId="6" borderId="0" xfId="0" applyFont="1" applyFill="1"/>
    <xf numFmtId="0" fontId="20" fillId="6" borderId="4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43" fontId="8" fillId="6" borderId="2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43" fontId="8" fillId="6" borderId="0" xfId="0" applyNumberFormat="1" applyFont="1" applyFill="1" applyBorder="1" applyAlignment="1">
      <alignment horizontal="center" vertical="center"/>
    </xf>
    <xf numFmtId="164" fontId="8" fillId="6" borderId="0" xfId="0" applyNumberFormat="1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/>
    </xf>
    <xf numFmtId="9" fontId="8" fillId="6" borderId="15" xfId="0" applyNumberFormat="1" applyFont="1" applyFill="1" applyBorder="1" applyAlignment="1">
      <alignment horizontal="left" vertical="center"/>
    </xf>
    <xf numFmtId="0" fontId="7" fillId="6" borderId="16" xfId="0" applyFont="1" applyFill="1" applyBorder="1"/>
    <xf numFmtId="0" fontId="20" fillId="6" borderId="1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/>
    </xf>
    <xf numFmtId="166" fontId="8" fillId="6" borderId="4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166" fontId="8" fillId="6" borderId="2" xfId="0" applyNumberFormat="1" applyFont="1" applyFill="1" applyBorder="1" applyAlignment="1">
      <alignment horizontal="center" vertical="center"/>
    </xf>
    <xf numFmtId="166" fontId="8" fillId="6" borderId="6" xfId="0" applyNumberFormat="1" applyFont="1" applyFill="1" applyBorder="1" applyAlignment="1">
      <alignment horizontal="center" vertical="center"/>
    </xf>
    <xf numFmtId="166" fontId="7" fillId="6" borderId="0" xfId="0" applyNumberFormat="1" applyFont="1" applyFill="1"/>
    <xf numFmtId="0" fontId="20" fillId="6" borderId="2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166" fontId="7" fillId="6" borderId="1" xfId="0" applyNumberFormat="1" applyFont="1" applyFill="1" applyBorder="1"/>
    <xf numFmtId="0" fontId="8" fillId="6" borderId="45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20" borderId="2" xfId="0" applyFill="1" applyBorder="1" applyAlignment="1"/>
    <xf numFmtId="0" fontId="3" fillId="15" borderId="3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left" vertical="center" wrapText="1"/>
    </xf>
    <xf numFmtId="164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64" fontId="3" fillId="18" borderId="3" xfId="0" applyNumberFormat="1" applyFont="1" applyFill="1" applyBorder="1" applyAlignment="1">
      <alignment horizontal="center" vertical="center"/>
    </xf>
    <xf numFmtId="164" fontId="3" fillId="15" borderId="3" xfId="0" applyNumberFormat="1" applyFont="1" applyFill="1" applyBorder="1" applyAlignment="1">
      <alignment horizontal="center" vertical="center"/>
    </xf>
    <xf numFmtId="9" fontId="12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43" fontId="12" fillId="0" borderId="0" xfId="0" applyNumberFormat="1" applyFont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16" fillId="6" borderId="0" xfId="0" applyNumberFormat="1" applyFont="1" applyFill="1" applyBorder="1" applyAlignment="1">
      <alignment wrapText="1"/>
    </xf>
    <xf numFmtId="0" fontId="16" fillId="6" borderId="0" xfId="0" applyFont="1" applyFill="1" applyBorder="1" applyAlignment="1">
      <alignment wrapText="1"/>
    </xf>
    <xf numFmtId="166" fontId="3" fillId="21" borderId="3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8" fillId="6" borderId="3" xfId="0" applyNumberFormat="1" applyFont="1" applyFill="1" applyBorder="1" applyAlignment="1">
      <alignment horizontal="center" vertical="center"/>
    </xf>
    <xf numFmtId="166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11" fillId="15" borderId="2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 vertical="center"/>
    </xf>
    <xf numFmtId="0" fontId="11" fillId="18" borderId="4" xfId="0" applyFont="1" applyFill="1" applyBorder="1" applyAlignment="1">
      <alignment horizontal="center" vertical="center"/>
    </xf>
    <xf numFmtId="0" fontId="4" fillId="0" borderId="61" xfId="0" applyFont="1" applyBorder="1" applyAlignment="1">
      <alignment horizontal="left" vertical="center" wrapText="1"/>
    </xf>
    <xf numFmtId="0" fontId="4" fillId="0" borderId="62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6" xfId="0" applyFont="1" applyBorder="1" applyAlignment="1">
      <alignment horizontal="left" vertical="center" wrapText="1"/>
    </xf>
    <xf numFmtId="0" fontId="4" fillId="0" borderId="67" xfId="0" applyFont="1" applyBorder="1" applyAlignment="1">
      <alignment horizontal="left" vertical="center" wrapText="1"/>
    </xf>
    <xf numFmtId="0" fontId="4" fillId="0" borderId="68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9" fontId="3" fillId="8" borderId="17" xfId="0" applyNumberFormat="1" applyFont="1" applyFill="1" applyBorder="1" applyAlignment="1">
      <alignment horizontal="center" vertical="center"/>
    </xf>
    <xf numFmtId="9" fontId="3" fillId="8" borderId="19" xfId="0" applyNumberFormat="1" applyFont="1" applyFill="1" applyBorder="1" applyAlignment="1">
      <alignment horizontal="center" vertical="center"/>
    </xf>
    <xf numFmtId="164" fontId="3" fillId="8" borderId="16" xfId="0" applyNumberFormat="1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164" fontId="3" fillId="8" borderId="18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9" fontId="3" fillId="0" borderId="23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9" fontId="3" fillId="8" borderId="23" xfId="0" applyNumberFormat="1" applyFont="1" applyFill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9" fontId="3" fillId="0" borderId="19" xfId="0" applyNumberFormat="1" applyFont="1" applyBorder="1" applyAlignment="1">
      <alignment horizontal="center" vertical="center"/>
    </xf>
    <xf numFmtId="164" fontId="3" fillId="15" borderId="16" xfId="0" applyNumberFormat="1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27" xfId="0" applyFill="1" applyBorder="1" applyAlignment="1">
      <alignment horizontal="center"/>
    </xf>
    <xf numFmtId="9" fontId="3" fillId="15" borderId="17" xfId="0" applyNumberFormat="1" applyFont="1" applyFill="1" applyBorder="1" applyAlignment="1">
      <alignment horizontal="center" vertical="center"/>
    </xf>
    <xf numFmtId="9" fontId="3" fillId="15" borderId="23" xfId="0" applyNumberFormat="1" applyFont="1" applyFill="1" applyBorder="1" applyAlignment="1">
      <alignment horizontal="center" vertical="center"/>
    </xf>
    <xf numFmtId="164" fontId="3" fillId="15" borderId="17" xfId="0" applyNumberFormat="1" applyFont="1" applyFill="1" applyBorder="1" applyAlignment="1">
      <alignment horizontal="center" vertical="center"/>
    </xf>
    <xf numFmtId="0" fontId="3" fillId="15" borderId="20" xfId="0" applyFont="1" applyFill="1" applyBorder="1" applyAlignment="1">
      <alignment horizontal="center" vertical="center"/>
    </xf>
    <xf numFmtId="164" fontId="3" fillId="15" borderId="18" xfId="0" applyNumberFormat="1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3" fillId="15" borderId="28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" fillId="15" borderId="21" xfId="0" applyFont="1" applyFill="1" applyBorder="1" applyAlignment="1">
      <alignment horizontal="center" vertical="center"/>
    </xf>
    <xf numFmtId="0" fontId="3" fillId="15" borderId="22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24" fillId="1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19" borderId="1" xfId="0" applyNumberFormat="1" applyFont="1" applyFill="1" applyBorder="1" applyAlignment="1">
      <alignment horizontal="center" vertical="center"/>
    </xf>
    <xf numFmtId="0" fontId="3" fillId="19" borderId="38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0" fontId="3" fillId="19" borderId="40" xfId="0" applyFont="1" applyFill="1" applyBorder="1" applyAlignment="1">
      <alignment horizontal="center" vertical="center"/>
    </xf>
    <xf numFmtId="9" fontId="12" fillId="18" borderId="1" xfId="0" applyNumberFormat="1" applyFont="1" applyFill="1" applyBorder="1" applyAlignment="1">
      <alignment horizontal="center" vertical="center"/>
    </xf>
    <xf numFmtId="0" fontId="3" fillId="18" borderId="38" xfId="0" applyFont="1" applyFill="1" applyBorder="1" applyAlignment="1">
      <alignment horizontal="center" vertical="center"/>
    </xf>
    <xf numFmtId="0" fontId="3" fillId="18" borderId="40" xfId="0" applyFont="1" applyFill="1" applyBorder="1" applyAlignment="1">
      <alignment horizontal="center" vertical="center"/>
    </xf>
    <xf numFmtId="9" fontId="24" fillId="18" borderId="1" xfId="0" applyNumberFormat="1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9" fontId="12" fillId="8" borderId="1" xfId="0" applyNumberFormat="1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3" fillId="8" borderId="39" xfId="0" applyFont="1" applyFill="1" applyBorder="1" applyAlignment="1">
      <alignment horizontal="center" vertical="center"/>
    </xf>
    <xf numFmtId="0" fontId="3" fillId="8" borderId="4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5" fillId="10" borderId="53" xfId="0" applyFont="1" applyFill="1" applyBorder="1" applyAlignment="1">
      <alignment horizontal="center" vertical="center" wrapText="1"/>
    </xf>
    <xf numFmtId="0" fontId="15" fillId="10" borderId="51" xfId="0" applyFont="1" applyFill="1" applyBorder="1" applyAlignment="1">
      <alignment horizontal="center" vertical="center" wrapText="1"/>
    </xf>
    <xf numFmtId="0" fontId="15" fillId="10" borderId="54" xfId="0" applyFont="1" applyFill="1" applyBorder="1" applyAlignment="1">
      <alignment horizontal="center" vertical="center" wrapText="1"/>
    </xf>
    <xf numFmtId="4" fontId="16" fillId="6" borderId="0" xfId="0" applyNumberFormat="1" applyFont="1" applyFill="1" applyBorder="1" applyAlignment="1">
      <alignment wrapText="1"/>
    </xf>
    <xf numFmtId="0" fontId="16" fillId="6" borderId="0" xfId="0" applyFont="1" applyFill="1" applyBorder="1" applyAlignment="1">
      <alignment wrapText="1"/>
    </xf>
    <xf numFmtId="0" fontId="17" fillId="26" borderId="60" xfId="0" applyFont="1" applyFill="1" applyBorder="1" applyAlignment="1">
      <alignment horizontal="center" vertical="center" wrapText="1"/>
    </xf>
    <xf numFmtId="0" fontId="17" fillId="26" borderId="61" xfId="0" applyFont="1" applyFill="1" applyBorder="1" applyAlignment="1">
      <alignment horizontal="center" vertical="center" wrapText="1"/>
    </xf>
    <xf numFmtId="0" fontId="17" fillId="26" borderId="62" xfId="0" applyFont="1" applyFill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21" fillId="6" borderId="45" xfId="0" applyFont="1" applyFill="1" applyBorder="1" applyAlignment="1">
      <alignment horizontal="center" vertical="center"/>
    </xf>
    <xf numFmtId="0" fontId="21" fillId="6" borderId="43" xfId="0" applyFont="1" applyFill="1" applyBorder="1" applyAlignment="1">
      <alignment horizontal="center" vertical="center"/>
    </xf>
    <xf numFmtId="0" fontId="21" fillId="6" borderId="42" xfId="0" applyFont="1" applyFill="1" applyBorder="1" applyAlignment="1">
      <alignment horizontal="center" vertical="center"/>
    </xf>
    <xf numFmtId="166" fontId="8" fillId="6" borderId="16" xfId="0" applyNumberFormat="1" applyFont="1" applyFill="1" applyBorder="1" applyAlignment="1">
      <alignment horizontal="center" vertical="center"/>
    </xf>
    <xf numFmtId="166" fontId="8" fillId="6" borderId="46" xfId="0" applyNumberFormat="1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166" fontId="8" fillId="6" borderId="20" xfId="0" applyNumberFormat="1" applyFont="1" applyFill="1" applyBorder="1" applyAlignment="1">
      <alignment horizontal="center" vertical="center"/>
    </xf>
    <xf numFmtId="166" fontId="8" fillId="6" borderId="42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6" fontId="8" fillId="6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66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9" fontId="8" fillId="6" borderId="17" xfId="0" applyNumberFormat="1" applyFont="1" applyFill="1" applyBorder="1" applyAlignment="1">
      <alignment horizontal="center" vertical="center"/>
    </xf>
    <xf numFmtId="9" fontId="8" fillId="6" borderId="23" xfId="0" applyNumberFormat="1" applyFont="1" applyFill="1" applyBorder="1" applyAlignment="1">
      <alignment horizontal="center" vertical="center"/>
    </xf>
    <xf numFmtId="164" fontId="8" fillId="6" borderId="16" xfId="0" applyNumberFormat="1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64" fontId="8" fillId="6" borderId="18" xfId="0" applyNumberFormat="1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21" fillId="6" borderId="24" xfId="0" applyFont="1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9" fontId="8" fillId="6" borderId="19" xfId="0" applyNumberFormat="1" applyFont="1" applyFill="1" applyBorder="1" applyAlignment="1">
      <alignment horizontal="center" vertical="center"/>
    </xf>
    <xf numFmtId="164" fontId="8" fillId="6" borderId="17" xfId="0" applyNumberFormat="1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166" fontId="3" fillId="21" borderId="42" xfId="0" applyNumberFormat="1" applyFont="1" applyFill="1" applyBorder="1" applyAlignment="1">
      <alignment horizontal="center" vertical="center"/>
    </xf>
    <xf numFmtId="0" fontId="3" fillId="21" borderId="42" xfId="0" applyFont="1" applyFill="1" applyBorder="1" applyAlignment="1">
      <alignment horizontal="center" vertical="center"/>
    </xf>
    <xf numFmtId="0" fontId="3" fillId="21" borderId="43" xfId="0" applyFont="1" applyFill="1" applyBorder="1" applyAlignment="1">
      <alignment horizontal="center" vertical="center"/>
    </xf>
    <xf numFmtId="166" fontId="3" fillId="25" borderId="16" xfId="0" applyNumberFormat="1" applyFont="1" applyFill="1" applyBorder="1" applyAlignment="1">
      <alignment horizontal="center" vertical="center"/>
    </xf>
    <xf numFmtId="0" fontId="3" fillId="25" borderId="16" xfId="0" applyFont="1" applyFill="1" applyBorder="1" applyAlignment="1">
      <alignment horizontal="center" vertical="center"/>
    </xf>
    <xf numFmtId="43" fontId="8" fillId="6" borderId="3" xfId="0" applyNumberFormat="1" applyFont="1" applyFill="1" applyBorder="1" applyAlignment="1">
      <alignment horizontal="center" vertical="center"/>
    </xf>
    <xf numFmtId="43" fontId="8" fillId="6" borderId="8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/>
    </xf>
    <xf numFmtId="0" fontId="21" fillId="6" borderId="14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41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43" fontId="3" fillId="6" borderId="3" xfId="0" applyNumberFormat="1" applyFont="1" applyFill="1" applyBorder="1" applyAlignment="1">
      <alignment horizontal="center" vertical="center"/>
    </xf>
    <xf numFmtId="43" fontId="3" fillId="6" borderId="8" xfId="0" applyNumberFormat="1" applyFont="1" applyFill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166" fontId="3" fillId="21" borderId="3" xfId="0" applyNumberFormat="1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4" borderId="42" xfId="0" applyFont="1" applyFill="1" applyBorder="1" applyAlignment="1">
      <alignment horizontal="center" vertical="center"/>
    </xf>
    <xf numFmtId="0" fontId="3" fillId="14" borderId="43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21" fillId="6" borderId="26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20" fillId="6" borderId="3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164" fontId="0" fillId="21" borderId="1" xfId="0" applyNumberFormat="1" applyFill="1" applyBorder="1" applyAlignment="1">
      <alignment horizontal="center" vertical="center"/>
    </xf>
    <xf numFmtId="164" fontId="0" fillId="21" borderId="2" xfId="0" applyNumberFormat="1" applyFill="1" applyBorder="1" applyAlignment="1">
      <alignment horizontal="center" vertical="center"/>
    </xf>
    <xf numFmtId="0" fontId="19" fillId="6" borderId="41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166" fontId="3" fillId="21" borderId="46" xfId="0" applyNumberFormat="1" applyFont="1" applyFill="1" applyBorder="1" applyAlignment="1">
      <alignment horizontal="center" vertical="center"/>
    </xf>
    <xf numFmtId="0" fontId="3" fillId="21" borderId="27" xfId="0" applyFont="1" applyFill="1" applyBorder="1" applyAlignment="1">
      <alignment horizontal="center" vertical="center"/>
    </xf>
    <xf numFmtId="0" fontId="3" fillId="21" borderId="45" xfId="0" applyFont="1" applyFill="1" applyBorder="1" applyAlignment="1">
      <alignment horizontal="center" vertical="center"/>
    </xf>
    <xf numFmtId="166" fontId="3" fillId="21" borderId="20" xfId="0" applyNumberFormat="1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horizontal="center" vertical="center" wrapText="1"/>
    </xf>
    <xf numFmtId="166" fontId="3" fillId="9" borderId="16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0" borderId="39" xfId="0" applyNumberFormat="1" applyFont="1" applyBorder="1" applyAlignment="1">
      <alignment horizontal="center" vertical="center"/>
    </xf>
    <xf numFmtId="0" fontId="1" fillId="14" borderId="16" xfId="0" applyFont="1" applyFill="1" applyBorder="1" applyAlignment="1">
      <alignment horizontal="center"/>
    </xf>
    <xf numFmtId="0" fontId="1" fillId="14" borderId="2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9" fontId="3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CFBFC"/>
      <color rgb="FF13E8F0"/>
      <color rgb="FF33ACB0"/>
      <color rgb="FFE87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876300</xdr:rowOff>
    </xdr:from>
    <xdr:to>
      <xdr:col>10</xdr:col>
      <xdr:colOff>1000125</xdr:colOff>
      <xdr:row>3</xdr:row>
      <xdr:rowOff>276225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161439B-BEC5-4D66-AD7C-505DDF19816D}"/>
            </a:ext>
          </a:extLst>
        </xdr:cNvPr>
        <xdr:cNvSpPr/>
      </xdr:nvSpPr>
      <xdr:spPr>
        <a:xfrm>
          <a:off x="20431125" y="1343025"/>
          <a:ext cx="428625" cy="3524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628650</xdr:colOff>
      <xdr:row>4</xdr:row>
      <xdr:rowOff>123825</xdr:rowOff>
    </xdr:from>
    <xdr:to>
      <xdr:col>10</xdr:col>
      <xdr:colOff>1057275</xdr:colOff>
      <xdr:row>5</xdr:row>
      <xdr:rowOff>209550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B4AA7D-C8F9-420B-A10A-2F20E1878F57}"/>
            </a:ext>
            <a:ext uri="{147F2762-F138-4A5C-976F-8EAC2B608ADB}">
              <a16:predDERef xmlns:a16="http://schemas.microsoft.com/office/drawing/2014/main" pred="{0161439B-BEC5-4D66-AD7C-505DDF19816D}"/>
            </a:ext>
          </a:extLst>
        </xdr:cNvPr>
        <xdr:cNvSpPr/>
      </xdr:nvSpPr>
      <xdr:spPr>
        <a:xfrm>
          <a:off x="20488275" y="1924050"/>
          <a:ext cx="428625" cy="352425"/>
        </a:xfrm>
        <a:prstGeom prst="rect">
          <a:avLst/>
        </a:prstGeom>
        <a:solidFill>
          <a:srgbClr val="F8CBA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647700</xdr:colOff>
      <xdr:row>7</xdr:row>
      <xdr:rowOff>171450</xdr:rowOff>
    </xdr:from>
    <xdr:to>
      <xdr:col>10</xdr:col>
      <xdr:colOff>1076325</xdr:colOff>
      <xdr:row>7</xdr:row>
      <xdr:rowOff>523875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77FD223-1CD5-4E6A-AE39-66C2D008F1DF}"/>
            </a:ext>
            <a:ext uri="{147F2762-F138-4A5C-976F-8EAC2B608ADB}">
              <a16:predDERef xmlns:a16="http://schemas.microsoft.com/office/drawing/2014/main" pred="{ACB4AA7D-C8F9-420B-A10A-2F20E1878F57}"/>
            </a:ext>
          </a:extLst>
        </xdr:cNvPr>
        <xdr:cNvSpPr/>
      </xdr:nvSpPr>
      <xdr:spPr>
        <a:xfrm>
          <a:off x="20507325" y="3000375"/>
          <a:ext cx="428625" cy="352425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695325</xdr:colOff>
      <xdr:row>6</xdr:row>
      <xdr:rowOff>95250</xdr:rowOff>
    </xdr:from>
    <xdr:to>
      <xdr:col>10</xdr:col>
      <xdr:colOff>1123950</xdr:colOff>
      <xdr:row>7</xdr:row>
      <xdr:rowOff>66675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37F2DFB-22D6-405C-B9A3-CFEA770666D2}"/>
            </a:ext>
            <a:ext uri="{147F2762-F138-4A5C-976F-8EAC2B608ADB}">
              <a16:predDERef xmlns:a16="http://schemas.microsoft.com/office/drawing/2014/main" pred="{577FD223-1CD5-4E6A-AE39-66C2D008F1DF}"/>
            </a:ext>
          </a:extLst>
        </xdr:cNvPr>
        <xdr:cNvSpPr/>
      </xdr:nvSpPr>
      <xdr:spPr>
        <a:xfrm>
          <a:off x="20554950" y="2543175"/>
          <a:ext cx="428625" cy="352425"/>
        </a:xfrm>
        <a:prstGeom prst="rect">
          <a:avLst/>
        </a:prstGeom>
        <a:solidFill>
          <a:srgbClr val="8EA9D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657225</xdr:colOff>
      <xdr:row>2</xdr:row>
      <xdr:rowOff>57150</xdr:rowOff>
    </xdr:from>
    <xdr:to>
      <xdr:col>13</xdr:col>
      <xdr:colOff>1476375</xdr:colOff>
      <xdr:row>21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A0CF-375A-4CB0-B211-3ECAE9A7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438150"/>
          <a:ext cx="6191250" cy="35909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</xdr:row>
      <xdr:rowOff>57150</xdr:rowOff>
    </xdr:from>
    <xdr:to>
      <xdr:col>5</xdr:col>
      <xdr:colOff>495300</xdr:colOff>
      <xdr:row>21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2C764E5-80AE-4473-B4A5-2025937DB586}"/>
            </a:ext>
            <a:ext uri="{147F2762-F138-4A5C-976F-8EAC2B608ADB}">
              <a16:predDERef xmlns:a16="http://schemas.microsoft.com/office/drawing/2014/main" pred="{440CA0CF-375A-4CB0-B211-3ECAE9A7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438150"/>
          <a:ext cx="6124575" cy="358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"/>
  <sheetViews>
    <sheetView tabSelected="1" topLeftCell="A29" workbookViewId="0">
      <selection activeCell="A40" sqref="A40"/>
    </sheetView>
  </sheetViews>
  <sheetFormatPr defaultRowHeight="15"/>
  <cols>
    <col min="1" max="1" width="54.5703125" bestFit="1" customWidth="1"/>
    <col min="2" max="2" width="36.140625" bestFit="1" customWidth="1"/>
    <col min="3" max="3" width="18.7109375" customWidth="1"/>
    <col min="4" max="4" width="18.42578125" customWidth="1"/>
    <col min="5" max="5" width="27.140625" customWidth="1"/>
    <col min="6" max="6" width="31.42578125" customWidth="1"/>
    <col min="7" max="7" width="27.28515625" customWidth="1"/>
    <col min="8" max="8" width="35.140625" customWidth="1"/>
    <col min="9" max="9" width="18.140625" customWidth="1"/>
    <col min="10" max="10" width="30.85546875" bestFit="1" customWidth="1"/>
    <col min="11" max="11" width="22.140625" customWidth="1"/>
    <col min="12" max="12" width="13.42578125" bestFit="1" customWidth="1"/>
    <col min="25" max="25" width="12" customWidth="1"/>
    <col min="26" max="26" width="11.85546875" customWidth="1"/>
  </cols>
  <sheetData>
    <row r="1" spans="1:26" ht="21">
      <c r="A1" s="258" t="s">
        <v>0</v>
      </c>
      <c r="B1" s="258"/>
      <c r="C1" s="258"/>
      <c r="D1" s="258"/>
      <c r="E1" s="258"/>
      <c r="F1" s="258"/>
      <c r="G1" s="258"/>
      <c r="H1" s="258"/>
      <c r="I1" s="258"/>
    </row>
    <row r="2" spans="1:26" ht="15.75">
      <c r="A2" s="260" t="s">
        <v>1</v>
      </c>
      <c r="B2" s="260" t="s">
        <v>2</v>
      </c>
      <c r="C2" s="261" t="s">
        <v>3</v>
      </c>
      <c r="D2" s="261" t="s">
        <v>4</v>
      </c>
      <c r="E2" s="262" t="s">
        <v>5</v>
      </c>
      <c r="F2" s="263" t="s">
        <v>6</v>
      </c>
      <c r="G2" s="263"/>
      <c r="H2" s="263"/>
      <c r="I2" s="271" t="s">
        <v>7</v>
      </c>
      <c r="J2" s="271"/>
      <c r="K2" s="271"/>
      <c r="L2" s="272"/>
    </row>
    <row r="3" spans="1:26" ht="75" customHeight="1">
      <c r="A3" s="264"/>
      <c r="B3" s="260"/>
      <c r="C3" s="261"/>
      <c r="D3" s="261"/>
      <c r="E3" s="261"/>
      <c r="F3" s="256" t="s">
        <v>8</v>
      </c>
      <c r="G3" s="256" t="s">
        <v>9</v>
      </c>
      <c r="H3" s="257" t="s">
        <v>10</v>
      </c>
      <c r="I3" s="273"/>
      <c r="J3" s="274"/>
      <c r="K3" s="274"/>
      <c r="L3" s="275"/>
    </row>
    <row r="4" spans="1:26" ht="30">
      <c r="A4" s="73">
        <v>1</v>
      </c>
      <c r="B4" s="69" t="s">
        <v>11</v>
      </c>
      <c r="C4" s="251">
        <f>E4/D4</f>
        <v>818.18181818181813</v>
      </c>
      <c r="D4" s="245">
        <v>220</v>
      </c>
      <c r="E4" s="251">
        <v>180000</v>
      </c>
      <c r="F4" s="251">
        <f>($C4*8)/100</f>
        <v>65.454545454545453</v>
      </c>
      <c r="G4" s="251">
        <f>($C4*12)/100</f>
        <v>98.181818181818187</v>
      </c>
      <c r="H4" s="254">
        <f>($C4*30)/100</f>
        <v>245.45454545454544</v>
      </c>
      <c r="I4" s="273"/>
      <c r="J4" s="274"/>
      <c r="K4" s="274"/>
      <c r="L4" s="275"/>
    </row>
    <row r="5" spans="1:26" ht="21">
      <c r="A5" s="228">
        <v>2</v>
      </c>
      <c r="B5" s="71" t="s">
        <v>12</v>
      </c>
      <c r="C5" s="65">
        <f t="shared" ref="C5:C22" si="0">E5/D5</f>
        <v>1600</v>
      </c>
      <c r="D5" s="66">
        <v>125</v>
      </c>
      <c r="E5" s="65">
        <v>200000</v>
      </c>
      <c r="F5" s="65">
        <f t="shared" ref="F5:F22" si="1">($C5*8)/100</f>
        <v>128</v>
      </c>
      <c r="G5" s="65">
        <f t="shared" ref="G5:G22" si="2">($C5*12)/100</f>
        <v>192</v>
      </c>
      <c r="H5" s="233">
        <f t="shared" ref="H5:H22" si="3">($C5*30)/100</f>
        <v>480</v>
      </c>
      <c r="I5" s="273"/>
      <c r="J5" s="274"/>
      <c r="K5" s="274"/>
      <c r="L5" s="275"/>
    </row>
    <row r="6" spans="1:26" ht="30">
      <c r="A6" s="265">
        <v>3</v>
      </c>
      <c r="B6" s="70" t="s">
        <v>13</v>
      </c>
      <c r="C6" s="63">
        <f t="shared" ref="C6:C7" si="4">E6/D6</f>
        <v>1160</v>
      </c>
      <c r="D6" s="64">
        <v>125</v>
      </c>
      <c r="E6" s="63">
        <v>145000</v>
      </c>
      <c r="F6" s="63">
        <f t="shared" si="1"/>
        <v>92.8</v>
      </c>
      <c r="G6" s="63">
        <f t="shared" si="2"/>
        <v>139.19999999999999</v>
      </c>
      <c r="H6" s="234">
        <f t="shared" si="3"/>
        <v>348</v>
      </c>
      <c r="I6" s="273"/>
      <c r="J6" s="274"/>
      <c r="K6" s="274"/>
      <c r="L6" s="275"/>
    </row>
    <row r="7" spans="1:26" ht="30">
      <c r="A7" s="266"/>
      <c r="B7" s="70" t="s">
        <v>14</v>
      </c>
      <c r="C7" s="63">
        <f t="shared" si="4"/>
        <v>2030.6774399999999</v>
      </c>
      <c r="D7" s="64">
        <v>125</v>
      </c>
      <c r="E7" s="63">
        <v>253834.68</v>
      </c>
      <c r="F7" s="63">
        <f t="shared" si="1"/>
        <v>162.45419519999999</v>
      </c>
      <c r="G7" s="63">
        <f t="shared" si="2"/>
        <v>243.68129280000002</v>
      </c>
      <c r="H7" s="234">
        <f t="shared" si="3"/>
        <v>609.20323199999996</v>
      </c>
      <c r="I7" s="273"/>
      <c r="J7" s="274"/>
      <c r="K7" s="274"/>
      <c r="L7" s="275"/>
    </row>
    <row r="8" spans="1:26" ht="45">
      <c r="A8" s="267"/>
      <c r="B8" s="70" t="s">
        <v>15</v>
      </c>
      <c r="C8" s="63">
        <f t="shared" si="0"/>
        <v>1784.2725600000001</v>
      </c>
      <c r="D8" s="64">
        <v>125</v>
      </c>
      <c r="E8" s="63">
        <v>223034.07</v>
      </c>
      <c r="F8" s="63">
        <f t="shared" si="1"/>
        <v>142.74180480000001</v>
      </c>
      <c r="G8" s="63">
        <f t="shared" si="2"/>
        <v>214.11270720000002</v>
      </c>
      <c r="H8" s="234">
        <f t="shared" si="3"/>
        <v>535.28176800000006</v>
      </c>
      <c r="I8" s="273"/>
      <c r="J8" s="274"/>
      <c r="K8" s="274"/>
      <c r="L8" s="275"/>
    </row>
    <row r="9" spans="1:26" ht="30">
      <c r="A9" s="73">
        <v>4</v>
      </c>
      <c r="B9" s="69" t="s">
        <v>16</v>
      </c>
      <c r="C9" s="251">
        <f t="shared" si="0"/>
        <v>1120</v>
      </c>
      <c r="D9" s="245">
        <v>125</v>
      </c>
      <c r="E9" s="251">
        <v>140000</v>
      </c>
      <c r="F9" s="251">
        <f t="shared" si="1"/>
        <v>89.6</v>
      </c>
      <c r="G9" s="251">
        <f t="shared" si="2"/>
        <v>134.4</v>
      </c>
      <c r="H9" s="254">
        <f t="shared" si="3"/>
        <v>336</v>
      </c>
      <c r="I9" s="273"/>
      <c r="J9" s="274"/>
      <c r="K9" s="274"/>
      <c r="L9" s="275"/>
    </row>
    <row r="10" spans="1:26" ht="30">
      <c r="A10" s="268">
        <v>5</v>
      </c>
      <c r="B10" s="71" t="s">
        <v>17</v>
      </c>
      <c r="C10" s="65">
        <f t="shared" si="0"/>
        <v>665</v>
      </c>
      <c r="D10" s="66">
        <v>150</v>
      </c>
      <c r="E10" s="65">
        <v>99750</v>
      </c>
      <c r="F10" s="65">
        <f t="shared" si="1"/>
        <v>53.2</v>
      </c>
      <c r="G10" s="65">
        <f t="shared" si="2"/>
        <v>79.8</v>
      </c>
      <c r="H10" s="233">
        <f t="shared" si="3"/>
        <v>199.5</v>
      </c>
      <c r="I10" s="276"/>
      <c r="J10" s="277"/>
      <c r="K10" s="277"/>
      <c r="L10" s="278"/>
    </row>
    <row r="11" spans="1:26" ht="30">
      <c r="A11" s="269"/>
      <c r="B11" s="71" t="s">
        <v>18</v>
      </c>
      <c r="C11" s="65">
        <f t="shared" si="0"/>
        <v>798.33333333333337</v>
      </c>
      <c r="D11" s="66">
        <v>150</v>
      </c>
      <c r="E11" s="65">
        <v>119750</v>
      </c>
      <c r="F11" s="65">
        <f t="shared" si="1"/>
        <v>63.866666666666667</v>
      </c>
      <c r="G11" s="65">
        <f t="shared" si="2"/>
        <v>95.8</v>
      </c>
      <c r="H11" s="65">
        <f t="shared" si="3"/>
        <v>239.5</v>
      </c>
      <c r="I11" s="1"/>
    </row>
    <row r="12" spans="1:26" ht="38.25" customHeight="1">
      <c r="A12" s="229">
        <v>6</v>
      </c>
      <c r="B12" s="230" t="s">
        <v>19</v>
      </c>
      <c r="C12" s="231">
        <f t="shared" si="0"/>
        <v>819</v>
      </c>
      <c r="D12" s="232">
        <v>150</v>
      </c>
      <c r="E12" s="231">
        <v>122850</v>
      </c>
      <c r="F12" s="231">
        <f t="shared" si="1"/>
        <v>65.52</v>
      </c>
      <c r="G12" s="231">
        <f t="shared" si="2"/>
        <v>98.28</v>
      </c>
      <c r="H12" s="231">
        <f t="shared" si="3"/>
        <v>245.7</v>
      </c>
      <c r="I12" s="1"/>
      <c r="Y12" s="67"/>
      <c r="Z12" s="67"/>
    </row>
    <row r="13" spans="1:26" ht="38.25" customHeight="1">
      <c r="A13" s="229">
        <v>7</v>
      </c>
      <c r="B13" s="230" t="s">
        <v>20</v>
      </c>
      <c r="C13" s="231">
        <f t="shared" si="0"/>
        <v>750.4</v>
      </c>
      <c r="D13" s="232">
        <v>125</v>
      </c>
      <c r="E13" s="231">
        <v>93800</v>
      </c>
      <c r="F13" s="231">
        <f t="shared" si="1"/>
        <v>60.031999999999996</v>
      </c>
      <c r="G13" s="231">
        <f t="shared" si="2"/>
        <v>90.047999999999988</v>
      </c>
      <c r="H13" s="231">
        <f t="shared" si="3"/>
        <v>225.12</v>
      </c>
      <c r="I13" s="1"/>
      <c r="Y13" s="68"/>
      <c r="Z13" s="68"/>
    </row>
    <row r="14" spans="1:26" ht="38.25" customHeight="1">
      <c r="A14" s="268">
        <v>8</v>
      </c>
      <c r="B14" s="71" t="s">
        <v>21</v>
      </c>
      <c r="C14" s="65">
        <f t="shared" si="0"/>
        <v>1000</v>
      </c>
      <c r="D14" s="66">
        <v>140</v>
      </c>
      <c r="E14" s="65">
        <v>140000</v>
      </c>
      <c r="F14" s="65">
        <f t="shared" si="1"/>
        <v>80</v>
      </c>
      <c r="G14" s="65">
        <f t="shared" si="2"/>
        <v>120</v>
      </c>
      <c r="H14" s="65">
        <f t="shared" si="3"/>
        <v>300</v>
      </c>
      <c r="I14" s="1"/>
      <c r="Y14" s="68"/>
      <c r="Z14" s="68"/>
    </row>
    <row r="15" spans="1:26" ht="38.25" customHeight="1">
      <c r="A15" s="270"/>
      <c r="B15" s="71" t="s">
        <v>22</v>
      </c>
      <c r="C15" s="65">
        <f t="shared" si="0"/>
        <v>2043.4</v>
      </c>
      <c r="D15" s="66">
        <v>140</v>
      </c>
      <c r="E15" s="65">
        <v>286076</v>
      </c>
      <c r="F15" s="65">
        <f t="shared" si="1"/>
        <v>163.47200000000001</v>
      </c>
      <c r="G15" s="65">
        <f t="shared" si="2"/>
        <v>245.20800000000003</v>
      </c>
      <c r="H15" s="65">
        <f t="shared" si="3"/>
        <v>613.02</v>
      </c>
      <c r="I15" s="1"/>
      <c r="Y15" s="68"/>
      <c r="Z15" s="68"/>
    </row>
    <row r="16" spans="1:26" ht="38.25" customHeight="1">
      <c r="A16" s="269"/>
      <c r="B16" s="71" t="s">
        <v>23</v>
      </c>
      <c r="C16" s="65">
        <f t="shared" si="0"/>
        <v>1743.1171428571429</v>
      </c>
      <c r="D16" s="66">
        <v>140</v>
      </c>
      <c r="E16" s="65">
        <v>244036.4</v>
      </c>
      <c r="F16" s="65">
        <f t="shared" si="1"/>
        <v>139.44937142857142</v>
      </c>
      <c r="G16" s="65">
        <f t="shared" si="2"/>
        <v>209.17405714285712</v>
      </c>
      <c r="H16" s="65">
        <f t="shared" si="3"/>
        <v>522.93514285714286</v>
      </c>
      <c r="I16" s="1"/>
      <c r="Y16" s="68"/>
      <c r="Z16" s="68"/>
    </row>
    <row r="17" spans="1:26" ht="60">
      <c r="A17" s="265">
        <v>9</v>
      </c>
      <c r="B17" s="70" t="s">
        <v>24</v>
      </c>
      <c r="C17" s="63">
        <f t="shared" si="0"/>
        <v>788.29285714285709</v>
      </c>
      <c r="D17" s="64">
        <v>140</v>
      </c>
      <c r="E17" s="63">
        <v>110361</v>
      </c>
      <c r="F17" s="63">
        <f t="shared" si="1"/>
        <v>63.063428571428567</v>
      </c>
      <c r="G17" s="63">
        <f t="shared" si="2"/>
        <v>94.595142857142861</v>
      </c>
      <c r="H17" s="63">
        <f t="shared" si="3"/>
        <v>236.48785714285714</v>
      </c>
      <c r="I17" s="1"/>
      <c r="Y17" s="68"/>
      <c r="Z17" s="68"/>
    </row>
    <row r="18" spans="1:26" ht="60">
      <c r="A18" s="266"/>
      <c r="B18" s="70" t="s">
        <v>25</v>
      </c>
      <c r="C18" s="63">
        <f t="shared" si="0"/>
        <v>1620.4914285714285</v>
      </c>
      <c r="D18" s="64">
        <v>140</v>
      </c>
      <c r="E18" s="63">
        <v>226868.8</v>
      </c>
      <c r="F18" s="63">
        <f t="shared" si="1"/>
        <v>129.63931428571428</v>
      </c>
      <c r="G18" s="63">
        <f t="shared" si="2"/>
        <v>194.45897142857143</v>
      </c>
      <c r="H18" s="63">
        <f t="shared" si="3"/>
        <v>486.14742857142852</v>
      </c>
      <c r="I18" s="1"/>
      <c r="Y18" s="68"/>
      <c r="Z18" s="68"/>
    </row>
    <row r="19" spans="1:26" ht="60">
      <c r="A19" s="266"/>
      <c r="B19" s="70" t="s">
        <v>26</v>
      </c>
      <c r="C19" s="63">
        <f t="shared" si="0"/>
        <v>1378.7214285714285</v>
      </c>
      <c r="D19" s="64">
        <v>140</v>
      </c>
      <c r="E19" s="63">
        <v>193021</v>
      </c>
      <c r="F19" s="63">
        <f t="shared" si="1"/>
        <v>110.29771428571428</v>
      </c>
      <c r="G19" s="63">
        <f t="shared" si="2"/>
        <v>165.44657142857142</v>
      </c>
      <c r="H19" s="63">
        <f t="shared" si="3"/>
        <v>413.61642857142857</v>
      </c>
      <c r="I19" s="1"/>
      <c r="Y19" s="68"/>
      <c r="Z19" s="68"/>
    </row>
    <row r="20" spans="1:26" ht="38.25" customHeight="1">
      <c r="A20" s="267"/>
      <c r="B20" s="70" t="s">
        <v>26</v>
      </c>
      <c r="C20" s="63">
        <f t="shared" ref="C20:C21" si="5">E20/D20</f>
        <v>1157.7457142857143</v>
      </c>
      <c r="D20" s="64">
        <v>140</v>
      </c>
      <c r="E20" s="63">
        <v>162084.4</v>
      </c>
      <c r="F20" s="63">
        <f t="shared" si="1"/>
        <v>92.619657142857136</v>
      </c>
      <c r="G20" s="63">
        <f t="shared" si="2"/>
        <v>138.9294857142857</v>
      </c>
      <c r="H20" s="63">
        <f t="shared" si="3"/>
        <v>347.32371428571429</v>
      </c>
      <c r="I20" s="1"/>
      <c r="Y20" s="68"/>
      <c r="Z20" s="68"/>
    </row>
    <row r="21" spans="1:26" ht="38.25" customHeight="1">
      <c r="A21" s="229">
        <v>10</v>
      </c>
      <c r="B21" s="230" t="s">
        <v>27</v>
      </c>
      <c r="C21" s="231">
        <f t="shared" si="5"/>
        <v>884</v>
      </c>
      <c r="D21" s="232">
        <v>125</v>
      </c>
      <c r="E21" s="231">
        <v>110500</v>
      </c>
      <c r="F21" s="231">
        <f t="shared" si="1"/>
        <v>70.72</v>
      </c>
      <c r="G21" s="231">
        <f t="shared" si="2"/>
        <v>106.08</v>
      </c>
      <c r="H21" s="231">
        <f t="shared" si="3"/>
        <v>265.2</v>
      </c>
      <c r="I21" s="1"/>
      <c r="Y21" s="68"/>
      <c r="Z21" s="68"/>
    </row>
    <row r="22" spans="1:26" ht="30">
      <c r="A22" s="229">
        <v>11</v>
      </c>
      <c r="B22" s="230" t="s">
        <v>28</v>
      </c>
      <c r="C22" s="231">
        <f t="shared" si="0"/>
        <v>1269.2307692307693</v>
      </c>
      <c r="D22" s="232">
        <v>130</v>
      </c>
      <c r="E22" s="231">
        <v>165000</v>
      </c>
      <c r="F22" s="231">
        <f t="shared" si="1"/>
        <v>101.53846153846155</v>
      </c>
      <c r="G22" s="231">
        <f t="shared" si="2"/>
        <v>152.30769230769229</v>
      </c>
      <c r="H22" s="231">
        <f t="shared" si="3"/>
        <v>380.76923076923077</v>
      </c>
      <c r="I22" s="1"/>
    </row>
    <row r="23" spans="1:26" s="24" customFormat="1">
      <c r="A23" s="72"/>
      <c r="B23" s="34"/>
      <c r="C23" s="35"/>
      <c r="D23" s="34"/>
      <c r="E23" s="34"/>
      <c r="F23" s="34"/>
      <c r="G23" s="34"/>
      <c r="I23" s="36"/>
    </row>
    <row r="24" spans="1:26" ht="18.75">
      <c r="A24" s="259" t="s">
        <v>29</v>
      </c>
      <c r="B24" s="259"/>
      <c r="C24" s="259"/>
      <c r="D24" s="259"/>
      <c r="E24" s="259"/>
      <c r="F24" s="259"/>
      <c r="G24" s="259"/>
      <c r="I24" s="1"/>
    </row>
    <row r="25" spans="1:26" ht="31.5">
      <c r="A25" s="56" t="s">
        <v>30</v>
      </c>
      <c r="B25" s="56" t="s">
        <v>31</v>
      </c>
      <c r="C25" s="56" t="s">
        <v>32</v>
      </c>
      <c r="D25" s="56" t="s">
        <v>33</v>
      </c>
      <c r="E25" s="56" t="s">
        <v>34</v>
      </c>
      <c r="F25" s="56" t="s">
        <v>35</v>
      </c>
      <c r="G25" s="59" t="s">
        <v>36</v>
      </c>
      <c r="H25" s="62" t="s">
        <v>37</v>
      </c>
      <c r="I25" s="62" t="s">
        <v>38</v>
      </c>
      <c r="J25" s="62" t="s">
        <v>39</v>
      </c>
      <c r="M25" s="1"/>
    </row>
    <row r="26" spans="1:26">
      <c r="A26" s="57" t="s">
        <v>40</v>
      </c>
      <c r="B26" s="58">
        <v>76094.34</v>
      </c>
      <c r="C26" s="58">
        <f>($B$26*70)/100</f>
        <v>53266.038</v>
      </c>
      <c r="D26" s="58">
        <f>($B$26*38)/100</f>
        <v>28915.849200000001</v>
      </c>
      <c r="E26" s="58">
        <f>($B$26*30)/100</f>
        <v>22828.301999999996</v>
      </c>
      <c r="F26" s="100">
        <f>($B$26*20)/100</f>
        <v>15218.867999999999</v>
      </c>
      <c r="G26" s="60">
        <f>($B$26*10)/100</f>
        <v>7609.4339999999993</v>
      </c>
      <c r="H26" s="61">
        <v>184</v>
      </c>
      <c r="I26" s="61">
        <f>B26*H26</f>
        <v>14001358.559999999</v>
      </c>
      <c r="J26" s="61">
        <v>12500000</v>
      </c>
      <c r="K26" s="5"/>
      <c r="M26" s="1"/>
    </row>
    <row r="27" spans="1:26" ht="37.5" customHeight="1">
      <c r="A27" s="279" t="s">
        <v>41</v>
      </c>
      <c r="B27" s="280"/>
      <c r="C27" s="281"/>
      <c r="D27" s="281"/>
      <c r="E27" s="281"/>
      <c r="F27" s="282"/>
      <c r="G27" s="5"/>
      <c r="I27" s="1"/>
    </row>
    <row r="28" spans="1:26" ht="21">
      <c r="A28" s="291" t="s">
        <v>42</v>
      </c>
      <c r="B28" s="292" t="s">
        <v>43</v>
      </c>
      <c r="C28" s="294" t="s">
        <v>42</v>
      </c>
      <c r="D28" s="295"/>
      <c r="E28" s="295"/>
      <c r="F28" s="295"/>
      <c r="G28" s="296"/>
      <c r="H28" s="307" t="s">
        <v>44</v>
      </c>
      <c r="I28" s="308"/>
      <c r="J28" s="308"/>
      <c r="K28" s="308"/>
      <c r="L28" s="295"/>
    </row>
    <row r="29" spans="1:26" ht="30">
      <c r="A29" s="291"/>
      <c r="B29" s="293"/>
      <c r="C29" s="42" t="s">
        <v>45</v>
      </c>
      <c r="D29" s="43" t="s">
        <v>46</v>
      </c>
      <c r="E29" s="43" t="s">
        <v>47</v>
      </c>
      <c r="F29" s="44" t="s">
        <v>48</v>
      </c>
      <c r="G29" s="44" t="s">
        <v>49</v>
      </c>
      <c r="H29" s="51" t="s">
        <v>45</v>
      </c>
      <c r="I29" s="52" t="s">
        <v>46</v>
      </c>
      <c r="J29" s="52" t="s">
        <v>47</v>
      </c>
      <c r="K29" s="53" t="s">
        <v>48</v>
      </c>
      <c r="L29" s="52" t="s">
        <v>49</v>
      </c>
    </row>
    <row r="30" spans="1:26" ht="23.25" customHeight="1">
      <c r="A30" s="45">
        <v>335</v>
      </c>
      <c r="B30" s="46">
        <f>$C4/$H$26</f>
        <v>4.4466403162055332</v>
      </c>
      <c r="C30" s="283">
        <f>(SUM(B30:B39)/10)</f>
        <v>6.5568999569271309</v>
      </c>
      <c r="D30" s="285">
        <f>H26*C30</f>
        <v>1206.4695920745921</v>
      </c>
      <c r="E30" s="285">
        <f>D30*(A30*125)</f>
        <v>50520914.168123543</v>
      </c>
      <c r="F30" s="288">
        <f>(E30*30)/100</f>
        <v>15156274.250437064</v>
      </c>
      <c r="G30" s="288">
        <f>D30*125</f>
        <v>150808.69900932402</v>
      </c>
      <c r="H30" s="297">
        <f>C30</f>
        <v>6.5568999569271309</v>
      </c>
      <c r="I30" s="323">
        <f>D30</f>
        <v>1206.4695920745921</v>
      </c>
      <c r="J30" s="299">
        <f>I30*(A33*130)</f>
        <v>50032293.983333334</v>
      </c>
      <c r="K30" s="304">
        <f>(J30*30)/100</f>
        <v>15009688.195</v>
      </c>
      <c r="L30" s="299">
        <f>I30*130</f>
        <v>156841.04696969697</v>
      </c>
    </row>
    <row r="31" spans="1:26" ht="17.25" customHeight="1">
      <c r="A31" s="291" t="s">
        <v>44</v>
      </c>
      <c r="B31" s="46">
        <f>$C5/$H$26</f>
        <v>8.695652173913043</v>
      </c>
      <c r="C31" s="283"/>
      <c r="D31" s="286"/>
      <c r="E31" s="286"/>
      <c r="F31" s="289"/>
      <c r="G31" s="289"/>
      <c r="H31" s="297"/>
      <c r="I31" s="297"/>
      <c r="J31" s="300"/>
      <c r="K31" s="305"/>
      <c r="L31" s="300"/>
    </row>
    <row r="32" spans="1:26" ht="18.75" customHeight="1">
      <c r="A32" s="291"/>
      <c r="B32" s="47">
        <f>$C6/$H$26</f>
        <v>6.3043478260869561</v>
      </c>
      <c r="C32" s="284"/>
      <c r="D32" s="287"/>
      <c r="E32" s="287"/>
      <c r="F32" s="290"/>
      <c r="G32" s="290"/>
      <c r="H32" s="298"/>
      <c r="I32" s="298"/>
      <c r="J32" s="302"/>
      <c r="K32" s="322"/>
      <c r="L32" s="300"/>
    </row>
    <row r="33" spans="1:12" ht="18.75">
      <c r="A33" s="45">
        <v>319</v>
      </c>
      <c r="B33" s="47">
        <f>$C7/$H$26</f>
        <v>11.036290434782609</v>
      </c>
      <c r="C33" s="24"/>
      <c r="D33" s="24"/>
      <c r="E33" s="24"/>
      <c r="F33" s="313"/>
      <c r="G33" s="314"/>
      <c r="H33" s="41"/>
      <c r="I33" s="24"/>
      <c r="J33" s="24"/>
      <c r="K33" s="24"/>
      <c r="L33" s="24"/>
    </row>
    <row r="34" spans="1:12" ht="21">
      <c r="A34" s="291" t="s">
        <v>50</v>
      </c>
      <c r="B34" s="47">
        <f>$C8/$H$26</f>
        <v>9.69713347826087</v>
      </c>
      <c r="C34" s="307" t="s">
        <v>50</v>
      </c>
      <c r="D34" s="308"/>
      <c r="E34" s="308"/>
      <c r="F34" s="308"/>
      <c r="G34" s="309"/>
      <c r="H34" s="307" t="s">
        <v>51</v>
      </c>
      <c r="I34" s="308"/>
      <c r="J34" s="308"/>
      <c r="K34" s="295"/>
      <c r="L34" s="295"/>
    </row>
    <row r="35" spans="1:12" ht="30">
      <c r="A35" s="291"/>
      <c r="B35" s="46">
        <f>$C9/$H$26</f>
        <v>6.0869565217391308</v>
      </c>
      <c r="C35" s="42" t="s">
        <v>45</v>
      </c>
      <c r="D35" s="43" t="s">
        <v>46</v>
      </c>
      <c r="E35" s="43" t="s">
        <v>47</v>
      </c>
      <c r="F35" s="43" t="s">
        <v>48</v>
      </c>
      <c r="G35" s="44" t="s">
        <v>49</v>
      </c>
      <c r="H35" s="51" t="s">
        <v>45</v>
      </c>
      <c r="I35" s="52" t="s">
        <v>46</v>
      </c>
      <c r="J35" s="53" t="s">
        <v>47</v>
      </c>
      <c r="K35" s="52" t="s">
        <v>48</v>
      </c>
      <c r="L35" s="52" t="s">
        <v>49</v>
      </c>
    </row>
    <row r="36" spans="1:12" ht="18.75">
      <c r="A36" s="45">
        <v>299</v>
      </c>
      <c r="B36" s="46">
        <f>$C10/$H$26</f>
        <v>3.6141304347826089</v>
      </c>
      <c r="C36" s="297">
        <f>C30</f>
        <v>6.5568999569271309</v>
      </c>
      <c r="D36" s="299">
        <f>D30</f>
        <v>1206.4695920745921</v>
      </c>
      <c r="E36" s="299">
        <f>D36*(A36*140)</f>
        <v>50502817.124242425</v>
      </c>
      <c r="F36" s="299">
        <f>(E36*30)/100</f>
        <v>15150845.137272727</v>
      </c>
      <c r="G36" s="304">
        <f>D36*140</f>
        <v>168905.7428904429</v>
      </c>
      <c r="H36" s="283">
        <f>C30</f>
        <v>6.5568999569271309</v>
      </c>
      <c r="I36" s="285">
        <f>I30</f>
        <v>1206.4695920745921</v>
      </c>
      <c r="J36" s="288">
        <f>I36*(A39*150)</f>
        <v>48862018.479020983</v>
      </c>
      <c r="K36" s="285">
        <f t="shared" ref="K36" si="6">(J36*30)/100</f>
        <v>14658605.543706296</v>
      </c>
      <c r="L36" s="285">
        <f>I36*150</f>
        <v>180970.43881118883</v>
      </c>
    </row>
    <row r="37" spans="1:12">
      <c r="A37" s="291" t="s">
        <v>51</v>
      </c>
      <c r="B37" s="46">
        <f>$C11/$H$26</f>
        <v>4.3387681159420293</v>
      </c>
      <c r="C37" s="297"/>
      <c r="D37" s="300"/>
      <c r="E37" s="300"/>
      <c r="F37" s="300"/>
      <c r="G37" s="305"/>
      <c r="H37" s="283"/>
      <c r="I37" s="286"/>
      <c r="J37" s="289"/>
      <c r="K37" s="286"/>
      <c r="L37" s="286"/>
    </row>
    <row r="38" spans="1:12">
      <c r="A38" s="291"/>
      <c r="B38" s="46">
        <f>$C12/$H$26</f>
        <v>4.4510869565217392</v>
      </c>
      <c r="C38" s="298"/>
      <c r="D38" s="301"/>
      <c r="E38" s="302"/>
      <c r="F38" s="301"/>
      <c r="G38" s="306"/>
      <c r="H38" s="303"/>
      <c r="I38" s="324"/>
      <c r="J38" s="290"/>
      <c r="K38" s="286"/>
      <c r="L38" s="286"/>
    </row>
    <row r="39" spans="1:12" ht="18.75">
      <c r="A39" s="45">
        <v>270</v>
      </c>
      <c r="B39" s="48">
        <f>$C22/$H$26</f>
        <v>6.8979933110367897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12" s="24" customFormat="1">
      <c r="A40" s="23"/>
    </row>
    <row r="41" spans="1:12" ht="18.75">
      <c r="A41" s="259" t="s">
        <v>52</v>
      </c>
      <c r="B41" s="259"/>
      <c r="C41" s="259"/>
      <c r="D41" s="259"/>
      <c r="E41" s="259"/>
      <c r="F41" s="259"/>
      <c r="G41" s="259"/>
      <c r="I41" s="1"/>
    </row>
    <row r="42" spans="1:12" ht="31.5">
      <c r="A42" s="56" t="s">
        <v>30</v>
      </c>
      <c r="B42" s="56" t="s">
        <v>31</v>
      </c>
      <c r="C42" s="56" t="s">
        <v>32</v>
      </c>
      <c r="D42" s="56" t="s">
        <v>37</v>
      </c>
      <c r="E42" s="56" t="s">
        <v>38</v>
      </c>
      <c r="F42" s="56" t="s">
        <v>39</v>
      </c>
      <c r="I42" s="1"/>
    </row>
    <row r="43" spans="1:12">
      <c r="A43" s="37" t="s">
        <v>40</v>
      </c>
      <c r="B43" s="38">
        <v>59700</v>
      </c>
      <c r="C43" s="38">
        <f>(B43*70)/100</f>
        <v>41790</v>
      </c>
      <c r="D43" s="39">
        <v>150</v>
      </c>
      <c r="E43" s="40">
        <f>B43*D43</f>
        <v>8955000</v>
      </c>
      <c r="F43" s="40">
        <v>6000000</v>
      </c>
      <c r="G43" s="96"/>
      <c r="H43" s="94"/>
      <c r="I43" s="1"/>
    </row>
    <row r="44" spans="1:12" ht="21">
      <c r="A44" s="279" t="s">
        <v>41</v>
      </c>
      <c r="B44" s="280"/>
      <c r="C44" s="281"/>
      <c r="D44" s="281"/>
      <c r="E44" s="281"/>
      <c r="F44" s="282"/>
      <c r="G44" s="5"/>
      <c r="I44" s="1"/>
    </row>
    <row r="45" spans="1:12" ht="21">
      <c r="A45" s="291" t="s">
        <v>42</v>
      </c>
      <c r="B45" s="292" t="s">
        <v>43</v>
      </c>
      <c r="C45" s="294" t="s">
        <v>42</v>
      </c>
      <c r="D45" s="295"/>
      <c r="E45" s="295"/>
      <c r="F45" s="295"/>
      <c r="G45" s="296"/>
      <c r="H45" s="307" t="s">
        <v>44</v>
      </c>
      <c r="I45" s="308"/>
      <c r="J45" s="308"/>
      <c r="K45" s="308"/>
      <c r="L45" s="295"/>
    </row>
    <row r="46" spans="1:12" ht="30">
      <c r="A46" s="291"/>
      <c r="B46" s="293"/>
      <c r="C46" s="42" t="s">
        <v>45</v>
      </c>
      <c r="D46" s="43" t="s">
        <v>46</v>
      </c>
      <c r="E46" s="43" t="s">
        <v>47</v>
      </c>
      <c r="F46" s="44" t="s">
        <v>48</v>
      </c>
      <c r="G46" s="44" t="s">
        <v>49</v>
      </c>
      <c r="H46" s="51" t="s">
        <v>45</v>
      </c>
      <c r="I46" s="52" t="s">
        <v>46</v>
      </c>
      <c r="J46" s="52" t="s">
        <v>47</v>
      </c>
      <c r="K46" s="53" t="s">
        <v>48</v>
      </c>
      <c r="L46" s="52" t="s">
        <v>49</v>
      </c>
    </row>
    <row r="47" spans="1:12" ht="18.75">
      <c r="A47" s="45">
        <f>C43/125</f>
        <v>334.32</v>
      </c>
      <c r="B47" s="54">
        <f>B32</f>
        <v>6.3043478260869561</v>
      </c>
      <c r="C47" s="297">
        <f>MEDIAN(B47:B49)</f>
        <v>9.69713347826087</v>
      </c>
      <c r="D47" s="299">
        <f>D43*C47</f>
        <v>1454.5700217391304</v>
      </c>
      <c r="E47" s="299">
        <f>D47*(A47*125)</f>
        <v>60786481.208478257</v>
      </c>
      <c r="F47" s="304">
        <f>(E47*30)/100</f>
        <v>18235944.362543479</v>
      </c>
      <c r="G47" s="304">
        <f>D47*125</f>
        <v>181821.2527173913</v>
      </c>
      <c r="H47" s="315">
        <f>C47</f>
        <v>9.69713347826087</v>
      </c>
      <c r="I47" s="317">
        <f>D47</f>
        <v>1454.5700217391304</v>
      </c>
      <c r="J47" s="311">
        <f>I47*(A50*130)</f>
        <v>60786481.208478257</v>
      </c>
      <c r="K47" s="319">
        <f>(J47*30)/100</f>
        <v>18235944.362543479</v>
      </c>
      <c r="L47" s="311">
        <f>I47*130</f>
        <v>189094.10282608695</v>
      </c>
    </row>
    <row r="48" spans="1:12">
      <c r="A48" s="291" t="s">
        <v>44</v>
      </c>
      <c r="B48" s="54">
        <f t="shared" ref="B48:B49" si="7">B33</f>
        <v>11.036290434782609</v>
      </c>
      <c r="C48" s="297"/>
      <c r="D48" s="300"/>
      <c r="E48" s="300"/>
      <c r="F48" s="305"/>
      <c r="G48" s="305"/>
      <c r="H48" s="315"/>
      <c r="I48" s="315"/>
      <c r="J48" s="312"/>
      <c r="K48" s="320"/>
      <c r="L48" s="312"/>
    </row>
    <row r="49" spans="1:12">
      <c r="A49" s="291"/>
      <c r="B49" s="54">
        <f t="shared" si="7"/>
        <v>9.69713347826087</v>
      </c>
      <c r="C49" s="310"/>
      <c r="D49" s="302"/>
      <c r="E49" s="302"/>
      <c r="F49" s="306"/>
      <c r="G49" s="306"/>
      <c r="H49" s="316"/>
      <c r="I49" s="316"/>
      <c r="J49" s="318"/>
      <c r="K49" s="321"/>
      <c r="L49" s="312"/>
    </row>
    <row r="50" spans="1:12" ht="18.75">
      <c r="A50" s="45">
        <f>C43/130</f>
        <v>321.46153846153845</v>
      </c>
      <c r="B50" s="49">
        <f>$B33/$H$26</f>
        <v>5.99798393194707E-2</v>
      </c>
      <c r="C50" s="24"/>
      <c r="D50" s="24"/>
      <c r="E50" s="24"/>
      <c r="F50" s="313"/>
      <c r="G50" s="314"/>
      <c r="H50" s="41"/>
      <c r="I50" s="24"/>
      <c r="J50" s="24"/>
      <c r="K50" s="24"/>
      <c r="L50" s="24"/>
    </row>
    <row r="51" spans="1:12" ht="21">
      <c r="A51" s="291" t="s">
        <v>50</v>
      </c>
      <c r="B51" s="49">
        <f>$B34/$H$26</f>
        <v>5.2701812381852557E-2</v>
      </c>
      <c r="C51" s="307" t="s">
        <v>50</v>
      </c>
      <c r="D51" s="308"/>
      <c r="E51" s="308"/>
      <c r="F51" s="308"/>
      <c r="G51" s="309"/>
      <c r="H51" s="307" t="s">
        <v>51</v>
      </c>
      <c r="I51" s="308"/>
      <c r="J51" s="308"/>
      <c r="K51" s="308"/>
      <c r="L51" s="295"/>
    </row>
    <row r="52" spans="1:12" ht="30">
      <c r="A52" s="291"/>
      <c r="B52" s="49">
        <f>$B35/$H$26</f>
        <v>3.3081285444234408E-2</v>
      </c>
      <c r="C52" s="42" t="s">
        <v>45</v>
      </c>
      <c r="D52" s="43" t="s">
        <v>46</v>
      </c>
      <c r="E52" s="43" t="s">
        <v>47</v>
      </c>
      <c r="F52" s="43" t="s">
        <v>48</v>
      </c>
      <c r="G52" s="44" t="s">
        <v>49</v>
      </c>
      <c r="H52" s="51" t="s">
        <v>45</v>
      </c>
      <c r="I52" s="52" t="s">
        <v>46</v>
      </c>
      <c r="J52" s="52" t="s">
        <v>47</v>
      </c>
      <c r="K52" s="53" t="s">
        <v>48</v>
      </c>
      <c r="L52" s="52" t="s">
        <v>49</v>
      </c>
    </row>
    <row r="53" spans="1:12" ht="18.75">
      <c r="A53" s="45">
        <f>C43/140</f>
        <v>298.5</v>
      </c>
      <c r="B53" s="49">
        <f>$B36/$H$26</f>
        <v>1.9642013232514178E-2</v>
      </c>
      <c r="C53" s="315">
        <f>C47</f>
        <v>9.69713347826087</v>
      </c>
      <c r="D53" s="311">
        <f>D47</f>
        <v>1454.5700217391304</v>
      </c>
      <c r="E53" s="311">
        <f>D53*(A53*140)</f>
        <v>60786481.208478257</v>
      </c>
      <c r="F53" s="311">
        <f>(E53*30)/100</f>
        <v>18235944.362543479</v>
      </c>
      <c r="G53" s="319">
        <f>D53*140</f>
        <v>203639.80304347826</v>
      </c>
      <c r="H53" s="297">
        <f>C47</f>
        <v>9.69713347826087</v>
      </c>
      <c r="I53" s="299">
        <f>I47</f>
        <v>1454.5700217391304</v>
      </c>
      <c r="J53" s="299">
        <f>I53*(A56*150)</f>
        <v>60786481.208478257</v>
      </c>
      <c r="K53" s="304">
        <f t="shared" ref="K53" si="8">(J53*30)/100</f>
        <v>18235944.362543479</v>
      </c>
      <c r="L53" s="299">
        <f>I53*150</f>
        <v>218185.50326086956</v>
      </c>
    </row>
    <row r="54" spans="1:12">
      <c r="A54" s="291" t="s">
        <v>51</v>
      </c>
      <c r="B54" s="49">
        <f>$B37/$H$26</f>
        <v>2.3580261499684941E-2</v>
      </c>
      <c r="C54" s="315"/>
      <c r="D54" s="312"/>
      <c r="E54" s="312"/>
      <c r="F54" s="312"/>
      <c r="G54" s="320"/>
      <c r="H54" s="297"/>
      <c r="I54" s="300"/>
      <c r="J54" s="300"/>
      <c r="K54" s="305"/>
      <c r="L54" s="300"/>
    </row>
    <row r="55" spans="1:12">
      <c r="A55" s="291"/>
      <c r="B55" s="49">
        <f>$B38/$H$26</f>
        <v>2.419068998109641E-2</v>
      </c>
      <c r="C55" s="316"/>
      <c r="D55" s="327"/>
      <c r="E55" s="318"/>
      <c r="F55" s="327"/>
      <c r="G55" s="326"/>
      <c r="H55" s="298"/>
      <c r="I55" s="301"/>
      <c r="J55" s="302"/>
      <c r="K55" s="322"/>
      <c r="L55" s="300"/>
    </row>
    <row r="56" spans="1:12" ht="18.75">
      <c r="A56" s="45">
        <f>C43/150</f>
        <v>278.60000000000002</v>
      </c>
      <c r="B56" s="50">
        <f>$B39/$H$26</f>
        <v>3.7489094081721686E-2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1:12" s="24" customFormat="1">
      <c r="A57" s="55"/>
    </row>
    <row r="58" spans="1:12" ht="21">
      <c r="A58" s="325" t="s">
        <v>53</v>
      </c>
      <c r="B58" s="325"/>
      <c r="C58" s="325"/>
      <c r="D58" s="325"/>
      <c r="E58" s="325"/>
      <c r="F58" s="325"/>
      <c r="G58" s="325"/>
      <c r="H58" s="74"/>
      <c r="I58" s="74"/>
      <c r="J58" s="74"/>
    </row>
    <row r="59" spans="1:12" ht="15.75">
      <c r="A59" s="260" t="s">
        <v>1</v>
      </c>
      <c r="B59" s="260" t="s">
        <v>2</v>
      </c>
      <c r="C59" s="260" t="s">
        <v>54</v>
      </c>
      <c r="D59" s="260" t="s">
        <v>55</v>
      </c>
      <c r="E59" s="261" t="s">
        <v>4</v>
      </c>
      <c r="F59" s="260" t="s">
        <v>56</v>
      </c>
      <c r="G59" s="260" t="s">
        <v>57</v>
      </c>
      <c r="H59" s="260" t="s">
        <v>57</v>
      </c>
      <c r="I59" s="260" t="s">
        <v>58</v>
      </c>
      <c r="J59" s="74"/>
    </row>
    <row r="60" spans="1:12" ht="15.75">
      <c r="A60" s="264"/>
      <c r="B60" s="260"/>
      <c r="C60" s="264"/>
      <c r="D60" s="264"/>
      <c r="E60" s="261"/>
      <c r="F60" s="260"/>
      <c r="G60" s="260"/>
      <c r="H60" s="260"/>
      <c r="I60" s="260"/>
      <c r="J60" s="74"/>
    </row>
    <row r="61" spans="1:12" ht="30">
      <c r="A61" s="73">
        <v>1</v>
      </c>
      <c r="B61" s="88" t="s">
        <v>11</v>
      </c>
      <c r="C61" s="236">
        <v>1.5</v>
      </c>
      <c r="D61" s="235">
        <v>0.6</v>
      </c>
      <c r="E61" s="102">
        <v>220</v>
      </c>
      <c r="F61" s="237"/>
      <c r="G61" s="74"/>
      <c r="H61" s="74"/>
      <c r="I61" s="74"/>
      <c r="J61" s="74"/>
    </row>
    <row r="62" spans="1:12" ht="21">
      <c r="A62" s="73">
        <v>2</v>
      </c>
      <c r="B62" s="88" t="s">
        <v>12</v>
      </c>
      <c r="C62" s="236">
        <v>0.9</v>
      </c>
      <c r="D62" s="235">
        <v>0.3</v>
      </c>
      <c r="E62" s="102">
        <v>125</v>
      </c>
      <c r="F62" s="237"/>
      <c r="G62" s="74"/>
      <c r="H62" s="74"/>
      <c r="I62" s="74"/>
      <c r="J62" s="74"/>
    </row>
    <row r="63" spans="1:12" ht="30">
      <c r="A63" s="336">
        <v>3</v>
      </c>
      <c r="B63" s="89" t="s">
        <v>13</v>
      </c>
      <c r="C63" s="328">
        <v>2.2000000000000002</v>
      </c>
      <c r="D63" s="341">
        <v>0.99</v>
      </c>
      <c r="E63" s="342">
        <v>125</v>
      </c>
      <c r="F63" s="339"/>
      <c r="G63" s="339"/>
      <c r="H63" s="339"/>
      <c r="I63" s="74"/>
      <c r="J63" s="74"/>
    </row>
    <row r="64" spans="1:12" ht="30">
      <c r="A64" s="337"/>
      <c r="B64" s="89" t="s">
        <v>14</v>
      </c>
      <c r="C64" s="328"/>
      <c r="D64" s="341"/>
      <c r="E64" s="343"/>
      <c r="F64" s="339"/>
      <c r="G64" s="339"/>
      <c r="H64" s="339"/>
      <c r="I64" s="74"/>
      <c r="J64" s="74"/>
    </row>
    <row r="65" spans="1:10" ht="45">
      <c r="A65" s="338"/>
      <c r="B65" s="89" t="s">
        <v>15</v>
      </c>
      <c r="C65" s="328"/>
      <c r="D65" s="341"/>
      <c r="E65" s="344"/>
      <c r="F65" s="339"/>
      <c r="G65" s="339"/>
      <c r="H65" s="339"/>
      <c r="I65" s="74"/>
      <c r="J65" s="74"/>
    </row>
    <row r="66" spans="1:10" ht="30">
      <c r="A66" s="73">
        <v>4</v>
      </c>
      <c r="B66" s="88" t="s">
        <v>16</v>
      </c>
      <c r="C66" s="236">
        <v>1.8</v>
      </c>
      <c r="D66" s="235">
        <v>0.5</v>
      </c>
      <c r="E66" s="102">
        <v>125</v>
      </c>
      <c r="F66" s="237"/>
      <c r="G66" s="74"/>
      <c r="H66" s="74"/>
      <c r="I66" s="74"/>
      <c r="J66" s="74"/>
    </row>
    <row r="67" spans="1:10" ht="30">
      <c r="A67" s="268">
        <v>5</v>
      </c>
      <c r="B67" s="90" t="s">
        <v>17</v>
      </c>
      <c r="C67" s="329">
        <v>2</v>
      </c>
      <c r="D67" s="345">
        <v>0.8</v>
      </c>
      <c r="E67" s="346">
        <v>150</v>
      </c>
      <c r="F67" s="339"/>
      <c r="G67" s="340"/>
      <c r="H67" s="340"/>
      <c r="I67" s="74"/>
      <c r="J67" s="74"/>
    </row>
    <row r="68" spans="1:10" ht="30">
      <c r="A68" s="269"/>
      <c r="B68" s="90" t="s">
        <v>18</v>
      </c>
      <c r="C68" s="329"/>
      <c r="D68" s="345"/>
      <c r="E68" s="347"/>
      <c r="F68" s="339"/>
      <c r="G68" s="340"/>
      <c r="H68" s="340"/>
      <c r="I68" s="74"/>
      <c r="J68" s="74"/>
    </row>
    <row r="69" spans="1:10" ht="30">
      <c r="A69" s="73">
        <v>6</v>
      </c>
      <c r="B69" s="91" t="s">
        <v>19</v>
      </c>
      <c r="C69" s="236">
        <v>1.8</v>
      </c>
      <c r="D69" s="235">
        <v>0.7</v>
      </c>
      <c r="E69" s="93">
        <v>150</v>
      </c>
      <c r="F69" s="237"/>
      <c r="G69" s="74"/>
      <c r="H69" s="74"/>
      <c r="I69" s="74"/>
      <c r="J69" s="74"/>
    </row>
    <row r="70" spans="1:10" ht="21">
      <c r="A70" s="73">
        <v>7</v>
      </c>
      <c r="B70" s="91" t="s">
        <v>20</v>
      </c>
      <c r="C70" s="236">
        <v>1.5</v>
      </c>
      <c r="D70" s="235">
        <v>0.65</v>
      </c>
      <c r="E70" s="93">
        <v>125</v>
      </c>
      <c r="F70" s="237"/>
      <c r="G70" s="74"/>
      <c r="H70" s="74"/>
      <c r="I70" s="74"/>
      <c r="J70" s="74"/>
    </row>
    <row r="71" spans="1:10" ht="30">
      <c r="A71" s="268">
        <v>8</v>
      </c>
      <c r="B71" s="90" t="s">
        <v>21</v>
      </c>
      <c r="C71" s="330">
        <v>1</v>
      </c>
      <c r="D71" s="348">
        <v>0.9</v>
      </c>
      <c r="E71" s="346">
        <v>140</v>
      </c>
      <c r="F71" s="339"/>
      <c r="G71" s="332"/>
      <c r="H71" s="332"/>
      <c r="I71" s="74"/>
      <c r="J71" s="74"/>
    </row>
    <row r="72" spans="1:10" ht="30">
      <c r="A72" s="270"/>
      <c r="B72" s="90" t="s">
        <v>22</v>
      </c>
      <c r="C72" s="330"/>
      <c r="D72" s="348"/>
      <c r="E72" s="349"/>
      <c r="F72" s="339"/>
      <c r="G72" s="332"/>
      <c r="H72" s="332"/>
      <c r="I72" s="74"/>
      <c r="J72" s="74"/>
    </row>
    <row r="73" spans="1:10" ht="30">
      <c r="A73" s="269"/>
      <c r="B73" s="90" t="s">
        <v>23</v>
      </c>
      <c r="C73" s="330"/>
      <c r="D73" s="348"/>
      <c r="E73" s="347"/>
      <c r="F73" s="339"/>
      <c r="G73" s="332"/>
      <c r="H73" s="332"/>
      <c r="I73" s="74"/>
      <c r="J73" s="74"/>
    </row>
    <row r="74" spans="1:10" ht="60">
      <c r="A74" s="333">
        <v>9</v>
      </c>
      <c r="B74" s="92" t="s">
        <v>24</v>
      </c>
      <c r="C74" s="331">
        <v>1.6</v>
      </c>
      <c r="D74" s="350">
        <v>0.7</v>
      </c>
      <c r="E74" s="351">
        <v>140</v>
      </c>
      <c r="F74" s="339"/>
      <c r="G74" s="332"/>
      <c r="H74" s="332"/>
      <c r="I74" s="74"/>
      <c r="J74" s="74"/>
    </row>
    <row r="75" spans="1:10" ht="60">
      <c r="A75" s="334"/>
      <c r="B75" s="92" t="s">
        <v>25</v>
      </c>
      <c r="C75" s="331"/>
      <c r="D75" s="350"/>
      <c r="E75" s="352"/>
      <c r="F75" s="339"/>
      <c r="G75" s="332"/>
      <c r="H75" s="332"/>
      <c r="I75" s="74"/>
      <c r="J75" s="74"/>
    </row>
    <row r="76" spans="1:10" ht="60">
      <c r="A76" s="334"/>
      <c r="B76" s="92" t="s">
        <v>26</v>
      </c>
      <c r="C76" s="331"/>
      <c r="D76" s="350"/>
      <c r="E76" s="352"/>
      <c r="F76" s="339"/>
      <c r="G76" s="332"/>
      <c r="H76" s="332"/>
      <c r="I76" s="74"/>
      <c r="J76" s="74"/>
    </row>
    <row r="77" spans="1:10" ht="60">
      <c r="A77" s="335"/>
      <c r="B77" s="92" t="s">
        <v>26</v>
      </c>
      <c r="C77" s="331"/>
      <c r="D77" s="350"/>
      <c r="E77" s="353"/>
      <c r="F77" s="339"/>
      <c r="G77" s="332"/>
      <c r="H77" s="332"/>
      <c r="I77" s="74"/>
      <c r="J77" s="74"/>
    </row>
    <row r="78" spans="1:10" ht="30">
      <c r="A78" s="73">
        <v>10</v>
      </c>
      <c r="B78" s="91" t="s">
        <v>27</v>
      </c>
      <c r="C78" s="236">
        <v>1.4</v>
      </c>
      <c r="D78" s="235">
        <v>0.68</v>
      </c>
      <c r="E78" s="93">
        <v>125</v>
      </c>
      <c r="F78" s="237"/>
      <c r="G78" s="74"/>
      <c r="H78" s="74"/>
      <c r="I78" s="74"/>
      <c r="J78" s="74"/>
    </row>
    <row r="79" spans="1:10" ht="30">
      <c r="A79" s="73">
        <v>11</v>
      </c>
      <c r="B79" s="91" t="s">
        <v>28</v>
      </c>
      <c r="C79" s="236">
        <v>1.6</v>
      </c>
      <c r="D79" s="235">
        <v>0.85</v>
      </c>
      <c r="E79" s="93">
        <v>130</v>
      </c>
      <c r="F79" s="237"/>
      <c r="G79" s="74"/>
      <c r="H79" s="74"/>
      <c r="I79" s="74"/>
      <c r="J79" s="74"/>
    </row>
    <row r="80" spans="1:10" ht="15.75">
      <c r="A80" s="74"/>
      <c r="B80" s="74"/>
      <c r="C80" s="74"/>
      <c r="D80" s="74"/>
      <c r="E80" s="74"/>
      <c r="F80" s="74"/>
      <c r="G80" s="74"/>
      <c r="H80" s="74"/>
      <c r="I80" s="74"/>
      <c r="J80" s="74"/>
    </row>
    <row r="81" spans="1:10" ht="15.75">
      <c r="A81" s="74"/>
      <c r="B81" s="74"/>
      <c r="C81" s="74"/>
      <c r="D81" s="74"/>
      <c r="E81" s="74"/>
      <c r="F81" s="74"/>
      <c r="G81" s="74"/>
      <c r="H81" s="74"/>
      <c r="I81" s="74"/>
      <c r="J81" s="74"/>
    </row>
    <row r="82" spans="1:10" ht="15.75">
      <c r="A82" s="74"/>
      <c r="B82" s="74"/>
      <c r="C82" s="74"/>
      <c r="D82" s="74"/>
      <c r="E82" s="74"/>
      <c r="F82" s="74"/>
      <c r="G82" s="74"/>
      <c r="H82" s="74"/>
      <c r="I82" s="74"/>
      <c r="J82" s="74"/>
    </row>
    <row r="83" spans="1:10" ht="15.75">
      <c r="A83" s="74"/>
      <c r="B83" s="74"/>
      <c r="C83" s="74"/>
      <c r="D83" s="74"/>
      <c r="E83" s="74"/>
      <c r="F83" s="74"/>
      <c r="G83" s="74"/>
      <c r="H83" s="74"/>
      <c r="I83" s="74"/>
      <c r="J83" s="74"/>
    </row>
    <row r="84" spans="1:10" ht="15.75">
      <c r="A84" s="74"/>
      <c r="B84" s="74"/>
      <c r="C84" s="74"/>
      <c r="D84" s="74"/>
      <c r="E84" s="74"/>
      <c r="F84" s="74"/>
      <c r="G84" s="74"/>
      <c r="H84" s="74"/>
      <c r="I84" s="74"/>
      <c r="J84" s="74"/>
    </row>
    <row r="85" spans="1:10" ht="15.75">
      <c r="A85" s="74"/>
      <c r="B85" s="74"/>
      <c r="C85" s="74"/>
      <c r="D85" s="74"/>
      <c r="E85" s="74"/>
      <c r="F85" s="74"/>
      <c r="G85" s="74"/>
      <c r="H85" s="74"/>
      <c r="I85" s="74"/>
      <c r="J85" s="74"/>
    </row>
    <row r="86" spans="1:10" ht="15.75">
      <c r="A86" s="74"/>
      <c r="B86" s="74"/>
      <c r="C86" s="74"/>
      <c r="D86" s="74"/>
      <c r="E86" s="74"/>
      <c r="F86" s="74"/>
      <c r="G86" s="74"/>
      <c r="H86" s="74"/>
      <c r="I86" s="74"/>
      <c r="J86" s="74"/>
    </row>
    <row r="87" spans="1:10" ht="15.75">
      <c r="A87" s="74"/>
      <c r="B87" s="74"/>
      <c r="C87" s="74"/>
      <c r="D87" s="74"/>
      <c r="E87" s="75"/>
      <c r="F87" s="74"/>
      <c r="G87" s="74"/>
      <c r="H87" s="74"/>
      <c r="I87" s="74"/>
      <c r="J87" s="74"/>
    </row>
    <row r="88" spans="1:10" ht="15.75">
      <c r="A88" s="74"/>
      <c r="B88" s="74"/>
      <c r="C88" s="74"/>
      <c r="D88" s="74"/>
      <c r="E88" s="75"/>
      <c r="F88" s="74"/>
      <c r="G88" s="74"/>
      <c r="H88" s="74"/>
      <c r="I88" s="74"/>
      <c r="J88" s="74"/>
    </row>
    <row r="89" spans="1:10" ht="15.75">
      <c r="A89" s="74"/>
      <c r="B89" s="74"/>
      <c r="C89" s="74"/>
      <c r="D89" s="74"/>
      <c r="E89" s="74"/>
      <c r="F89" s="74"/>
      <c r="G89" s="74"/>
      <c r="H89" s="74"/>
      <c r="I89" s="74"/>
      <c r="J89" s="74"/>
    </row>
    <row r="90" spans="1:10" ht="15.75">
      <c r="A90" s="74"/>
      <c r="B90" s="74"/>
      <c r="C90" s="74"/>
      <c r="D90" s="74"/>
      <c r="E90" s="74"/>
      <c r="F90" s="74"/>
      <c r="G90" s="74"/>
      <c r="H90" s="74"/>
      <c r="I90" s="74"/>
      <c r="J90" s="74"/>
    </row>
    <row r="91" spans="1:10" ht="15.75">
      <c r="A91" s="74"/>
      <c r="B91" s="74"/>
      <c r="C91" s="74"/>
      <c r="D91" s="74"/>
      <c r="E91" s="74"/>
      <c r="F91" s="74"/>
      <c r="G91" s="74"/>
      <c r="H91" s="74"/>
      <c r="I91" s="74"/>
      <c r="J91" s="74"/>
    </row>
    <row r="92" spans="1:10" ht="15.75">
      <c r="A92" s="74"/>
      <c r="B92" s="74"/>
      <c r="C92" s="74"/>
      <c r="D92" s="74"/>
      <c r="E92" s="74"/>
      <c r="F92" s="74"/>
      <c r="G92" s="74"/>
      <c r="H92" s="74"/>
      <c r="I92" s="74"/>
      <c r="J92" s="74"/>
    </row>
    <row r="93" spans="1:10" ht="15.75">
      <c r="A93" s="74"/>
      <c r="B93" s="74"/>
      <c r="C93" s="74"/>
      <c r="D93" s="74"/>
      <c r="E93" s="74"/>
      <c r="F93" s="74"/>
      <c r="G93" s="74"/>
      <c r="H93" s="74"/>
      <c r="I93" s="74"/>
      <c r="J93" s="74"/>
    </row>
    <row r="94" spans="1:10" ht="15.75">
      <c r="A94" s="74"/>
      <c r="B94" s="74"/>
      <c r="C94" s="74"/>
      <c r="D94" s="74"/>
      <c r="E94" s="74"/>
      <c r="F94" s="74"/>
      <c r="G94" s="74"/>
      <c r="H94" s="74"/>
      <c r="I94" s="74"/>
      <c r="J94" s="74"/>
    </row>
    <row r="95" spans="1:10" ht="15.75">
      <c r="A95" s="74"/>
      <c r="B95" s="74"/>
      <c r="C95" s="74"/>
      <c r="D95" s="74"/>
      <c r="E95" s="74"/>
      <c r="F95" s="74"/>
      <c r="G95" s="74"/>
      <c r="H95" s="74"/>
      <c r="I95" s="74"/>
      <c r="J95" s="74"/>
    </row>
    <row r="96" spans="1:10" ht="15.75">
      <c r="A96" s="74"/>
      <c r="B96" s="74"/>
      <c r="C96" s="74"/>
      <c r="D96" s="74"/>
      <c r="E96" s="74"/>
      <c r="F96" s="74"/>
      <c r="G96" s="74"/>
      <c r="H96" s="74"/>
      <c r="I96" s="74"/>
      <c r="J96" s="74"/>
    </row>
    <row r="97" spans="1:10" ht="15.75">
      <c r="A97" s="74"/>
      <c r="B97" s="74"/>
      <c r="C97" s="74"/>
      <c r="D97" s="74"/>
      <c r="E97" s="74"/>
      <c r="F97" s="74"/>
      <c r="G97" s="74"/>
      <c r="H97" s="95"/>
      <c r="I97" s="74"/>
      <c r="J97" s="74"/>
    </row>
    <row r="98" spans="1:10" ht="15.75">
      <c r="A98" s="74"/>
      <c r="B98" s="74"/>
      <c r="C98" s="74"/>
      <c r="D98" s="74"/>
      <c r="E98" s="74"/>
      <c r="F98" s="74"/>
      <c r="G98" s="74"/>
      <c r="H98" s="95"/>
      <c r="I98" s="74"/>
      <c r="J98" s="74"/>
    </row>
    <row r="99" spans="1:10" ht="15.75">
      <c r="A99" s="74"/>
      <c r="B99" s="74"/>
      <c r="C99" s="74"/>
      <c r="D99" s="74"/>
      <c r="E99" s="74"/>
      <c r="F99" s="74"/>
      <c r="G99" s="74"/>
      <c r="H99" s="74"/>
      <c r="I99" s="74"/>
      <c r="J99" s="74"/>
    </row>
    <row r="100" spans="1:10" ht="15.75">
      <c r="A100" s="74"/>
      <c r="B100" s="74"/>
      <c r="C100" s="74"/>
      <c r="D100" s="74"/>
      <c r="E100" s="74"/>
      <c r="F100" s="74"/>
      <c r="G100" s="74"/>
      <c r="H100" s="95"/>
      <c r="I100" s="74"/>
      <c r="J100" s="74"/>
    </row>
    <row r="101" spans="1:10" ht="15.75">
      <c r="A101" s="74"/>
      <c r="B101" s="74"/>
      <c r="C101" s="74"/>
      <c r="D101" s="74"/>
      <c r="E101" s="74"/>
      <c r="F101" s="95"/>
      <c r="G101" s="74"/>
      <c r="H101" s="95"/>
      <c r="I101" s="74"/>
      <c r="J101" s="74"/>
    </row>
    <row r="102" spans="1:10" ht="15.75">
      <c r="A102" s="74"/>
      <c r="B102" s="74"/>
      <c r="C102" s="74"/>
      <c r="D102" s="74"/>
      <c r="E102" s="74"/>
      <c r="F102" s="74"/>
      <c r="G102" s="74"/>
      <c r="H102" s="74"/>
      <c r="I102" s="95"/>
      <c r="J102" s="74"/>
    </row>
    <row r="103" spans="1:10" ht="15.75">
      <c r="A103" s="74"/>
      <c r="B103" s="74"/>
      <c r="C103" s="74"/>
      <c r="D103" s="74"/>
      <c r="E103" s="74"/>
      <c r="F103" s="74"/>
      <c r="G103" s="74"/>
      <c r="H103" s="74"/>
      <c r="I103" s="74"/>
      <c r="J103" s="74"/>
    </row>
    <row r="104" spans="1:10" ht="15.75">
      <c r="A104" s="74"/>
      <c r="B104" s="74"/>
      <c r="C104" s="74"/>
      <c r="D104" s="74"/>
      <c r="E104" s="74"/>
      <c r="F104" s="74"/>
      <c r="G104" s="74"/>
      <c r="H104" s="74"/>
      <c r="I104" s="74"/>
      <c r="J104" s="74"/>
    </row>
    <row r="105" spans="1:10" ht="15.75">
      <c r="A105" s="74"/>
      <c r="B105" s="74"/>
      <c r="C105" s="74"/>
      <c r="D105" s="74"/>
      <c r="E105" s="74"/>
      <c r="F105" s="74"/>
      <c r="G105" s="74"/>
      <c r="H105" s="74"/>
      <c r="I105" s="74"/>
      <c r="J105" s="74"/>
    </row>
    <row r="106" spans="1:10" ht="15.75">
      <c r="A106" s="74"/>
      <c r="B106" s="74"/>
      <c r="C106" s="74"/>
      <c r="D106" s="74"/>
      <c r="E106" s="74"/>
      <c r="F106" s="74"/>
      <c r="G106" s="74"/>
      <c r="H106" s="74"/>
      <c r="I106" s="74"/>
      <c r="J106" s="74"/>
    </row>
    <row r="107" spans="1:10" ht="15.75">
      <c r="A107" s="74"/>
      <c r="B107" s="74"/>
      <c r="C107" s="74"/>
      <c r="D107" s="74"/>
      <c r="E107" s="74"/>
      <c r="F107" s="74"/>
      <c r="G107" s="74"/>
      <c r="H107" s="74"/>
      <c r="I107" s="74"/>
      <c r="J107" s="74"/>
    </row>
    <row r="108" spans="1:10" ht="15.75">
      <c r="A108" s="74"/>
      <c r="B108" s="74"/>
      <c r="C108" s="74"/>
      <c r="D108" s="74"/>
      <c r="E108" s="74"/>
      <c r="F108" s="74"/>
      <c r="G108" s="74"/>
      <c r="H108" s="74"/>
      <c r="I108" s="74"/>
      <c r="J108" s="74"/>
    </row>
    <row r="109" spans="1:10" ht="15.75">
      <c r="A109" s="74"/>
      <c r="B109" s="74"/>
      <c r="C109" s="74"/>
      <c r="D109" s="74"/>
      <c r="E109" s="74"/>
      <c r="F109" s="74"/>
      <c r="G109" s="74"/>
      <c r="H109" s="74"/>
      <c r="I109" s="74"/>
      <c r="J109" s="74"/>
    </row>
    <row r="110" spans="1:10" ht="15.75">
      <c r="A110" s="74"/>
      <c r="B110" s="74"/>
      <c r="C110" s="74"/>
      <c r="D110" s="74"/>
      <c r="E110" s="74"/>
      <c r="F110" s="74"/>
      <c r="G110" s="74"/>
      <c r="H110" s="74"/>
      <c r="I110" s="74"/>
      <c r="J110" s="74"/>
    </row>
    <row r="111" spans="1:10" ht="15.75">
      <c r="A111" s="74"/>
      <c r="B111" s="74"/>
      <c r="C111" s="74"/>
      <c r="D111" s="74"/>
      <c r="E111" s="74"/>
      <c r="F111" s="74"/>
      <c r="G111" s="74"/>
      <c r="H111" s="74"/>
      <c r="I111" s="74"/>
      <c r="J111" s="74"/>
    </row>
    <row r="112" spans="1:10" ht="15.75">
      <c r="A112" s="74"/>
      <c r="B112" s="74"/>
      <c r="C112" s="74"/>
      <c r="D112" s="74"/>
      <c r="E112" s="74"/>
      <c r="F112" s="74"/>
      <c r="G112" s="74"/>
      <c r="H112" s="74"/>
      <c r="I112" s="74"/>
      <c r="J112" s="74"/>
    </row>
    <row r="113" spans="1:10" ht="15.75">
      <c r="A113" s="74"/>
      <c r="B113" s="74"/>
      <c r="C113" s="74"/>
      <c r="D113" s="74"/>
      <c r="E113" s="74"/>
      <c r="F113" s="74"/>
      <c r="G113" s="74"/>
      <c r="H113" s="74"/>
      <c r="I113" s="74"/>
      <c r="J113" s="74"/>
    </row>
    <row r="114" spans="1:10" ht="15.75">
      <c r="A114" s="74"/>
      <c r="B114" s="74"/>
      <c r="C114" s="74"/>
      <c r="D114" s="74"/>
      <c r="E114" s="74"/>
      <c r="F114" s="74"/>
      <c r="G114" s="74"/>
      <c r="H114" s="74"/>
      <c r="I114" s="74"/>
      <c r="J114" s="74"/>
    </row>
    <row r="115" spans="1:10" ht="15.75">
      <c r="A115" s="74"/>
      <c r="B115" s="74"/>
      <c r="C115" s="74"/>
      <c r="D115" s="74"/>
      <c r="E115" s="74"/>
      <c r="F115" s="74"/>
      <c r="G115" s="74"/>
      <c r="H115" s="74"/>
      <c r="I115" s="74"/>
      <c r="J115" s="74"/>
    </row>
    <row r="116" spans="1:10" ht="15.75">
      <c r="A116" s="74"/>
      <c r="B116" s="74"/>
      <c r="C116" s="74"/>
      <c r="D116" s="74"/>
      <c r="E116" s="74"/>
      <c r="F116" s="74"/>
      <c r="G116" s="74"/>
      <c r="H116" s="74"/>
      <c r="I116" s="74"/>
      <c r="J116" s="74"/>
    </row>
    <row r="117" spans="1:10" ht="15.75">
      <c r="A117" s="74"/>
      <c r="B117" s="74"/>
      <c r="C117" s="74"/>
      <c r="D117" s="74"/>
      <c r="E117" s="74"/>
      <c r="F117" s="74"/>
      <c r="G117" s="74"/>
      <c r="H117" s="74"/>
      <c r="I117" s="74"/>
      <c r="J117" s="74"/>
    </row>
    <row r="118" spans="1:10" ht="15.75">
      <c r="A118" s="74"/>
      <c r="B118" s="74"/>
      <c r="C118" s="74"/>
      <c r="D118" s="74"/>
      <c r="E118" s="74"/>
      <c r="F118" s="74"/>
      <c r="G118" s="74"/>
      <c r="H118" s="74"/>
      <c r="I118" s="74"/>
      <c r="J118" s="74"/>
    </row>
    <row r="119" spans="1:10" ht="15.75">
      <c r="A119" s="74"/>
      <c r="B119" s="74"/>
      <c r="C119" s="74"/>
      <c r="D119" s="74"/>
      <c r="E119" s="74"/>
      <c r="F119" s="74"/>
      <c r="G119" s="74"/>
      <c r="H119" s="74"/>
      <c r="I119" s="74"/>
      <c r="J119" s="74"/>
    </row>
    <row r="120" spans="1:10" ht="15.75">
      <c r="A120" s="74"/>
      <c r="B120" s="74"/>
      <c r="C120" s="74"/>
      <c r="D120" s="74"/>
      <c r="E120" s="74"/>
      <c r="F120" s="74"/>
      <c r="G120" s="74"/>
      <c r="H120" s="74"/>
      <c r="I120" s="74"/>
      <c r="J120" s="74"/>
    </row>
    <row r="121" spans="1:10" ht="15.75">
      <c r="A121" s="74"/>
      <c r="B121" s="74"/>
      <c r="C121" s="74"/>
      <c r="D121" s="74"/>
      <c r="E121" s="74"/>
      <c r="F121" s="74"/>
      <c r="G121" s="74"/>
      <c r="H121" s="74"/>
      <c r="I121" s="74"/>
      <c r="J121" s="74"/>
    </row>
    <row r="122" spans="1:10" ht="15.75">
      <c r="A122" s="74"/>
      <c r="B122" s="74"/>
      <c r="C122" s="74"/>
      <c r="D122" s="74"/>
      <c r="E122" s="74"/>
      <c r="F122" s="74"/>
      <c r="G122" s="74"/>
      <c r="H122" s="74"/>
      <c r="I122" s="74"/>
      <c r="J122" s="74"/>
    </row>
    <row r="123" spans="1:10" ht="15.75">
      <c r="A123" s="74"/>
      <c r="B123" s="74"/>
      <c r="C123" s="74"/>
      <c r="D123" s="74"/>
      <c r="E123" s="74"/>
      <c r="F123" s="74"/>
      <c r="G123" s="74"/>
      <c r="H123" s="74"/>
      <c r="I123" s="74"/>
      <c r="J123" s="74"/>
    </row>
    <row r="124" spans="1:10" ht="15.75">
      <c r="A124" s="74"/>
      <c r="B124" s="74"/>
      <c r="C124" s="74"/>
      <c r="D124" s="74"/>
      <c r="E124" s="74"/>
      <c r="F124" s="74"/>
      <c r="G124" s="74"/>
      <c r="H124" s="74"/>
      <c r="I124" s="74"/>
      <c r="J124" s="74"/>
    </row>
    <row r="125" spans="1:10" ht="15.75">
      <c r="A125" s="74"/>
      <c r="B125" s="74"/>
      <c r="C125" s="74"/>
      <c r="D125" s="74"/>
      <c r="E125" s="74"/>
      <c r="F125" s="74"/>
      <c r="G125" s="74"/>
      <c r="H125" s="74"/>
      <c r="I125" s="74"/>
      <c r="J125" s="74"/>
    </row>
    <row r="126" spans="1:10" ht="15.75">
      <c r="A126" s="74"/>
      <c r="B126" s="74"/>
      <c r="C126" s="74"/>
      <c r="D126" s="74"/>
      <c r="E126" s="74"/>
      <c r="F126" s="74"/>
      <c r="G126" s="74"/>
      <c r="H126" s="74"/>
      <c r="I126" s="74"/>
      <c r="J126" s="74"/>
    </row>
    <row r="127" spans="1:10" ht="15.75">
      <c r="A127" s="74"/>
      <c r="B127" s="74"/>
      <c r="C127" s="74"/>
      <c r="D127" s="74"/>
      <c r="E127" s="74"/>
      <c r="F127" s="74"/>
      <c r="G127" s="74"/>
      <c r="H127" s="74"/>
      <c r="I127" s="74"/>
      <c r="J127" s="74"/>
    </row>
    <row r="128" spans="1:10" ht="15.75">
      <c r="A128" s="74"/>
      <c r="B128" s="74"/>
      <c r="C128" s="74"/>
      <c r="D128" s="74"/>
      <c r="E128" s="74"/>
      <c r="F128" s="74"/>
      <c r="G128" s="74"/>
      <c r="H128" s="74"/>
      <c r="I128" s="74"/>
      <c r="J128" s="74"/>
    </row>
    <row r="129" spans="1:10" ht="15.75">
      <c r="A129" s="74"/>
      <c r="B129" s="74"/>
      <c r="C129" s="74"/>
      <c r="D129" s="74"/>
      <c r="E129" s="74"/>
      <c r="F129" s="74"/>
      <c r="G129" s="74"/>
      <c r="H129" s="74"/>
      <c r="I129" s="74"/>
      <c r="J129" s="74"/>
    </row>
    <row r="130" spans="1:10" ht="15.75">
      <c r="A130" s="74"/>
      <c r="B130" s="74"/>
      <c r="C130" s="74"/>
      <c r="D130" s="74"/>
      <c r="E130" s="74"/>
      <c r="F130" s="74"/>
      <c r="G130" s="74"/>
      <c r="H130" s="74"/>
      <c r="I130" s="74"/>
      <c r="J130" s="74"/>
    </row>
    <row r="131" spans="1:10" ht="15.75">
      <c r="A131" s="74"/>
      <c r="B131" s="74"/>
      <c r="C131" s="74"/>
      <c r="D131" s="74"/>
      <c r="E131" s="74"/>
      <c r="F131" s="74"/>
      <c r="G131" s="74"/>
      <c r="H131" s="74"/>
      <c r="I131" s="74"/>
      <c r="J131" s="74"/>
    </row>
    <row r="132" spans="1:10" ht="15.75">
      <c r="A132" s="74"/>
      <c r="B132" s="74"/>
      <c r="C132" s="74"/>
      <c r="D132" s="74"/>
      <c r="E132" s="74"/>
      <c r="F132" s="74"/>
      <c r="G132" s="74"/>
      <c r="H132" s="74"/>
      <c r="I132" s="74"/>
      <c r="J132" s="74"/>
    </row>
    <row r="133" spans="1:10" ht="15.75">
      <c r="A133" s="74"/>
      <c r="B133" s="74"/>
      <c r="C133" s="74"/>
      <c r="D133" s="74"/>
      <c r="E133" s="74"/>
      <c r="F133" s="74"/>
      <c r="G133" s="74"/>
      <c r="H133" s="74"/>
      <c r="I133" s="74"/>
      <c r="J133" s="74"/>
    </row>
  </sheetData>
  <mergeCells count="114">
    <mergeCell ref="H74:H77"/>
    <mergeCell ref="H59:H60"/>
    <mergeCell ref="I59:I60"/>
    <mergeCell ref="H63:H65"/>
    <mergeCell ref="H67:H68"/>
    <mergeCell ref="H71:H73"/>
    <mergeCell ref="D63:D65"/>
    <mergeCell ref="E63:E65"/>
    <mergeCell ref="F63:F65"/>
    <mergeCell ref="G63:G65"/>
    <mergeCell ref="D67:D68"/>
    <mergeCell ref="E67:E68"/>
    <mergeCell ref="F67:F68"/>
    <mergeCell ref="G67:G68"/>
    <mergeCell ref="D71:D73"/>
    <mergeCell ref="E71:E73"/>
    <mergeCell ref="F71:F73"/>
    <mergeCell ref="G71:G73"/>
    <mergeCell ref="D74:D77"/>
    <mergeCell ref="E74:E77"/>
    <mergeCell ref="F74:F77"/>
    <mergeCell ref="G59:G60"/>
    <mergeCell ref="C63:C65"/>
    <mergeCell ref="C67:C68"/>
    <mergeCell ref="C71:C73"/>
    <mergeCell ref="C74:C77"/>
    <mergeCell ref="G74:G77"/>
    <mergeCell ref="A74:A77"/>
    <mergeCell ref="C59:C60"/>
    <mergeCell ref="D59:D60"/>
    <mergeCell ref="E59:E60"/>
    <mergeCell ref="F59:F60"/>
    <mergeCell ref="A59:A60"/>
    <mergeCell ref="B59:B60"/>
    <mergeCell ref="A63:A65"/>
    <mergeCell ref="A67:A68"/>
    <mergeCell ref="A71:A73"/>
    <mergeCell ref="A58:G58"/>
    <mergeCell ref="H51:L51"/>
    <mergeCell ref="K53:K55"/>
    <mergeCell ref="L53:L55"/>
    <mergeCell ref="G53:G55"/>
    <mergeCell ref="H53:H55"/>
    <mergeCell ref="I53:I55"/>
    <mergeCell ref="J53:J55"/>
    <mergeCell ref="A51:A52"/>
    <mergeCell ref="C53:C55"/>
    <mergeCell ref="D53:D55"/>
    <mergeCell ref="E53:E55"/>
    <mergeCell ref="F53:F55"/>
    <mergeCell ref="A54:A55"/>
    <mergeCell ref="C51:G51"/>
    <mergeCell ref="H28:L28"/>
    <mergeCell ref="H34:L34"/>
    <mergeCell ref="L47:L49"/>
    <mergeCell ref="F50:G50"/>
    <mergeCell ref="F47:F49"/>
    <mergeCell ref="G47:G49"/>
    <mergeCell ref="H47:H49"/>
    <mergeCell ref="I47:I49"/>
    <mergeCell ref="J47:J49"/>
    <mergeCell ref="H45:L45"/>
    <mergeCell ref="K47:K49"/>
    <mergeCell ref="J30:J32"/>
    <mergeCell ref="K30:K32"/>
    <mergeCell ref="I30:I32"/>
    <mergeCell ref="I36:I38"/>
    <mergeCell ref="F33:G33"/>
    <mergeCell ref="L30:L32"/>
    <mergeCell ref="A45:A46"/>
    <mergeCell ref="B45:B46"/>
    <mergeCell ref="C47:C49"/>
    <mergeCell ref="D47:D49"/>
    <mergeCell ref="E47:E49"/>
    <mergeCell ref="A48:A49"/>
    <mergeCell ref="C45:G45"/>
    <mergeCell ref="J36:J38"/>
    <mergeCell ref="K36:K38"/>
    <mergeCell ref="A41:G41"/>
    <mergeCell ref="A44:F44"/>
    <mergeCell ref="A34:A35"/>
    <mergeCell ref="A37:A38"/>
    <mergeCell ref="C36:C38"/>
    <mergeCell ref="D36:D38"/>
    <mergeCell ref="E36:E38"/>
    <mergeCell ref="F36:F38"/>
    <mergeCell ref="H30:H32"/>
    <mergeCell ref="H36:H38"/>
    <mergeCell ref="L36:L38"/>
    <mergeCell ref="G36:G38"/>
    <mergeCell ref="C34:G34"/>
    <mergeCell ref="A27:F27"/>
    <mergeCell ref="C30:C32"/>
    <mergeCell ref="D30:D32"/>
    <mergeCell ref="E30:E32"/>
    <mergeCell ref="F30:F32"/>
    <mergeCell ref="A31:A32"/>
    <mergeCell ref="A28:A29"/>
    <mergeCell ref="B28:B29"/>
    <mergeCell ref="C28:G28"/>
    <mergeCell ref="G30:G32"/>
    <mergeCell ref="A1:I1"/>
    <mergeCell ref="A24:G24"/>
    <mergeCell ref="B2:B3"/>
    <mergeCell ref="C2:C3"/>
    <mergeCell ref="D2:D3"/>
    <mergeCell ref="E2:E3"/>
    <mergeCell ref="F2:H2"/>
    <mergeCell ref="A2:A3"/>
    <mergeCell ref="A6:A8"/>
    <mergeCell ref="A10:A11"/>
    <mergeCell ref="A14:A16"/>
    <mergeCell ref="A17:A20"/>
    <mergeCell ref="I2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FA04-38AB-47A6-8537-2ACCF260AACA}">
  <dimension ref="A1:P40"/>
  <sheetViews>
    <sheetView topLeftCell="A11" workbookViewId="0">
      <selection activeCell="C24" sqref="C24:C26"/>
    </sheetView>
  </sheetViews>
  <sheetFormatPr defaultRowHeight="15"/>
  <cols>
    <col min="1" max="1" width="16.140625" customWidth="1"/>
    <col min="2" max="2" width="16.140625" bestFit="1" customWidth="1"/>
    <col min="3" max="3" width="13.85546875" bestFit="1" customWidth="1"/>
    <col min="4" max="4" width="17" bestFit="1" customWidth="1"/>
    <col min="5" max="5" width="21.42578125" bestFit="1" customWidth="1"/>
    <col min="6" max="6" width="16.5703125" customWidth="1"/>
    <col min="14" max="14" width="25.140625" customWidth="1"/>
  </cols>
  <sheetData>
    <row r="1" spans="1:16">
      <c r="A1" s="355" t="s">
        <v>21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</row>
    <row r="2" spans="1:16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1:16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1"/>
    </row>
    <row r="4" spans="1:16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4"/>
    </row>
    <row r="5" spans="1:16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  <c r="P5" t="s">
        <v>59</v>
      </c>
    </row>
    <row r="6" spans="1:16">
      <c r="A6" s="82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4"/>
    </row>
    <row r="7" spans="1:16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4"/>
    </row>
    <row r="8" spans="1:16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4"/>
    </row>
    <row r="9" spans="1:16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</row>
    <row r="10" spans="1:16">
      <c r="A10" s="82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4"/>
    </row>
    <row r="11" spans="1:16">
      <c r="A11" s="8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4"/>
    </row>
    <row r="12" spans="1:16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4"/>
    </row>
    <row r="13" spans="1:16">
      <c r="A13" s="82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4"/>
    </row>
    <row r="14" spans="1:16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4"/>
    </row>
    <row r="15" spans="1:16">
      <c r="A15" s="82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4"/>
    </row>
    <row r="16" spans="1:16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4"/>
    </row>
    <row r="17" spans="1:14">
      <c r="A17" s="82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4"/>
    </row>
    <row r="18" spans="1:14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/>
    </row>
    <row r="19" spans="1:14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4"/>
    </row>
    <row r="20" spans="1:14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4"/>
    </row>
    <row r="21" spans="1:14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4"/>
    </row>
    <row r="22" spans="1:14">
      <c r="A22" s="85"/>
      <c r="B22" s="86"/>
      <c r="C22" s="86"/>
      <c r="D22" s="86"/>
      <c r="E22" s="86"/>
      <c r="F22" s="226"/>
      <c r="G22" s="86"/>
      <c r="H22" s="86"/>
      <c r="I22" s="86"/>
      <c r="J22" s="86"/>
      <c r="K22" s="86"/>
      <c r="L22" s="86"/>
      <c r="M22" s="86"/>
      <c r="N22" s="87"/>
    </row>
    <row r="23" spans="1:14" ht="31.5">
      <c r="A23" s="77" t="s">
        <v>60</v>
      </c>
      <c r="B23" s="77" t="s">
        <v>61</v>
      </c>
      <c r="C23" s="77" t="s">
        <v>62</v>
      </c>
      <c r="D23" s="77" t="s">
        <v>63</v>
      </c>
      <c r="E23" s="225" t="s">
        <v>64</v>
      </c>
      <c r="F23" s="78" t="s">
        <v>65</v>
      </c>
    </row>
    <row r="24" spans="1:14" ht="15.75">
      <c r="A24" s="240" t="s">
        <v>66</v>
      </c>
      <c r="B24" s="240">
        <v>21</v>
      </c>
      <c r="C24" s="354">
        <f>SUM(B24:B34)</f>
        <v>493</v>
      </c>
      <c r="D24" s="240">
        <v>21</v>
      </c>
      <c r="E24" s="357">
        <f>SUM(D24:D34)</f>
        <v>307</v>
      </c>
      <c r="F24" s="359">
        <f>(E24*100)/C24</f>
        <v>62.271805273833671</v>
      </c>
    </row>
    <row r="25" spans="1:14" ht="15.75">
      <c r="A25" s="240" t="s">
        <v>67</v>
      </c>
      <c r="B25" s="240">
        <v>48</v>
      </c>
      <c r="C25" s="354"/>
      <c r="D25" s="240">
        <v>40</v>
      </c>
      <c r="E25" s="357"/>
      <c r="F25" s="359"/>
    </row>
    <row r="26" spans="1:14" ht="15.75">
      <c r="A26" s="240" t="s">
        <v>68</v>
      </c>
      <c r="B26" s="240">
        <v>58</v>
      </c>
      <c r="C26" s="354"/>
      <c r="D26" s="240">
        <v>48</v>
      </c>
      <c r="E26" s="357"/>
      <c r="F26" s="359"/>
    </row>
    <row r="27" spans="1:14" ht="47.25">
      <c r="A27" s="240" t="s">
        <v>69</v>
      </c>
      <c r="B27" s="240">
        <v>33</v>
      </c>
      <c r="C27" s="76"/>
      <c r="D27" s="240">
        <v>33</v>
      </c>
      <c r="E27" s="227" t="s">
        <v>70</v>
      </c>
      <c r="F27" s="78" t="s">
        <v>71</v>
      </c>
    </row>
    <row r="28" spans="1:14" ht="15.75">
      <c r="A28" s="240" t="s">
        <v>72</v>
      </c>
      <c r="B28" s="240">
        <v>58</v>
      </c>
      <c r="C28" s="76"/>
      <c r="D28" s="240">
        <v>31</v>
      </c>
      <c r="E28" s="358">
        <f>C24-E24</f>
        <v>186</v>
      </c>
      <c r="F28" s="359">
        <f>(E28*100)/C24</f>
        <v>37.728194726166329</v>
      </c>
    </row>
    <row r="29" spans="1:14" ht="15.75">
      <c r="A29" s="240" t="s">
        <v>73</v>
      </c>
      <c r="B29" s="240">
        <v>54</v>
      </c>
      <c r="C29" s="76"/>
      <c r="D29" s="240">
        <v>33</v>
      </c>
      <c r="E29" s="358"/>
      <c r="F29" s="359"/>
    </row>
    <row r="30" spans="1:14" ht="15.75">
      <c r="A30" s="240" t="s">
        <v>74</v>
      </c>
      <c r="B30" s="240">
        <v>59</v>
      </c>
      <c r="C30" s="76"/>
      <c r="D30" s="240">
        <v>57</v>
      </c>
      <c r="E30" s="358"/>
      <c r="F30" s="359"/>
    </row>
    <row r="31" spans="1:14" ht="31.5">
      <c r="A31" s="240" t="s">
        <v>75</v>
      </c>
      <c r="B31" s="240">
        <v>33</v>
      </c>
      <c r="C31" s="76"/>
      <c r="D31" s="240">
        <v>23</v>
      </c>
      <c r="E31" s="78" t="s">
        <v>54</v>
      </c>
    </row>
    <row r="32" spans="1:14" ht="15.75">
      <c r="A32" s="240" t="s">
        <v>76</v>
      </c>
      <c r="B32" s="240">
        <v>34</v>
      </c>
      <c r="C32" s="76"/>
      <c r="D32" s="240">
        <v>4</v>
      </c>
      <c r="E32" s="354">
        <v>1.5</v>
      </c>
    </row>
    <row r="33" spans="1:5" ht="15.75">
      <c r="A33" s="240" t="s">
        <v>77</v>
      </c>
      <c r="B33" s="240">
        <v>68</v>
      </c>
      <c r="C33" s="76"/>
      <c r="D33" s="240">
        <v>9</v>
      </c>
      <c r="E33" s="354"/>
    </row>
    <row r="34" spans="1:5" ht="15.75">
      <c r="A34" s="240" t="s">
        <v>78</v>
      </c>
      <c r="B34" s="240">
        <v>27</v>
      </c>
      <c r="C34" s="76"/>
      <c r="D34" s="240">
        <v>8</v>
      </c>
      <c r="E34" s="354"/>
    </row>
    <row r="35" spans="1:5" ht="15.75">
      <c r="A35" s="74"/>
    </row>
    <row r="36" spans="1:5" ht="15.75">
      <c r="A36" s="74"/>
    </row>
    <row r="37" spans="1:5" ht="15.75">
      <c r="A37" s="74"/>
    </row>
    <row r="38" spans="1:5" ht="15.75">
      <c r="A38" s="74"/>
    </row>
    <row r="39" spans="1:5" ht="15.75">
      <c r="A39" s="74"/>
    </row>
    <row r="40" spans="1:5" ht="15.75">
      <c r="A40" s="74"/>
      <c r="B40" s="74"/>
      <c r="C40" s="74"/>
      <c r="D40" s="74"/>
      <c r="E40" s="74"/>
    </row>
  </sheetData>
  <mergeCells count="7">
    <mergeCell ref="E32:E34"/>
    <mergeCell ref="A1:N2"/>
    <mergeCell ref="C24:C26"/>
    <mergeCell ref="E24:E26"/>
    <mergeCell ref="E28:E30"/>
    <mergeCell ref="F24:F26"/>
    <mergeCell ref="F28:F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713D-0B7C-43C3-934C-3807C22FE427}">
  <dimension ref="A1:J25"/>
  <sheetViews>
    <sheetView workbookViewId="0">
      <selection activeCell="E8" sqref="E8"/>
    </sheetView>
  </sheetViews>
  <sheetFormatPr defaultRowHeight="15"/>
  <cols>
    <col min="1" max="1" width="34.42578125" customWidth="1"/>
    <col min="2" max="3" width="17.7109375" customWidth="1"/>
    <col min="4" max="4" width="20.28515625" customWidth="1"/>
    <col min="5" max="6" width="23.140625" bestFit="1" customWidth="1"/>
    <col min="7" max="7" width="33.28515625" bestFit="1" customWidth="1"/>
    <col min="8" max="8" width="23.140625" bestFit="1" customWidth="1"/>
    <col min="9" max="9" width="15" bestFit="1" customWidth="1"/>
  </cols>
  <sheetData>
    <row r="1" spans="1:10" ht="18.75">
      <c r="A1" s="360" t="s">
        <v>52</v>
      </c>
      <c r="B1" s="360"/>
      <c r="C1" s="360"/>
      <c r="D1" s="360"/>
      <c r="E1" s="360"/>
      <c r="F1" s="360"/>
      <c r="G1" s="360"/>
      <c r="H1" s="360"/>
      <c r="I1" s="360"/>
    </row>
    <row r="2" spans="1:10" ht="47.25">
      <c r="A2" s="20" t="s">
        <v>30</v>
      </c>
      <c r="B2" s="20" t="s">
        <v>31</v>
      </c>
      <c r="C2" s="20" t="s">
        <v>79</v>
      </c>
      <c r="D2" s="20" t="s">
        <v>32</v>
      </c>
      <c r="E2" s="20" t="s">
        <v>80</v>
      </c>
      <c r="F2" s="20" t="s">
        <v>81</v>
      </c>
      <c r="G2" s="20" t="s">
        <v>37</v>
      </c>
      <c r="H2" s="20" t="s">
        <v>38</v>
      </c>
      <c r="I2" s="20" t="s">
        <v>39</v>
      </c>
    </row>
    <row r="3" spans="1:10">
      <c r="A3" s="2" t="s">
        <v>40</v>
      </c>
      <c r="B3" s="150">
        <v>76094.34</v>
      </c>
      <c r="C3" s="152">
        <f>B3-D3</f>
        <v>53266.038</v>
      </c>
      <c r="D3" s="151">
        <f>(B3*30)/100</f>
        <v>22828.301999999996</v>
      </c>
      <c r="E3" s="8">
        <f>(B3*10)/100</f>
        <v>7609.4339999999993</v>
      </c>
      <c r="F3" s="8">
        <f>(B3*20)/100</f>
        <v>15218.867999999999</v>
      </c>
      <c r="G3" s="251">
        <v>150</v>
      </c>
      <c r="H3" s="251">
        <f>B3*G3</f>
        <v>11414151</v>
      </c>
      <c r="I3" s="251">
        <v>7000000</v>
      </c>
    </row>
    <row r="4" spans="1:10" ht="26.25">
      <c r="A4" s="361" t="s">
        <v>82</v>
      </c>
      <c r="B4" s="362"/>
      <c r="C4" s="362"/>
      <c r="D4" s="362"/>
      <c r="E4" s="362"/>
      <c r="F4" s="362"/>
      <c r="G4" s="363"/>
    </row>
    <row r="5" spans="1:10" ht="63">
      <c r="A5" s="163" t="s">
        <v>83</v>
      </c>
      <c r="B5" s="165" t="s">
        <v>84</v>
      </c>
      <c r="C5" s="167" t="s">
        <v>85</v>
      </c>
      <c r="D5" s="366" t="s">
        <v>86</v>
      </c>
      <c r="E5" s="367"/>
      <c r="F5" s="367"/>
      <c r="G5" s="368"/>
    </row>
    <row r="6" spans="1:10" ht="18.75">
      <c r="A6" s="157" t="s">
        <v>66</v>
      </c>
      <c r="B6" s="166">
        <v>276.39760000000001</v>
      </c>
      <c r="C6" s="369">
        <f>SUM(B6:B25)</f>
        <v>35512.599300000002</v>
      </c>
      <c r="D6" s="185" t="s">
        <v>87</v>
      </c>
      <c r="E6" s="186" t="s">
        <v>88</v>
      </c>
      <c r="F6" s="186" t="s">
        <v>89</v>
      </c>
      <c r="G6" s="186" t="s">
        <v>90</v>
      </c>
      <c r="H6" s="187" t="s">
        <v>91</v>
      </c>
    </row>
    <row r="7" spans="1:10" ht="47.25">
      <c r="A7" s="157" t="s">
        <v>67</v>
      </c>
      <c r="B7" s="166">
        <v>630.45389999999998</v>
      </c>
      <c r="C7" s="370"/>
      <c r="D7" s="172" t="s">
        <v>92</v>
      </c>
      <c r="E7" s="174">
        <f>B3</f>
        <v>76094.34</v>
      </c>
      <c r="F7" s="174">
        <f>D3</f>
        <v>22828.301999999996</v>
      </c>
      <c r="G7" s="174">
        <f>F3</f>
        <v>15218.867999999999</v>
      </c>
      <c r="H7" s="183">
        <f>E3</f>
        <v>7609.4339999999993</v>
      </c>
    </row>
    <row r="8" spans="1:10" ht="18.75">
      <c r="A8" s="157" t="s">
        <v>68</v>
      </c>
      <c r="B8" s="166">
        <v>106.0423</v>
      </c>
      <c r="C8" s="171"/>
      <c r="D8" s="371" t="s">
        <v>93</v>
      </c>
      <c r="E8" s="179" t="s">
        <v>88</v>
      </c>
      <c r="F8" s="179" t="s">
        <v>89</v>
      </c>
      <c r="G8" s="179" t="s">
        <v>94</v>
      </c>
      <c r="H8" s="180" t="s">
        <v>91</v>
      </c>
    </row>
    <row r="9" spans="1:10">
      <c r="A9" s="157" t="s">
        <v>69</v>
      </c>
      <c r="B9" s="166">
        <v>140.53739999999999</v>
      </c>
      <c r="C9" s="169"/>
      <c r="D9" s="372"/>
      <c r="E9" s="175">
        <f>E7</f>
        <v>76094.34</v>
      </c>
      <c r="F9" s="177">
        <f>SUM(B6:B25)</f>
        <v>35512.599300000002</v>
      </c>
      <c r="G9" s="182">
        <f>SUM(B23:B24)</f>
        <v>16253.520200000001</v>
      </c>
      <c r="H9" s="182">
        <f>SUM(B6:B22)+B25</f>
        <v>19259.079100000003</v>
      </c>
      <c r="I9">
        <v>1</v>
      </c>
    </row>
    <row r="10" spans="1:10" ht="37.5">
      <c r="A10" s="157" t="s">
        <v>72</v>
      </c>
      <c r="B10" s="166">
        <v>186.47399999999999</v>
      </c>
      <c r="C10" s="170"/>
      <c r="D10" s="173" t="s">
        <v>95</v>
      </c>
      <c r="E10" s="176">
        <f>E9</f>
        <v>76094.34</v>
      </c>
      <c r="F10" s="178">
        <f>F9-F7</f>
        <v>12684.297300000006</v>
      </c>
      <c r="G10" s="181">
        <f>G7-G9</f>
        <v>-1034.6522000000023</v>
      </c>
      <c r="H10" s="181">
        <f>H9-H7</f>
        <v>11649.645100000003</v>
      </c>
    </row>
    <row r="11" spans="1:10">
      <c r="A11" s="157" t="s">
        <v>73</v>
      </c>
      <c r="B11" s="158">
        <v>125.0395</v>
      </c>
      <c r="C11" s="164"/>
    </row>
    <row r="12" spans="1:10" ht="18.75">
      <c r="A12" s="157" t="s">
        <v>74</v>
      </c>
      <c r="B12" s="158">
        <v>144.14420000000001</v>
      </c>
      <c r="C12" s="164"/>
      <c r="D12" s="168"/>
      <c r="E12" s="153"/>
      <c r="F12" s="153"/>
      <c r="G12" s="153"/>
    </row>
    <row r="13" spans="1:10">
      <c r="A13" s="157" t="s">
        <v>75</v>
      </c>
      <c r="B13" s="158">
        <v>122.1161</v>
      </c>
      <c r="C13" s="164"/>
      <c r="D13" s="153"/>
      <c r="E13" s="153"/>
      <c r="F13" s="184"/>
      <c r="G13" s="184"/>
      <c r="H13" s="184"/>
      <c r="I13" s="242"/>
      <c r="J13" s="242"/>
    </row>
    <row r="14" spans="1:10">
      <c r="A14" s="157" t="s">
        <v>76</v>
      </c>
      <c r="B14" s="158">
        <v>163.20689999999999</v>
      </c>
      <c r="C14" s="164"/>
      <c r="D14" s="153"/>
      <c r="E14" s="153"/>
      <c r="F14" s="241"/>
      <c r="G14" s="241"/>
      <c r="H14" s="241"/>
      <c r="I14" s="364"/>
      <c r="J14" s="241"/>
    </row>
    <row r="15" spans="1:10">
      <c r="A15" s="157" t="s">
        <v>77</v>
      </c>
      <c r="B15" s="158">
        <v>895.41160000000002</v>
      </c>
      <c r="C15" s="164"/>
      <c r="D15" s="153"/>
      <c r="E15" s="153"/>
      <c r="F15" s="242"/>
      <c r="G15" s="242"/>
      <c r="H15" s="242"/>
      <c r="I15" s="365"/>
      <c r="J15" s="242"/>
    </row>
    <row r="16" spans="1:10">
      <c r="A16" s="157" t="s">
        <v>78</v>
      </c>
      <c r="B16" s="158">
        <v>898.67370000000005</v>
      </c>
      <c r="C16" s="164"/>
      <c r="D16" s="153"/>
      <c r="E16" s="153"/>
      <c r="F16" s="242"/>
      <c r="G16" s="241"/>
      <c r="H16" s="242"/>
      <c r="I16" s="365"/>
      <c r="J16" s="242"/>
    </row>
    <row r="17" spans="1:7">
      <c r="A17" s="157" t="s">
        <v>96</v>
      </c>
      <c r="B17" s="158">
        <v>43.561700000000002</v>
      </c>
      <c r="C17" s="164"/>
      <c r="D17" s="153"/>
      <c r="E17" s="153"/>
      <c r="F17" s="153"/>
      <c r="G17" s="153"/>
    </row>
    <row r="18" spans="1:7">
      <c r="A18" s="157" t="s">
        <v>97</v>
      </c>
      <c r="B18" s="158">
        <v>1310.4436000000001</v>
      </c>
      <c r="C18" s="164"/>
      <c r="D18" s="153"/>
      <c r="E18" s="153"/>
      <c r="F18" s="153"/>
      <c r="G18" s="153"/>
    </row>
    <row r="19" spans="1:7">
      <c r="A19" s="157" t="s">
        <v>98</v>
      </c>
      <c r="B19" s="158">
        <v>166.34370000000001</v>
      </c>
      <c r="C19" s="164"/>
      <c r="D19" s="153"/>
      <c r="E19" s="153"/>
      <c r="F19" s="153"/>
      <c r="G19" s="153"/>
    </row>
    <row r="20" spans="1:7">
      <c r="A20" s="157" t="s">
        <v>99</v>
      </c>
      <c r="B20" s="158">
        <v>256.20999999999998</v>
      </c>
      <c r="C20" s="164"/>
      <c r="D20" s="153"/>
      <c r="E20" s="153"/>
      <c r="F20" s="153"/>
      <c r="G20" s="153"/>
    </row>
    <row r="21" spans="1:7">
      <c r="A21" s="157" t="s">
        <v>100</v>
      </c>
      <c r="B21" s="158">
        <v>340.17910000000001</v>
      </c>
      <c r="C21" s="164"/>
      <c r="D21" s="153"/>
      <c r="E21" s="153"/>
      <c r="F21" s="153"/>
      <c r="G21" s="153"/>
    </row>
    <row r="22" spans="1:7">
      <c r="A22" s="159" t="s">
        <v>101</v>
      </c>
      <c r="B22" s="160">
        <v>8856.8263000000006</v>
      </c>
      <c r="C22" s="164"/>
      <c r="D22" s="153"/>
      <c r="E22" s="153"/>
      <c r="F22" s="153"/>
      <c r="G22" s="153"/>
    </row>
    <row r="23" spans="1:7">
      <c r="A23" s="155" t="s">
        <v>102</v>
      </c>
      <c r="B23" s="156">
        <v>10109.365100000001</v>
      </c>
      <c r="C23" s="164"/>
      <c r="D23" s="153"/>
      <c r="E23" s="153"/>
      <c r="F23" s="153"/>
      <c r="G23" s="153"/>
    </row>
    <row r="24" spans="1:7">
      <c r="A24" s="155" t="s">
        <v>103</v>
      </c>
      <c r="B24" s="156">
        <v>6144.1550999999999</v>
      </c>
      <c r="C24" s="164"/>
      <c r="D24" s="153"/>
      <c r="E24" s="153"/>
      <c r="F24" s="153"/>
      <c r="G24" s="153"/>
    </row>
    <row r="25" spans="1:7">
      <c r="A25" s="161" t="s">
        <v>104</v>
      </c>
      <c r="B25" s="162">
        <v>4597.0174999999999</v>
      </c>
      <c r="C25" s="164"/>
      <c r="D25" s="153"/>
      <c r="E25" s="153"/>
      <c r="F25" s="153"/>
      <c r="G25" s="154"/>
    </row>
  </sheetData>
  <mergeCells count="6">
    <mergeCell ref="A1:I1"/>
    <mergeCell ref="A4:G4"/>
    <mergeCell ref="I14:I16"/>
    <mergeCell ref="D5:G5"/>
    <mergeCell ref="C6:C7"/>
    <mergeCell ref="D8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B093-BF68-4B6E-B461-E38B8778043D}">
  <dimension ref="A1:O109"/>
  <sheetViews>
    <sheetView topLeftCell="A29" workbookViewId="0">
      <selection activeCell="A50" sqref="A50"/>
    </sheetView>
  </sheetViews>
  <sheetFormatPr defaultRowHeight="15"/>
  <cols>
    <col min="1" max="1" width="31.7109375" bestFit="1" customWidth="1"/>
    <col min="2" max="2" width="36.140625" bestFit="1" customWidth="1"/>
    <col min="3" max="3" width="24.5703125" customWidth="1"/>
    <col min="4" max="4" width="31.7109375" bestFit="1" customWidth="1"/>
    <col min="5" max="5" width="27.28515625" bestFit="1" customWidth="1"/>
    <col min="6" max="6" width="16.28515625" bestFit="1" customWidth="1"/>
    <col min="7" max="7" width="18.5703125" customWidth="1"/>
    <col min="8" max="8" width="16.42578125" bestFit="1" customWidth="1"/>
    <col min="9" max="9" width="16.42578125" customWidth="1"/>
    <col min="10" max="11" width="16.28515625" bestFit="1" customWidth="1"/>
    <col min="12" max="12" width="13.42578125" bestFit="1" customWidth="1"/>
  </cols>
  <sheetData>
    <row r="1" spans="1:14">
      <c r="A1" s="72"/>
      <c r="B1" s="34"/>
      <c r="C1" s="35"/>
      <c r="D1" s="34"/>
      <c r="E1" s="34"/>
      <c r="F1" s="34"/>
      <c r="G1" s="34"/>
      <c r="H1" s="24"/>
      <c r="I1" s="36"/>
      <c r="J1" s="24"/>
      <c r="K1" s="24"/>
      <c r="L1" s="24"/>
      <c r="M1" s="24"/>
      <c r="N1" s="24"/>
    </row>
    <row r="2" spans="1:14" ht="18.75">
      <c r="A2" s="422" t="s">
        <v>105</v>
      </c>
      <c r="B2" s="423"/>
      <c r="C2" s="423"/>
      <c r="D2" s="423"/>
      <c r="E2" s="423"/>
      <c r="F2" s="423"/>
      <c r="G2" s="423"/>
      <c r="H2" s="423"/>
      <c r="I2" s="423"/>
      <c r="J2" s="423"/>
    </row>
    <row r="3" spans="1:14" ht="47.25" customHeight="1">
      <c r="A3" s="56" t="s">
        <v>30</v>
      </c>
      <c r="B3" s="56" t="s">
        <v>31</v>
      </c>
      <c r="C3" s="424" t="s">
        <v>32</v>
      </c>
      <c r="D3" s="425"/>
      <c r="E3" s="56" t="s">
        <v>34</v>
      </c>
      <c r="F3" s="56" t="s">
        <v>35</v>
      </c>
      <c r="G3" s="59" t="s">
        <v>36</v>
      </c>
      <c r="H3" s="62" t="s">
        <v>37</v>
      </c>
      <c r="I3" s="62" t="s">
        <v>38</v>
      </c>
      <c r="J3" s="62" t="s">
        <v>39</v>
      </c>
      <c r="M3" s="1"/>
    </row>
    <row r="4" spans="1:14" ht="30">
      <c r="A4" s="57" t="s">
        <v>40</v>
      </c>
      <c r="B4" s="58">
        <v>59700</v>
      </c>
      <c r="C4" s="426">
        <f>((PORCENTAGEM!B4*30)/100)-B4</f>
        <v>-41790</v>
      </c>
      <c r="D4" s="427"/>
      <c r="E4" s="58">
        <f>($B$4*30)/100</f>
        <v>17910</v>
      </c>
      <c r="F4" s="58">
        <f>($B$4*20)/100</f>
        <v>11940</v>
      </c>
      <c r="G4" s="58">
        <f>($B$4*10)/100</f>
        <v>5970</v>
      </c>
      <c r="H4" s="61">
        <v>150</v>
      </c>
      <c r="I4" s="61">
        <f>B4*H4</f>
        <v>8955000</v>
      </c>
      <c r="J4" s="61">
        <v>7000000</v>
      </c>
      <c r="K4" s="96"/>
      <c r="M4" s="1"/>
    </row>
    <row r="5" spans="1:14" ht="18.75">
      <c r="A5" s="420" t="s">
        <v>105</v>
      </c>
      <c r="B5" s="421"/>
      <c r="C5" s="421"/>
      <c r="D5" s="421"/>
      <c r="E5" s="421"/>
      <c r="F5" s="421"/>
      <c r="G5" s="421"/>
      <c r="H5" s="421"/>
      <c r="I5" s="421"/>
      <c r="J5" s="421"/>
      <c r="K5" s="96"/>
      <c r="M5" s="1"/>
    </row>
    <row r="6" spans="1:14" ht="31.5">
      <c r="A6" s="56" t="s">
        <v>30</v>
      </c>
      <c r="B6" s="56" t="s">
        <v>31</v>
      </c>
      <c r="C6" s="424" t="s">
        <v>33</v>
      </c>
      <c r="D6" s="425"/>
      <c r="E6" s="56" t="s">
        <v>33</v>
      </c>
      <c r="F6" s="56" t="s">
        <v>35</v>
      </c>
      <c r="G6" s="59" t="s">
        <v>36</v>
      </c>
      <c r="H6" s="62" t="s">
        <v>37</v>
      </c>
      <c r="I6" s="62" t="s">
        <v>38</v>
      </c>
      <c r="J6" s="62" t="s">
        <v>39</v>
      </c>
      <c r="K6" s="5"/>
      <c r="M6" s="1"/>
    </row>
    <row r="7" spans="1:14" ht="30">
      <c r="A7" s="57" t="s">
        <v>40</v>
      </c>
      <c r="B7" s="58">
        <v>59700</v>
      </c>
      <c r="C7" s="426">
        <f>((PORCENTAGEM!B7*38)/100)-B7</f>
        <v>-37014</v>
      </c>
      <c r="D7" s="427"/>
      <c r="E7" s="58">
        <f>(B7*38)/100</f>
        <v>22686</v>
      </c>
      <c r="F7" s="58">
        <f>(B7*28)/100</f>
        <v>16716</v>
      </c>
      <c r="G7" s="58">
        <f>(B7*10)/100</f>
        <v>5970</v>
      </c>
      <c r="H7" s="61">
        <v>150</v>
      </c>
      <c r="I7" s="61">
        <f>B7*H7</f>
        <v>8955000</v>
      </c>
      <c r="J7" s="61">
        <v>7000000</v>
      </c>
    </row>
    <row r="8" spans="1:14" s="24" customFormat="1">
      <c r="A8" s="97"/>
      <c r="B8" s="98"/>
      <c r="C8" s="98"/>
      <c r="D8" s="98"/>
      <c r="E8" s="98"/>
      <c r="F8" s="98"/>
      <c r="G8" s="98"/>
      <c r="H8" s="99"/>
      <c r="I8" s="99"/>
      <c r="J8" s="99"/>
    </row>
    <row r="9" spans="1:14" ht="21">
      <c r="A9" s="291" t="s">
        <v>42</v>
      </c>
      <c r="B9" s="292" t="s">
        <v>43</v>
      </c>
      <c r="C9" s="294" t="s">
        <v>42</v>
      </c>
      <c r="D9" s="295"/>
      <c r="E9" s="295"/>
      <c r="F9" s="295"/>
      <c r="G9" s="296"/>
      <c r="H9" s="307" t="s">
        <v>44</v>
      </c>
      <c r="I9" s="308"/>
      <c r="J9" s="308"/>
      <c r="K9" s="308"/>
      <c r="L9" s="295"/>
      <c r="M9" s="24"/>
    </row>
    <row r="10" spans="1:14" ht="75">
      <c r="A10" s="291"/>
      <c r="B10" s="293"/>
      <c r="C10" s="42" t="s">
        <v>45</v>
      </c>
      <c r="D10" s="43" t="s">
        <v>46</v>
      </c>
      <c r="E10" s="43" t="s">
        <v>47</v>
      </c>
      <c r="F10" s="44" t="s">
        <v>48</v>
      </c>
      <c r="G10" s="44" t="s">
        <v>49</v>
      </c>
      <c r="H10" s="51" t="s">
        <v>45</v>
      </c>
      <c r="I10" s="52" t="s">
        <v>46</v>
      </c>
      <c r="J10" s="52" t="s">
        <v>47</v>
      </c>
      <c r="K10" s="53" t="s">
        <v>48</v>
      </c>
      <c r="L10" s="52" t="s">
        <v>49</v>
      </c>
      <c r="M10" s="24"/>
    </row>
    <row r="11" spans="1:14" ht="18.75">
      <c r="A11" s="45">
        <f>'Plannilha central(Envestidor)'!A30</f>
        <v>335</v>
      </c>
      <c r="B11" s="46">
        <f>'Plannilha central(Envestidor)'!B30</f>
        <v>4.4466403162055332</v>
      </c>
      <c r="C11" s="283">
        <f>(SUM(B11:B20)/10)</f>
        <v>6.5568999569271309</v>
      </c>
      <c r="D11" s="285">
        <f>H4*C11</f>
        <v>983.53499353906966</v>
      </c>
      <c r="E11" s="285">
        <f>D11*(A11*125)</f>
        <v>41185527.854448542</v>
      </c>
      <c r="F11" s="288">
        <f>(E11*30)/100</f>
        <v>12355658.356334561</v>
      </c>
      <c r="G11" s="288">
        <f>D11*125</f>
        <v>122941.87419238371</v>
      </c>
      <c r="H11" s="297">
        <f>C11</f>
        <v>6.5568999569271309</v>
      </c>
      <c r="I11" s="323">
        <f>D11</f>
        <v>983.53499353906966</v>
      </c>
      <c r="J11" s="299">
        <f>I11*(A14*130)</f>
        <v>40787196.182065219</v>
      </c>
      <c r="K11" s="304">
        <f>(J11*30)/100</f>
        <v>12236158.854619564</v>
      </c>
      <c r="L11" s="299">
        <f>I11*130</f>
        <v>127859.54916007906</v>
      </c>
      <c r="M11" s="24"/>
    </row>
    <row r="12" spans="1:14">
      <c r="A12" s="291" t="s">
        <v>44</v>
      </c>
      <c r="B12" s="46">
        <f>'Plannilha central(Envestidor)'!B31</f>
        <v>8.695652173913043</v>
      </c>
      <c r="C12" s="283"/>
      <c r="D12" s="286"/>
      <c r="E12" s="286"/>
      <c r="F12" s="289"/>
      <c r="G12" s="289"/>
      <c r="H12" s="297"/>
      <c r="I12" s="297"/>
      <c r="J12" s="300"/>
      <c r="K12" s="305"/>
      <c r="L12" s="300"/>
      <c r="M12" s="24"/>
    </row>
    <row r="13" spans="1:14" ht="24.75" customHeight="1">
      <c r="A13" s="291"/>
      <c r="B13" s="46">
        <f>'Plannilha central(Envestidor)'!B32</f>
        <v>6.3043478260869561</v>
      </c>
      <c r="C13" s="284"/>
      <c r="D13" s="287"/>
      <c r="E13" s="287"/>
      <c r="F13" s="290"/>
      <c r="G13" s="290"/>
      <c r="H13" s="298"/>
      <c r="I13" s="298"/>
      <c r="J13" s="302"/>
      <c r="K13" s="322"/>
      <c r="L13" s="300"/>
      <c r="M13" s="24"/>
    </row>
    <row r="14" spans="1:14" ht="18.75">
      <c r="A14" s="45">
        <f>'Plannilha central(Envestidor)'!A33</f>
        <v>319</v>
      </c>
      <c r="B14" s="46">
        <f>'Plannilha central(Envestidor)'!B33</f>
        <v>11.036290434782609</v>
      </c>
      <c r="C14" s="24"/>
      <c r="D14" s="24"/>
      <c r="E14" s="24"/>
      <c r="F14" s="313"/>
      <c r="G14" s="314"/>
      <c r="H14" s="41"/>
      <c r="I14" s="24"/>
      <c r="J14" s="24"/>
      <c r="K14" s="24"/>
      <c r="L14" s="24"/>
      <c r="M14" s="24"/>
    </row>
    <row r="15" spans="1:14" ht="21">
      <c r="A15" s="291" t="s">
        <v>50</v>
      </c>
      <c r="B15" s="46">
        <f>'Plannilha central(Envestidor)'!B34</f>
        <v>9.69713347826087</v>
      </c>
      <c r="C15" s="307" t="s">
        <v>50</v>
      </c>
      <c r="D15" s="308"/>
      <c r="E15" s="308"/>
      <c r="F15" s="308"/>
      <c r="G15" s="309"/>
      <c r="H15" s="307" t="s">
        <v>51</v>
      </c>
      <c r="I15" s="308"/>
      <c r="J15" s="308"/>
      <c r="K15" s="295"/>
      <c r="L15" s="295"/>
      <c r="M15" s="24"/>
    </row>
    <row r="16" spans="1:14" ht="75">
      <c r="A16" s="291"/>
      <c r="B16" s="46">
        <f>'Plannilha central(Envestidor)'!B35</f>
        <v>6.0869565217391308</v>
      </c>
      <c r="C16" s="42" t="s">
        <v>45</v>
      </c>
      <c r="D16" s="43" t="s">
        <v>46</v>
      </c>
      <c r="E16" s="43" t="s">
        <v>47</v>
      </c>
      <c r="F16" s="43" t="s">
        <v>48</v>
      </c>
      <c r="G16" s="44" t="s">
        <v>49</v>
      </c>
      <c r="H16" s="51" t="s">
        <v>45</v>
      </c>
      <c r="I16" s="52" t="s">
        <v>46</v>
      </c>
      <c r="J16" s="53" t="s">
        <v>47</v>
      </c>
      <c r="K16" s="52" t="s">
        <v>48</v>
      </c>
      <c r="L16" s="52" t="s">
        <v>49</v>
      </c>
      <c r="M16" s="24"/>
    </row>
    <row r="17" spans="1:13" ht="18.75">
      <c r="A17" s="45">
        <f>'Plannilha central(Envestidor)'!A36</f>
        <v>299</v>
      </c>
      <c r="B17" s="46">
        <f>'Plannilha central(Envestidor)'!B36</f>
        <v>3.6141304347826089</v>
      </c>
      <c r="C17" s="297">
        <f>C11</f>
        <v>6.5568999569271309</v>
      </c>
      <c r="D17" s="299">
        <f>D11</f>
        <v>983.53499353906966</v>
      </c>
      <c r="E17" s="299">
        <f>D17*(A17*140)</f>
        <v>41170774.829545453</v>
      </c>
      <c r="F17" s="299">
        <f>(E17*30)/100</f>
        <v>12351232.448863635</v>
      </c>
      <c r="G17" s="304">
        <f>D17*140</f>
        <v>137694.89909546977</v>
      </c>
      <c r="H17" s="283">
        <f>C11</f>
        <v>6.5568999569271309</v>
      </c>
      <c r="I17" s="285">
        <f>I11</f>
        <v>983.53499353906966</v>
      </c>
      <c r="J17" s="288">
        <f>I17*(A20*150)</f>
        <v>39833167.238332324</v>
      </c>
      <c r="K17" s="285">
        <f t="shared" ref="K17" si="0">(J17*30)/100</f>
        <v>11949950.171499697</v>
      </c>
      <c r="L17" s="285">
        <f>I17*150</f>
        <v>147530.24903086046</v>
      </c>
      <c r="M17" s="24"/>
    </row>
    <row r="18" spans="1:13">
      <c r="A18" s="291">
        <v>3</v>
      </c>
      <c r="B18" s="46">
        <f>'Plannilha central(Envestidor)'!B37</f>
        <v>4.3387681159420293</v>
      </c>
      <c r="C18" s="297"/>
      <c r="D18" s="300"/>
      <c r="E18" s="300"/>
      <c r="F18" s="300"/>
      <c r="G18" s="305"/>
      <c r="H18" s="283"/>
      <c r="I18" s="286"/>
      <c r="J18" s="289"/>
      <c r="K18" s="286"/>
      <c r="L18" s="286"/>
      <c r="M18" s="24"/>
    </row>
    <row r="19" spans="1:13" ht="26.25" customHeight="1">
      <c r="A19" s="291"/>
      <c r="B19" s="46">
        <f>'Plannilha central(Envestidor)'!B38</f>
        <v>4.4510869565217392</v>
      </c>
      <c r="C19" s="298"/>
      <c r="D19" s="301"/>
      <c r="E19" s="302"/>
      <c r="F19" s="301"/>
      <c r="G19" s="306"/>
      <c r="H19" s="303"/>
      <c r="I19" s="324"/>
      <c r="J19" s="290"/>
      <c r="K19" s="286"/>
      <c r="L19" s="286"/>
      <c r="M19" s="24"/>
    </row>
    <row r="20" spans="1:13" ht="18.75">
      <c r="A20" s="45">
        <f>'Plannilha central(Envestidor)'!A39</f>
        <v>270</v>
      </c>
      <c r="B20" s="46">
        <f>'Plannilha central(Envestidor)'!B39</f>
        <v>6.8979933110367897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 s="106" customFormat="1">
      <c r="A21" s="443" t="s">
        <v>106</v>
      </c>
      <c r="B21" s="443"/>
      <c r="C21" s="443"/>
      <c r="D21" s="443"/>
      <c r="E21" s="443"/>
      <c r="F21" s="443"/>
      <c r="G21" s="443"/>
      <c r="H21" s="443"/>
      <c r="I21" s="443"/>
      <c r="J21" s="443"/>
      <c r="K21" s="443"/>
      <c r="L21" s="443"/>
      <c r="M21" s="24"/>
    </row>
    <row r="22" spans="1:13" ht="43.5" customHeight="1">
      <c r="A22" s="443"/>
      <c r="B22" s="443"/>
      <c r="C22" s="443"/>
      <c r="D22" s="443"/>
      <c r="E22" s="443"/>
      <c r="F22" s="443"/>
      <c r="G22" s="443"/>
      <c r="H22" s="443"/>
      <c r="I22" s="443"/>
      <c r="J22" s="443"/>
      <c r="K22" s="443"/>
      <c r="L22" s="443"/>
      <c r="M22" s="24"/>
    </row>
    <row r="23" spans="1:13" ht="75">
      <c r="A23" s="107" t="s">
        <v>107</v>
      </c>
      <c r="B23" s="107" t="s">
        <v>108</v>
      </c>
      <c r="C23" s="107" t="s">
        <v>109</v>
      </c>
      <c r="D23" s="109" t="s">
        <v>110</v>
      </c>
      <c r="E23" s="109" t="s">
        <v>111</v>
      </c>
      <c r="F23" s="30" t="s">
        <v>112</v>
      </c>
      <c r="G23" s="114" t="s">
        <v>113</v>
      </c>
      <c r="J23" s="101"/>
      <c r="K23" s="101"/>
      <c r="L23" s="101"/>
    </row>
    <row r="24" spans="1:13">
      <c r="A24" s="446">
        <f>E11</f>
        <v>41185527.854448542</v>
      </c>
      <c r="B24" s="105" t="s">
        <v>114</v>
      </c>
      <c r="C24" s="105">
        <v>30</v>
      </c>
      <c r="D24" s="104">
        <f>($A$24*C24)/100</f>
        <v>12355658.356334561</v>
      </c>
      <c r="E24" s="110">
        <f>D24/24</f>
        <v>514819.09818060673</v>
      </c>
      <c r="F24" s="431">
        <f>SUM(E24:E29)</f>
        <v>1853348.7534501844</v>
      </c>
      <c r="G24" s="435">
        <f>E26+E27</f>
        <v>634943.55442274839</v>
      </c>
    </row>
    <row r="25" spans="1:13">
      <c r="A25" s="446"/>
      <c r="B25" s="105" t="s">
        <v>115</v>
      </c>
      <c r="C25" s="105">
        <v>25</v>
      </c>
      <c r="D25" s="104">
        <f t="shared" ref="D25:D28" si="1">($A$24*C25)/100</f>
        <v>10296381.963612135</v>
      </c>
      <c r="E25" s="243">
        <f>D25/24</f>
        <v>429015.91515050567</v>
      </c>
      <c r="F25" s="432"/>
      <c r="G25" s="436"/>
    </row>
    <row r="26" spans="1:13">
      <c r="A26" s="446"/>
      <c r="B26" s="105" t="s">
        <v>116</v>
      </c>
      <c r="C26" s="105">
        <v>12</v>
      </c>
      <c r="D26" s="104">
        <f t="shared" si="1"/>
        <v>4942263.342533825</v>
      </c>
      <c r="E26" s="243">
        <f>D26/24</f>
        <v>205927.6392722427</v>
      </c>
      <c r="F26" s="432"/>
      <c r="G26" s="436"/>
    </row>
    <row r="27" spans="1:13">
      <c r="A27" s="446"/>
      <c r="B27" s="105" t="s">
        <v>117</v>
      </c>
      <c r="C27" s="105">
        <v>25</v>
      </c>
      <c r="D27" s="104">
        <f t="shared" si="1"/>
        <v>10296381.963612135</v>
      </c>
      <c r="E27" s="243">
        <f>D27/24</f>
        <v>429015.91515050567</v>
      </c>
      <c r="F27" s="432"/>
      <c r="G27" s="436"/>
    </row>
    <row r="28" spans="1:13" ht="15" hidden="1" customHeight="1">
      <c r="A28" s="446"/>
      <c r="B28" s="108" t="s">
        <v>118</v>
      </c>
      <c r="C28" s="108">
        <v>8</v>
      </c>
      <c r="D28" s="104">
        <f t="shared" si="1"/>
        <v>3294842.2283558832</v>
      </c>
      <c r="E28" s="243">
        <f>D28/24</f>
        <v>137285.09284816179</v>
      </c>
      <c r="F28" s="432"/>
      <c r="G28" s="436"/>
    </row>
    <row r="29" spans="1:13">
      <c r="A29" s="447"/>
      <c r="B29" s="111" t="s">
        <v>118</v>
      </c>
      <c r="C29" s="111">
        <v>8</v>
      </c>
      <c r="D29" s="112">
        <f>($A$24*C29)/100</f>
        <v>3294842.2283558832</v>
      </c>
      <c r="E29" s="113">
        <f>D29/24</f>
        <v>137285.09284816179</v>
      </c>
      <c r="F29" s="433"/>
      <c r="G29" s="436"/>
    </row>
    <row r="30" spans="1:13" s="106" customFormat="1" ht="32.25" customHeight="1">
      <c r="A30" s="434" t="s">
        <v>119</v>
      </c>
      <c r="B30" s="434"/>
      <c r="C30" s="434"/>
      <c r="D30" s="434"/>
      <c r="E30" s="434"/>
      <c r="F30" s="434"/>
    </row>
    <row r="31" spans="1:13" ht="15" customHeight="1">
      <c r="A31" s="107" t="s">
        <v>108</v>
      </c>
      <c r="B31" s="107" t="s">
        <v>109</v>
      </c>
      <c r="C31" s="109" t="s">
        <v>120</v>
      </c>
      <c r="D31" s="109" t="s">
        <v>111</v>
      </c>
    </row>
    <row r="32" spans="1:13" ht="15" customHeight="1">
      <c r="A32" s="117" t="s">
        <v>114</v>
      </c>
      <c r="B32" s="117">
        <f>C24</f>
        <v>30</v>
      </c>
      <c r="C32" s="118">
        <f>D24</f>
        <v>12355658.356334561</v>
      </c>
      <c r="D32" s="118">
        <f>E24</f>
        <v>514819.09818060673</v>
      </c>
    </row>
    <row r="33" spans="1:9" ht="15.75">
      <c r="A33" s="107" t="s">
        <v>108</v>
      </c>
      <c r="B33" s="107" t="s">
        <v>109</v>
      </c>
      <c r="C33" s="109" t="s">
        <v>120</v>
      </c>
      <c r="D33" s="109" t="s">
        <v>111</v>
      </c>
    </row>
    <row r="34" spans="1:9">
      <c r="A34" s="117" t="s">
        <v>115</v>
      </c>
      <c r="B34" s="117">
        <f>C25</f>
        <v>25</v>
      </c>
      <c r="C34" s="118">
        <f>D25</f>
        <v>10296381.963612135</v>
      </c>
      <c r="D34" s="118">
        <f>E25</f>
        <v>429015.91515050567</v>
      </c>
    </row>
    <row r="35" spans="1:9" ht="31.5">
      <c r="A35" s="120" t="s">
        <v>108</v>
      </c>
      <c r="B35" s="120" t="s">
        <v>109</v>
      </c>
      <c r="C35" s="121" t="s">
        <v>120</v>
      </c>
      <c r="D35" s="121" t="s">
        <v>121</v>
      </c>
      <c r="E35" s="121" t="s">
        <v>122</v>
      </c>
      <c r="F35" s="249" t="s">
        <v>123</v>
      </c>
      <c r="G35" s="249" t="s">
        <v>124</v>
      </c>
    </row>
    <row r="36" spans="1:9">
      <c r="A36" s="116" t="s">
        <v>116</v>
      </c>
      <c r="B36" s="116">
        <f>C26</f>
        <v>12</v>
      </c>
      <c r="C36" s="119">
        <f>D26</f>
        <v>4942263.342533825</v>
      </c>
      <c r="D36" s="119">
        <f>CONTROLE!E21</f>
        <v>92320</v>
      </c>
      <c r="E36" s="119">
        <f>D36*18</f>
        <v>1661760</v>
      </c>
      <c r="F36" s="119">
        <f>G36/6</f>
        <v>546750.55708897079</v>
      </c>
      <c r="G36" s="119">
        <f>D26-E36</f>
        <v>3280503.342533825</v>
      </c>
    </row>
    <row r="37" spans="1:9" ht="30" customHeight="1">
      <c r="A37" s="122" t="s">
        <v>108</v>
      </c>
      <c r="B37" s="122" t="s">
        <v>109</v>
      </c>
      <c r="C37" s="123" t="s">
        <v>120</v>
      </c>
      <c r="D37" s="123" t="s">
        <v>125</v>
      </c>
      <c r="E37" s="123" t="s">
        <v>126</v>
      </c>
      <c r="F37" s="250" t="s">
        <v>127</v>
      </c>
      <c r="G37" s="250" t="s">
        <v>128</v>
      </c>
    </row>
    <row r="38" spans="1:9">
      <c r="A38" s="116" t="s">
        <v>117</v>
      </c>
      <c r="B38" s="116">
        <f>C27</f>
        <v>25</v>
      </c>
      <c r="C38" s="119">
        <f>D27</f>
        <v>10296381.963612135</v>
      </c>
      <c r="D38" s="119">
        <f>E27/2</f>
        <v>214507.95757525283</v>
      </c>
      <c r="E38" s="119">
        <f>D38*3</f>
        <v>643523.87272575847</v>
      </c>
      <c r="F38" s="119">
        <f>G38/21</f>
        <v>459659.90908982744</v>
      </c>
      <c r="G38" s="119">
        <f>C38-E38</f>
        <v>9652858.0908863768</v>
      </c>
    </row>
    <row r="39" spans="1:9" ht="15.75">
      <c r="A39" s="122" t="s">
        <v>108</v>
      </c>
      <c r="B39" s="122" t="s">
        <v>109</v>
      </c>
      <c r="C39" s="123" t="s">
        <v>120</v>
      </c>
      <c r="D39" s="123" t="s">
        <v>129</v>
      </c>
    </row>
    <row r="40" spans="1:9">
      <c r="A40" s="117" t="s">
        <v>118</v>
      </c>
      <c r="B40" s="117">
        <v>8</v>
      </c>
      <c r="C40" s="124">
        <f>D29</f>
        <v>3294842.2283558832</v>
      </c>
      <c r="D40" s="124">
        <f>C40/16</f>
        <v>205927.6392722427</v>
      </c>
    </row>
    <row r="41" spans="1:9" ht="36.75" customHeight="1">
      <c r="A41" s="437" t="s">
        <v>130</v>
      </c>
      <c r="B41" s="438"/>
      <c r="C41" s="438"/>
      <c r="D41" s="438"/>
      <c r="E41" s="439"/>
      <c r="F41" s="439"/>
      <c r="G41" s="439"/>
    </row>
    <row r="42" spans="1:9" ht="30">
      <c r="A42" s="43" t="s">
        <v>113</v>
      </c>
      <c r="B42" s="428" t="s">
        <v>113</v>
      </c>
      <c r="C42" s="429"/>
      <c r="D42" s="429"/>
      <c r="E42" s="430"/>
      <c r="H42" s="103"/>
    </row>
    <row r="43" spans="1:9" ht="45">
      <c r="A43" s="412">
        <f>G24</f>
        <v>634943.55442274839</v>
      </c>
      <c r="B43" s="125" t="s">
        <v>131</v>
      </c>
      <c r="C43" s="126" t="s">
        <v>132</v>
      </c>
      <c r="D43" s="127" t="s">
        <v>133</v>
      </c>
      <c r="E43" s="128" t="s">
        <v>134</v>
      </c>
      <c r="F43" s="128" t="s">
        <v>135</v>
      </c>
      <c r="G43" s="128" t="s">
        <v>136</v>
      </c>
      <c r="H43" s="103"/>
      <c r="I43" s="103"/>
    </row>
    <row r="44" spans="1:9">
      <c r="A44" s="413"/>
      <c r="B44" s="452">
        <f>(D36+D38)</f>
        <v>306827.95757525286</v>
      </c>
      <c r="C44" s="455">
        <f>B44*3</f>
        <v>920483.87272575859</v>
      </c>
      <c r="D44" s="455">
        <f>F38+D36</f>
        <v>551979.90908982744</v>
      </c>
      <c r="E44" s="409">
        <f>D44*15</f>
        <v>8279698.6363474112</v>
      </c>
      <c r="F44" s="409">
        <f>F38+F36</f>
        <v>1006410.4661787982</v>
      </c>
      <c r="G44" s="409">
        <f>F44*6</f>
        <v>6038462.7970727896</v>
      </c>
    </row>
    <row r="45" spans="1:9">
      <c r="A45" s="413"/>
      <c r="B45" s="453"/>
      <c r="C45" s="410"/>
      <c r="D45" s="410"/>
      <c r="E45" s="410"/>
      <c r="F45" s="410"/>
      <c r="G45" s="410"/>
    </row>
    <row r="46" spans="1:9" ht="15" customHeight="1">
      <c r="A46" s="413"/>
      <c r="B46" s="453"/>
      <c r="C46" s="410"/>
      <c r="D46" s="410"/>
      <c r="E46" s="410"/>
      <c r="F46" s="410"/>
      <c r="G46" s="410"/>
    </row>
    <row r="47" spans="1:9" ht="15" customHeight="1">
      <c r="A47" s="413"/>
      <c r="B47" s="453"/>
      <c r="C47" s="410"/>
      <c r="D47" s="410"/>
      <c r="E47" s="410"/>
      <c r="F47" s="410"/>
      <c r="G47" s="410"/>
    </row>
    <row r="48" spans="1:9" ht="63" customHeight="1">
      <c r="A48" s="413"/>
      <c r="B48" s="454"/>
      <c r="C48" s="411"/>
      <c r="D48" s="411"/>
      <c r="E48" s="411"/>
      <c r="F48" s="411"/>
      <c r="G48" s="411"/>
    </row>
    <row r="49" spans="1:14">
      <c r="A49" s="72"/>
      <c r="B49" s="34"/>
      <c r="C49" s="35"/>
      <c r="D49" s="34"/>
      <c r="E49" s="34"/>
      <c r="F49" s="34"/>
      <c r="G49" s="34"/>
      <c r="H49" s="24"/>
      <c r="I49" s="36"/>
      <c r="J49" s="24"/>
      <c r="K49" s="24"/>
      <c r="L49" s="24"/>
      <c r="M49" s="24"/>
      <c r="N49" s="24"/>
    </row>
    <row r="50" spans="1:14" ht="18.75">
      <c r="A50" s="448" t="s">
        <v>105</v>
      </c>
      <c r="B50" s="449"/>
      <c r="C50" s="449"/>
      <c r="D50" s="449"/>
      <c r="E50" s="449"/>
      <c r="F50" s="449"/>
      <c r="G50" s="449"/>
      <c r="H50" s="449"/>
      <c r="I50" s="449"/>
      <c r="J50" s="449"/>
      <c r="K50" s="188"/>
      <c r="L50" s="188"/>
    </row>
    <row r="51" spans="1:14" ht="31.5">
      <c r="A51" s="189" t="s">
        <v>30</v>
      </c>
      <c r="B51" s="189" t="s">
        <v>31</v>
      </c>
      <c r="C51" s="444" t="s">
        <v>32</v>
      </c>
      <c r="D51" s="445"/>
      <c r="E51" s="189" t="s">
        <v>34</v>
      </c>
      <c r="F51" s="189" t="s">
        <v>35</v>
      </c>
      <c r="G51" s="190" t="s">
        <v>36</v>
      </c>
      <c r="H51" s="191" t="s">
        <v>37</v>
      </c>
      <c r="I51" s="191" t="s">
        <v>38</v>
      </c>
      <c r="J51" s="191" t="s">
        <v>39</v>
      </c>
      <c r="K51" s="188"/>
      <c r="L51" s="188"/>
    </row>
    <row r="52" spans="1:14" ht="30">
      <c r="A52" s="192" t="s">
        <v>40</v>
      </c>
      <c r="B52" s="193">
        <v>76094.34</v>
      </c>
      <c r="C52" s="414">
        <f>(B52*70)/100</f>
        <v>53266.038</v>
      </c>
      <c r="D52" s="415"/>
      <c r="E52" s="193">
        <f>(B52*30)/100</f>
        <v>22828.301999999996</v>
      </c>
      <c r="F52" s="193">
        <f>($B$4*20)/100</f>
        <v>11940</v>
      </c>
      <c r="G52" s="193">
        <f>($B$4*10)/100</f>
        <v>5970</v>
      </c>
      <c r="H52" s="194">
        <v>150</v>
      </c>
      <c r="I52" s="194">
        <f>B52*H52</f>
        <v>11414151</v>
      </c>
      <c r="J52" s="194">
        <v>7000000</v>
      </c>
      <c r="K52" s="195"/>
      <c r="L52" s="188"/>
    </row>
    <row r="53" spans="1:14" ht="18.75">
      <c r="A53" s="450" t="s">
        <v>105</v>
      </c>
      <c r="B53" s="451"/>
      <c r="C53" s="451"/>
      <c r="D53" s="451"/>
      <c r="E53" s="451"/>
      <c r="F53" s="451"/>
      <c r="G53" s="451"/>
      <c r="H53" s="451"/>
      <c r="I53" s="451"/>
      <c r="J53" s="451"/>
      <c r="K53" s="195"/>
      <c r="L53" s="188"/>
    </row>
    <row r="54" spans="1:14" ht="31.5">
      <c r="A54" s="189" t="s">
        <v>30</v>
      </c>
      <c r="B54" s="189" t="s">
        <v>31</v>
      </c>
      <c r="C54" s="444" t="s">
        <v>33</v>
      </c>
      <c r="D54" s="445"/>
      <c r="E54" s="189" t="s">
        <v>33</v>
      </c>
      <c r="F54" s="189" t="s">
        <v>35</v>
      </c>
      <c r="G54" s="190" t="s">
        <v>36</v>
      </c>
      <c r="H54" s="191" t="s">
        <v>37</v>
      </c>
      <c r="I54" s="191" t="s">
        <v>38</v>
      </c>
      <c r="J54" s="191" t="s">
        <v>39</v>
      </c>
      <c r="K54" s="196"/>
      <c r="L54" s="188"/>
    </row>
    <row r="55" spans="1:14" ht="30">
      <c r="A55" s="192" t="s">
        <v>40</v>
      </c>
      <c r="B55" s="193">
        <f>B52</f>
        <v>76094.34</v>
      </c>
      <c r="C55" s="414">
        <f>(B55*62)/100</f>
        <v>47178.4908</v>
      </c>
      <c r="D55" s="415"/>
      <c r="E55" s="193">
        <f>(B55*38)/100</f>
        <v>28915.849200000001</v>
      </c>
      <c r="F55" s="193">
        <f>(B55*28)/100</f>
        <v>21306.415199999999</v>
      </c>
      <c r="G55" s="193">
        <f>(B55*10)/100</f>
        <v>7609.4339999999993</v>
      </c>
      <c r="H55" s="194">
        <v>150</v>
      </c>
      <c r="I55" s="194">
        <f>B55*H55</f>
        <v>11414151</v>
      </c>
      <c r="J55" s="194">
        <v>7000000</v>
      </c>
      <c r="K55" s="188"/>
      <c r="L55" s="188"/>
    </row>
    <row r="56" spans="1:14">
      <c r="A56" s="192"/>
      <c r="B56" s="197"/>
      <c r="C56" s="197"/>
      <c r="D56" s="197"/>
      <c r="E56" s="197"/>
      <c r="F56" s="197"/>
      <c r="G56" s="197"/>
      <c r="H56" s="198"/>
      <c r="I56" s="198"/>
      <c r="J56" s="198"/>
      <c r="K56" s="188"/>
      <c r="L56" s="188"/>
    </row>
    <row r="57" spans="1:14" ht="15" customHeight="1">
      <c r="A57" s="386" t="s">
        <v>42</v>
      </c>
      <c r="B57" s="416" t="s">
        <v>43</v>
      </c>
      <c r="C57" s="418" t="s">
        <v>42</v>
      </c>
      <c r="D57" s="405"/>
      <c r="E57" s="405"/>
      <c r="F57" s="405"/>
      <c r="G57" s="419"/>
      <c r="H57" s="403" t="s">
        <v>44</v>
      </c>
      <c r="I57" s="404"/>
      <c r="J57" s="404"/>
      <c r="K57" s="404"/>
      <c r="L57" s="405"/>
    </row>
    <row r="58" spans="1:14" ht="53.25" customHeight="1">
      <c r="A58" s="386"/>
      <c r="B58" s="417"/>
      <c r="C58" s="199" t="s">
        <v>45</v>
      </c>
      <c r="D58" s="200" t="s">
        <v>46</v>
      </c>
      <c r="E58" s="200" t="s">
        <v>47</v>
      </c>
      <c r="F58" s="201" t="s">
        <v>48</v>
      </c>
      <c r="G58" s="201" t="s">
        <v>49</v>
      </c>
      <c r="H58" s="199" t="s">
        <v>45</v>
      </c>
      <c r="I58" s="200" t="s">
        <v>46</v>
      </c>
      <c r="J58" s="200" t="s">
        <v>47</v>
      </c>
      <c r="K58" s="201" t="s">
        <v>48</v>
      </c>
      <c r="L58" s="200" t="s">
        <v>49</v>
      </c>
    </row>
    <row r="59" spans="1:14" ht="18.75">
      <c r="A59" s="202">
        <f>'Plannilha central(Envestidor)'!A78</f>
        <v>10</v>
      </c>
      <c r="B59" s="203">
        <f>B11</f>
        <v>4.4466403162055332</v>
      </c>
      <c r="C59" s="395">
        <f>(SUM(B59:B68)/10)</f>
        <v>6.5568999569271309</v>
      </c>
      <c r="D59" s="397">
        <f>H52*C59</f>
        <v>983.53499353906966</v>
      </c>
      <c r="E59" s="397">
        <f>D59*(A59*125)</f>
        <v>1229418.741923837</v>
      </c>
      <c r="F59" s="399">
        <f>(E59*30)/100</f>
        <v>368825.62257715105</v>
      </c>
      <c r="G59" s="399">
        <f>D59*125</f>
        <v>122941.87419238371</v>
      </c>
      <c r="H59" s="395">
        <f>C59</f>
        <v>6.5568999569271309</v>
      </c>
      <c r="I59" s="407">
        <f>D59</f>
        <v>983.53499353906966</v>
      </c>
      <c r="J59" s="397">
        <f>I59*(A62*130)</f>
        <v>0</v>
      </c>
      <c r="K59" s="399">
        <f>(J59*30)/100</f>
        <v>0</v>
      </c>
      <c r="L59" s="397">
        <f>I59*130</f>
        <v>127859.54916007906</v>
      </c>
    </row>
    <row r="60" spans="1:14" ht="21" customHeight="1">
      <c r="A60" s="386" t="s">
        <v>44</v>
      </c>
      <c r="B60" s="203">
        <f t="shared" ref="B60:B68" si="2">B12</f>
        <v>8.695652173913043</v>
      </c>
      <c r="C60" s="395"/>
      <c r="D60" s="376"/>
      <c r="E60" s="376"/>
      <c r="F60" s="400"/>
      <c r="G60" s="400"/>
      <c r="H60" s="395"/>
      <c r="I60" s="395"/>
      <c r="J60" s="376"/>
      <c r="K60" s="400"/>
      <c r="L60" s="376"/>
    </row>
    <row r="61" spans="1:14">
      <c r="A61" s="386"/>
      <c r="B61" s="203">
        <f t="shared" si="2"/>
        <v>6.3043478260869561</v>
      </c>
      <c r="C61" s="406"/>
      <c r="D61" s="402"/>
      <c r="E61" s="402"/>
      <c r="F61" s="401"/>
      <c r="G61" s="401"/>
      <c r="H61" s="396"/>
      <c r="I61" s="396"/>
      <c r="J61" s="402"/>
      <c r="K61" s="408"/>
      <c r="L61" s="376"/>
    </row>
    <row r="62" spans="1:14" ht="18.75">
      <c r="A62" s="202">
        <f>'Plannilha central(Envestidor)'!A81</f>
        <v>0</v>
      </c>
      <c r="B62" s="203">
        <f t="shared" si="2"/>
        <v>11.036290434782609</v>
      </c>
      <c r="C62" s="188"/>
      <c r="D62" s="188"/>
      <c r="E62" s="188"/>
      <c r="F62" s="440"/>
      <c r="G62" s="441"/>
      <c r="H62" s="204"/>
      <c r="I62" s="188"/>
      <c r="J62" s="188"/>
      <c r="K62" s="188"/>
      <c r="L62" s="188"/>
    </row>
    <row r="63" spans="1:14" ht="15" customHeight="1">
      <c r="A63" s="386" t="s">
        <v>50</v>
      </c>
      <c r="B63" s="203">
        <f t="shared" si="2"/>
        <v>9.69713347826087</v>
      </c>
      <c r="C63" s="403" t="s">
        <v>50</v>
      </c>
      <c r="D63" s="404"/>
      <c r="E63" s="404"/>
      <c r="F63" s="404"/>
      <c r="G63" s="442"/>
      <c r="H63" s="403" t="s">
        <v>51</v>
      </c>
      <c r="I63" s="404"/>
      <c r="J63" s="404"/>
      <c r="K63" s="405"/>
      <c r="L63" s="405"/>
    </row>
    <row r="64" spans="1:14" ht="45">
      <c r="A64" s="386"/>
      <c r="B64" s="203">
        <f t="shared" si="2"/>
        <v>6.0869565217391308</v>
      </c>
      <c r="C64" s="199" t="s">
        <v>45</v>
      </c>
      <c r="D64" s="200" t="s">
        <v>46</v>
      </c>
      <c r="E64" s="200" t="s">
        <v>47</v>
      </c>
      <c r="F64" s="200" t="s">
        <v>48</v>
      </c>
      <c r="G64" s="201" t="s">
        <v>49</v>
      </c>
      <c r="H64" s="199" t="s">
        <v>45</v>
      </c>
      <c r="I64" s="200" t="s">
        <v>46</v>
      </c>
      <c r="J64" s="201" t="s">
        <v>47</v>
      </c>
      <c r="K64" s="200" t="s">
        <v>48</v>
      </c>
      <c r="L64" s="200" t="s">
        <v>49</v>
      </c>
    </row>
    <row r="65" spans="1:14" ht="18.75">
      <c r="A65" s="202">
        <f>'Plannilha central(Envestidor)'!A84</f>
        <v>0</v>
      </c>
      <c r="B65" s="203">
        <f t="shared" si="2"/>
        <v>3.6141304347826089</v>
      </c>
      <c r="C65" s="395">
        <f>C59</f>
        <v>6.5568999569271309</v>
      </c>
      <c r="D65" s="397">
        <f>D59</f>
        <v>983.53499353906966</v>
      </c>
      <c r="E65" s="397">
        <f>D65*(A65*140)</f>
        <v>0</v>
      </c>
      <c r="F65" s="397">
        <f>(E65*30)/100</f>
        <v>0</v>
      </c>
      <c r="G65" s="399">
        <f>D65*140</f>
        <v>137694.89909546977</v>
      </c>
      <c r="H65" s="395">
        <f>C59</f>
        <v>6.5568999569271309</v>
      </c>
      <c r="I65" s="397">
        <f>I59</f>
        <v>983.53499353906966</v>
      </c>
      <c r="J65" s="399">
        <f>I65*(A68*150)</f>
        <v>0</v>
      </c>
      <c r="K65" s="397">
        <f t="shared" ref="K65" si="3">(J65*30)/100</f>
        <v>0</v>
      </c>
      <c r="L65" s="397">
        <f>I65*150</f>
        <v>147530.24903086046</v>
      </c>
    </row>
    <row r="66" spans="1:14">
      <c r="A66" s="386">
        <v>3</v>
      </c>
      <c r="B66" s="203">
        <f t="shared" si="2"/>
        <v>4.3387681159420293</v>
      </c>
      <c r="C66" s="395"/>
      <c r="D66" s="376"/>
      <c r="E66" s="376"/>
      <c r="F66" s="376"/>
      <c r="G66" s="400"/>
      <c r="H66" s="395"/>
      <c r="I66" s="376"/>
      <c r="J66" s="400"/>
      <c r="K66" s="376"/>
      <c r="L66" s="376"/>
      <c r="M66" s="24"/>
      <c r="N66" s="24"/>
    </row>
    <row r="67" spans="1:14" ht="15" customHeight="1">
      <c r="A67" s="386"/>
      <c r="B67" s="203">
        <f t="shared" si="2"/>
        <v>4.4510869565217392</v>
      </c>
      <c r="C67" s="396"/>
      <c r="D67" s="398"/>
      <c r="E67" s="402"/>
      <c r="F67" s="398"/>
      <c r="G67" s="401"/>
      <c r="H67" s="396"/>
      <c r="I67" s="398"/>
      <c r="J67" s="401"/>
      <c r="K67" s="376"/>
      <c r="L67" s="376"/>
    </row>
    <row r="68" spans="1:14" ht="15" customHeight="1">
      <c r="A68" s="202">
        <f>'Plannilha central(Envestidor)'!A87</f>
        <v>0</v>
      </c>
      <c r="B68" s="203">
        <f t="shared" si="2"/>
        <v>6.8979933110367897</v>
      </c>
      <c r="C68" s="188"/>
      <c r="D68" s="188"/>
      <c r="E68" s="188"/>
      <c r="F68" s="188"/>
      <c r="G68" s="188"/>
      <c r="H68" s="188"/>
      <c r="I68" s="188"/>
      <c r="J68" s="188"/>
      <c r="K68" s="188"/>
      <c r="L68" s="188"/>
    </row>
    <row r="69" spans="1:14">
      <c r="A69" s="387" t="s">
        <v>106</v>
      </c>
      <c r="B69" s="387"/>
      <c r="C69" s="387"/>
      <c r="D69" s="387"/>
      <c r="E69" s="387"/>
      <c r="F69" s="387"/>
      <c r="G69" s="387"/>
      <c r="H69" s="387"/>
      <c r="I69" s="387"/>
      <c r="J69" s="387"/>
      <c r="K69" s="387"/>
      <c r="L69" s="387"/>
    </row>
    <row r="70" spans="1:14">
      <c r="A70" s="387"/>
      <c r="B70" s="387"/>
      <c r="C70" s="387"/>
      <c r="D70" s="387"/>
      <c r="E70" s="387"/>
      <c r="F70" s="387"/>
      <c r="G70" s="387"/>
      <c r="H70" s="387"/>
      <c r="I70" s="387"/>
      <c r="J70" s="387"/>
      <c r="K70" s="387"/>
      <c r="L70" s="387"/>
    </row>
    <row r="71" spans="1:14" ht="75">
      <c r="A71" s="205" t="s">
        <v>107</v>
      </c>
      <c r="B71" s="205" t="s">
        <v>108</v>
      </c>
      <c r="C71" s="205" t="s">
        <v>109</v>
      </c>
      <c r="D71" s="206" t="s">
        <v>110</v>
      </c>
      <c r="E71" s="206" t="s">
        <v>111</v>
      </c>
      <c r="F71" s="207" t="s">
        <v>112</v>
      </c>
      <c r="G71" s="208" t="s">
        <v>113</v>
      </c>
      <c r="H71" s="188"/>
      <c r="I71" s="188"/>
      <c r="J71" s="209"/>
      <c r="K71" s="209"/>
      <c r="L71" s="209"/>
    </row>
    <row r="72" spans="1:14">
      <c r="A72" s="388">
        <f>E59</f>
        <v>1229418.741923837</v>
      </c>
      <c r="B72" s="248" t="s">
        <v>114</v>
      </c>
      <c r="C72" s="248">
        <v>30</v>
      </c>
      <c r="D72" s="247">
        <f>($A$24*C72)/100</f>
        <v>12355658.356334561</v>
      </c>
      <c r="E72" s="210">
        <f>D72/24</f>
        <v>514819.09818060673</v>
      </c>
      <c r="F72" s="390">
        <f>SUM(E72:E77)</f>
        <v>1853348.7534501844</v>
      </c>
      <c r="G72" s="393">
        <f>E74+E75</f>
        <v>634943.55442274839</v>
      </c>
      <c r="H72" s="188"/>
      <c r="I72" s="188"/>
      <c r="J72" s="188"/>
      <c r="K72" s="188"/>
      <c r="L72" s="188"/>
    </row>
    <row r="73" spans="1:14">
      <c r="A73" s="388"/>
      <c r="B73" s="248" t="s">
        <v>115</v>
      </c>
      <c r="C73" s="248">
        <v>25</v>
      </c>
      <c r="D73" s="247">
        <f t="shared" ref="D73:D76" si="4">($A$24*C73)/100</f>
        <v>10296381.963612135</v>
      </c>
      <c r="E73" s="246">
        <f>D73/24</f>
        <v>429015.91515050567</v>
      </c>
      <c r="F73" s="391"/>
      <c r="G73" s="394"/>
      <c r="H73" s="188"/>
      <c r="I73" s="188"/>
      <c r="J73" s="188"/>
      <c r="K73" s="188"/>
      <c r="L73" s="188"/>
    </row>
    <row r="74" spans="1:14">
      <c r="A74" s="388"/>
      <c r="B74" s="248" t="s">
        <v>116</v>
      </c>
      <c r="C74" s="248">
        <v>12</v>
      </c>
      <c r="D74" s="247">
        <f t="shared" si="4"/>
        <v>4942263.342533825</v>
      </c>
      <c r="E74" s="246">
        <f>D74/24</f>
        <v>205927.6392722427</v>
      </c>
      <c r="F74" s="391"/>
      <c r="G74" s="394"/>
      <c r="H74" s="188"/>
      <c r="I74" s="188"/>
      <c r="J74" s="188"/>
      <c r="K74" s="188"/>
      <c r="L74" s="188"/>
    </row>
    <row r="75" spans="1:14">
      <c r="A75" s="388"/>
      <c r="B75" s="248" t="s">
        <v>117</v>
      </c>
      <c r="C75" s="248">
        <v>25</v>
      </c>
      <c r="D75" s="247">
        <f t="shared" si="4"/>
        <v>10296381.963612135</v>
      </c>
      <c r="E75" s="246">
        <f>D75/24</f>
        <v>429015.91515050567</v>
      </c>
      <c r="F75" s="391"/>
      <c r="G75" s="394"/>
      <c r="H75" s="188"/>
      <c r="I75" s="188"/>
      <c r="J75" s="188"/>
      <c r="K75" s="188"/>
      <c r="L75" s="188"/>
    </row>
    <row r="76" spans="1:14">
      <c r="A76" s="388"/>
      <c r="B76" s="211" t="s">
        <v>118</v>
      </c>
      <c r="C76" s="211">
        <v>8</v>
      </c>
      <c r="D76" s="247">
        <f t="shared" si="4"/>
        <v>3294842.2283558832</v>
      </c>
      <c r="E76" s="246">
        <f>D76/24</f>
        <v>137285.09284816179</v>
      </c>
      <c r="F76" s="391"/>
      <c r="G76" s="394"/>
      <c r="H76" s="188"/>
      <c r="I76" s="188"/>
      <c r="J76" s="188"/>
      <c r="K76" s="188"/>
      <c r="L76" s="188"/>
    </row>
    <row r="77" spans="1:14">
      <c r="A77" s="389"/>
      <c r="B77" s="212" t="s">
        <v>118</v>
      </c>
      <c r="C77" s="212">
        <v>8</v>
      </c>
      <c r="D77" s="213">
        <f>($A$24*C77)/100</f>
        <v>3294842.2283558832</v>
      </c>
      <c r="E77" s="214">
        <f>D77/24</f>
        <v>137285.09284816179</v>
      </c>
      <c r="F77" s="392"/>
      <c r="G77" s="394"/>
      <c r="H77" s="188"/>
      <c r="I77" s="188"/>
      <c r="J77" s="188"/>
      <c r="K77" s="188"/>
      <c r="L77" s="188"/>
    </row>
    <row r="78" spans="1:14" ht="21">
      <c r="A78" s="373" t="s">
        <v>119</v>
      </c>
      <c r="B78" s="373"/>
      <c r="C78" s="373"/>
      <c r="D78" s="373"/>
      <c r="E78" s="373"/>
      <c r="F78" s="373"/>
      <c r="G78" s="188"/>
      <c r="H78" s="188"/>
      <c r="I78" s="188"/>
      <c r="J78" s="188"/>
      <c r="K78" s="188"/>
      <c r="L78" s="188"/>
    </row>
    <row r="79" spans="1:14" ht="15.75">
      <c r="A79" s="205" t="s">
        <v>108</v>
      </c>
      <c r="B79" s="205" t="s">
        <v>109</v>
      </c>
      <c r="C79" s="206" t="s">
        <v>120</v>
      </c>
      <c r="D79" s="206" t="s">
        <v>111</v>
      </c>
      <c r="E79" s="188"/>
      <c r="F79" s="188"/>
      <c r="G79" s="188"/>
      <c r="H79" s="188"/>
      <c r="I79" s="188"/>
      <c r="J79" s="188"/>
      <c r="K79" s="188"/>
      <c r="L79" s="188"/>
    </row>
    <row r="80" spans="1:14">
      <c r="A80" s="248" t="s">
        <v>114</v>
      </c>
      <c r="B80" s="248">
        <f>C72</f>
        <v>30</v>
      </c>
      <c r="C80" s="215">
        <f>D72</f>
        <v>12355658.356334561</v>
      </c>
      <c r="D80" s="215">
        <f>E72</f>
        <v>514819.09818060673</v>
      </c>
      <c r="E80" s="188"/>
      <c r="F80" s="188"/>
      <c r="G80" s="188"/>
      <c r="H80" s="188"/>
      <c r="I80" s="188"/>
      <c r="J80" s="188"/>
      <c r="K80" s="188"/>
      <c r="L80" s="188"/>
    </row>
    <row r="81" spans="1:12" ht="15.75">
      <c r="A81" s="205" t="s">
        <v>108</v>
      </c>
      <c r="B81" s="205" t="s">
        <v>109</v>
      </c>
      <c r="C81" s="206" t="s">
        <v>120</v>
      </c>
      <c r="D81" s="206" t="s">
        <v>111</v>
      </c>
      <c r="E81" s="188"/>
      <c r="F81" s="188"/>
      <c r="G81" s="188"/>
      <c r="H81" s="188"/>
      <c r="I81" s="188"/>
      <c r="J81" s="188"/>
      <c r="K81" s="188"/>
      <c r="L81" s="188"/>
    </row>
    <row r="82" spans="1:12">
      <c r="A82" s="248" t="s">
        <v>115</v>
      </c>
      <c r="B82" s="248">
        <f>C73</f>
        <v>25</v>
      </c>
      <c r="C82" s="215">
        <f>D73</f>
        <v>10296381.963612135</v>
      </c>
      <c r="D82" s="215">
        <f>E73</f>
        <v>429015.91515050567</v>
      </c>
      <c r="E82" s="188"/>
      <c r="F82" s="188"/>
      <c r="G82" s="188"/>
      <c r="H82" s="188"/>
      <c r="I82" s="188"/>
      <c r="J82" s="188"/>
      <c r="K82" s="188"/>
      <c r="L82" s="188"/>
    </row>
    <row r="83" spans="1:12" ht="31.5">
      <c r="A83" s="216" t="s">
        <v>108</v>
      </c>
      <c r="B83" s="216" t="s">
        <v>109</v>
      </c>
      <c r="C83" s="217" t="s">
        <v>120</v>
      </c>
      <c r="D83" s="217" t="s">
        <v>121</v>
      </c>
      <c r="E83" s="217" t="s">
        <v>122</v>
      </c>
      <c r="F83" s="218" t="s">
        <v>123</v>
      </c>
      <c r="G83" s="218" t="s">
        <v>124</v>
      </c>
      <c r="H83" s="188"/>
      <c r="I83" s="188"/>
      <c r="J83" s="188"/>
      <c r="K83" s="188"/>
      <c r="L83" s="188"/>
    </row>
    <row r="84" spans="1:12">
      <c r="A84" s="248" t="s">
        <v>116</v>
      </c>
      <c r="B84" s="248">
        <f>C74</f>
        <v>12</v>
      </c>
      <c r="C84" s="247">
        <f>D74</f>
        <v>4942263.342533825</v>
      </c>
      <c r="D84" s="247">
        <f>CONTROLE!E55</f>
        <v>0</v>
      </c>
      <c r="E84" s="247">
        <f>D84*18</f>
        <v>0</v>
      </c>
      <c r="F84" s="247">
        <f>G84/6</f>
        <v>823710.55708897079</v>
      </c>
      <c r="G84" s="247">
        <f>D74-E84</f>
        <v>4942263.342533825</v>
      </c>
      <c r="H84" s="188"/>
      <c r="I84" s="188"/>
      <c r="J84" s="188"/>
      <c r="K84" s="188"/>
      <c r="L84" s="188"/>
    </row>
    <row r="85" spans="1:12" ht="47.25">
      <c r="A85" s="219" t="s">
        <v>108</v>
      </c>
      <c r="B85" s="219" t="s">
        <v>109</v>
      </c>
      <c r="C85" s="220" t="s">
        <v>120</v>
      </c>
      <c r="D85" s="220" t="s">
        <v>125</v>
      </c>
      <c r="E85" s="220" t="s">
        <v>126</v>
      </c>
      <c r="F85" s="190" t="s">
        <v>127</v>
      </c>
      <c r="G85" s="190" t="s">
        <v>128</v>
      </c>
      <c r="H85" s="188"/>
      <c r="I85" s="188"/>
      <c r="J85" s="188"/>
      <c r="K85" s="188"/>
      <c r="L85" s="188"/>
    </row>
    <row r="86" spans="1:12">
      <c r="A86" s="248" t="s">
        <v>117</v>
      </c>
      <c r="B86" s="248">
        <f>C75</f>
        <v>25</v>
      </c>
      <c r="C86" s="247">
        <f>D75</f>
        <v>10296381.963612135</v>
      </c>
      <c r="D86" s="247">
        <f>E75/2</f>
        <v>214507.95757525283</v>
      </c>
      <c r="E86" s="247">
        <f>D86*3</f>
        <v>643523.87272575847</v>
      </c>
      <c r="F86" s="247">
        <f>G86/21</f>
        <v>459659.90908982744</v>
      </c>
      <c r="G86" s="247">
        <f>C86-E86</f>
        <v>9652858.0908863768</v>
      </c>
      <c r="H86" s="188"/>
      <c r="I86" s="188"/>
      <c r="J86" s="188"/>
      <c r="K86" s="188"/>
      <c r="L86" s="188"/>
    </row>
    <row r="87" spans="1:12" ht="15.75">
      <c r="A87" s="219" t="s">
        <v>108</v>
      </c>
      <c r="B87" s="219" t="s">
        <v>109</v>
      </c>
      <c r="C87" s="220" t="s">
        <v>120</v>
      </c>
      <c r="D87" s="220" t="s">
        <v>111</v>
      </c>
      <c r="E87" s="188"/>
      <c r="F87" s="188"/>
      <c r="G87" s="188"/>
      <c r="H87" s="188"/>
      <c r="I87" s="188"/>
      <c r="J87" s="188"/>
      <c r="K87" s="188"/>
      <c r="L87" s="188"/>
    </row>
    <row r="88" spans="1:12">
      <c r="A88" s="248" t="s">
        <v>118</v>
      </c>
      <c r="B88" s="248">
        <v>8</v>
      </c>
      <c r="C88" s="221">
        <f>D77</f>
        <v>3294842.2283558832</v>
      </c>
      <c r="D88" s="221">
        <f>E77</f>
        <v>137285.09284816179</v>
      </c>
      <c r="E88" s="188"/>
      <c r="F88" s="188"/>
      <c r="G88" s="188"/>
      <c r="H88" s="188"/>
      <c r="I88" s="188"/>
      <c r="J88" s="188"/>
      <c r="K88" s="188"/>
      <c r="L88" s="188"/>
    </row>
    <row r="89" spans="1:12">
      <c r="A89" s="374" t="s">
        <v>130</v>
      </c>
      <c r="B89" s="375"/>
      <c r="C89" s="375"/>
      <c r="D89" s="375"/>
      <c r="E89" s="376"/>
      <c r="F89" s="376"/>
      <c r="G89" s="376"/>
      <c r="H89" s="188"/>
      <c r="I89" s="188"/>
      <c r="J89" s="188"/>
      <c r="K89" s="188"/>
      <c r="L89" s="188"/>
    </row>
    <row r="90" spans="1:12" ht="30">
      <c r="A90" s="200" t="s">
        <v>113</v>
      </c>
      <c r="B90" s="377" t="s">
        <v>113</v>
      </c>
      <c r="C90" s="378"/>
      <c r="D90" s="378"/>
      <c r="E90" s="379"/>
      <c r="F90" s="188"/>
      <c r="G90" s="188"/>
      <c r="H90" s="215"/>
      <c r="I90" s="188"/>
      <c r="J90" s="188"/>
      <c r="K90" s="188"/>
      <c r="L90" s="188"/>
    </row>
    <row r="91" spans="1:12" ht="45">
      <c r="A91" s="380">
        <f>G72</f>
        <v>634943.55442274839</v>
      </c>
      <c r="B91" s="222" t="s">
        <v>131</v>
      </c>
      <c r="C91" s="223" t="s">
        <v>132</v>
      </c>
      <c r="D91" s="224" t="s">
        <v>133</v>
      </c>
      <c r="E91" s="200" t="s">
        <v>134</v>
      </c>
      <c r="F91" s="200" t="s">
        <v>135</v>
      </c>
      <c r="G91" s="200" t="s">
        <v>136</v>
      </c>
      <c r="H91" s="215"/>
      <c r="I91" s="215"/>
      <c r="J91" s="188"/>
      <c r="K91" s="188"/>
      <c r="L91" s="188"/>
    </row>
    <row r="92" spans="1:12">
      <c r="A92" s="376"/>
      <c r="B92" s="381">
        <f>(D84+D86)</f>
        <v>214507.95757525283</v>
      </c>
      <c r="C92" s="384">
        <f>B92*3</f>
        <v>643523.87272575847</v>
      </c>
      <c r="D92" s="384">
        <f>F86+D84</f>
        <v>459659.90908982744</v>
      </c>
      <c r="E92" s="385">
        <f>D92*15</f>
        <v>6894898.6363474112</v>
      </c>
      <c r="F92" s="385">
        <f>F86+F84</f>
        <v>1283370.4661787981</v>
      </c>
      <c r="G92" s="385">
        <f>F92*6</f>
        <v>7700222.7970727887</v>
      </c>
      <c r="H92" s="188"/>
      <c r="I92" s="188"/>
      <c r="J92" s="188"/>
      <c r="K92" s="188"/>
      <c r="L92" s="188"/>
    </row>
    <row r="93" spans="1:12">
      <c r="A93" s="376"/>
      <c r="B93" s="382"/>
      <c r="C93" s="374"/>
      <c r="D93" s="374"/>
      <c r="E93" s="374"/>
      <c r="F93" s="374"/>
      <c r="G93" s="374"/>
      <c r="H93" s="188"/>
      <c r="I93" s="188"/>
      <c r="J93" s="188"/>
      <c r="K93" s="188"/>
      <c r="L93" s="188"/>
    </row>
    <row r="94" spans="1:12">
      <c r="A94" s="376"/>
      <c r="B94" s="382"/>
      <c r="C94" s="374"/>
      <c r="D94" s="374"/>
      <c r="E94" s="374"/>
      <c r="F94" s="374"/>
      <c r="G94" s="374"/>
      <c r="H94" s="188"/>
      <c r="I94" s="188"/>
      <c r="J94" s="188"/>
      <c r="K94" s="188"/>
      <c r="L94" s="188"/>
    </row>
    <row r="95" spans="1:12">
      <c r="A95" s="376"/>
      <c r="B95" s="382"/>
      <c r="C95" s="374"/>
      <c r="D95" s="374"/>
      <c r="E95" s="374"/>
      <c r="F95" s="374"/>
      <c r="G95" s="374"/>
      <c r="H95" s="188"/>
      <c r="I95" s="188"/>
      <c r="J95" s="188"/>
      <c r="K95" s="188"/>
      <c r="L95" s="188"/>
    </row>
    <row r="96" spans="1:12">
      <c r="A96" s="376"/>
      <c r="B96" s="383"/>
      <c r="C96" s="375"/>
      <c r="D96" s="375"/>
      <c r="E96" s="375"/>
      <c r="F96" s="375"/>
      <c r="G96" s="375"/>
      <c r="H96" s="188"/>
      <c r="I96" s="188"/>
      <c r="J96" s="188"/>
      <c r="K96" s="188"/>
      <c r="L96" s="188"/>
    </row>
    <row r="109" spans="15:15">
      <c r="O109" s="24"/>
    </row>
  </sheetData>
  <mergeCells count="100">
    <mergeCell ref="A63:A64"/>
    <mergeCell ref="F62:G62"/>
    <mergeCell ref="C63:G63"/>
    <mergeCell ref="H63:L63"/>
    <mergeCell ref="A21:L22"/>
    <mergeCell ref="C51:D51"/>
    <mergeCell ref="C52:D52"/>
    <mergeCell ref="A24:A29"/>
    <mergeCell ref="F44:F48"/>
    <mergeCell ref="G44:G48"/>
    <mergeCell ref="A50:J50"/>
    <mergeCell ref="A53:J53"/>
    <mergeCell ref="C54:D54"/>
    <mergeCell ref="B44:B48"/>
    <mergeCell ref="C44:C48"/>
    <mergeCell ref="D44:D48"/>
    <mergeCell ref="C6:D6"/>
    <mergeCell ref="C7:D7"/>
    <mergeCell ref="A60:A61"/>
    <mergeCell ref="A15:A16"/>
    <mergeCell ref="C15:G15"/>
    <mergeCell ref="F14:G14"/>
    <mergeCell ref="A9:A10"/>
    <mergeCell ref="B9:B10"/>
    <mergeCell ref="C9:G9"/>
    <mergeCell ref="A18:A19"/>
    <mergeCell ref="A57:A58"/>
    <mergeCell ref="B42:E42"/>
    <mergeCell ref="F24:F29"/>
    <mergeCell ref="A30:F30"/>
    <mergeCell ref="G24:G29"/>
    <mergeCell ref="A41:G41"/>
    <mergeCell ref="H15:L15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A5:J5"/>
    <mergeCell ref="A2:J2"/>
    <mergeCell ref="H9:L9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A12:A13"/>
    <mergeCell ref="C3:D3"/>
    <mergeCell ref="C4:D4"/>
    <mergeCell ref="E44:E48"/>
    <mergeCell ref="A43:A48"/>
    <mergeCell ref="C55:D55"/>
    <mergeCell ref="B57:B58"/>
    <mergeCell ref="C57:G57"/>
    <mergeCell ref="H57:L57"/>
    <mergeCell ref="C59:C61"/>
    <mergeCell ref="D59:D61"/>
    <mergeCell ref="E59:E61"/>
    <mergeCell ref="F59:F61"/>
    <mergeCell ref="G59:G61"/>
    <mergeCell ref="H59:H61"/>
    <mergeCell ref="I59:I61"/>
    <mergeCell ref="J59:J61"/>
    <mergeCell ref="K59:K61"/>
    <mergeCell ref="L59:L61"/>
    <mergeCell ref="A66:A67"/>
    <mergeCell ref="A69:L70"/>
    <mergeCell ref="A72:A77"/>
    <mergeCell ref="F72:F77"/>
    <mergeCell ref="G72:G77"/>
    <mergeCell ref="H65:H67"/>
    <mergeCell ref="I65:I67"/>
    <mergeCell ref="J65:J67"/>
    <mergeCell ref="K65:K67"/>
    <mergeCell ref="L65:L67"/>
    <mergeCell ref="C65:C67"/>
    <mergeCell ref="D65:D67"/>
    <mergeCell ref="E65:E67"/>
    <mergeCell ref="F65:F67"/>
    <mergeCell ref="G65:G67"/>
    <mergeCell ref="A78:F78"/>
    <mergeCell ref="A89:G89"/>
    <mergeCell ref="B90:E90"/>
    <mergeCell ref="A91:A96"/>
    <mergeCell ref="B92:B96"/>
    <mergeCell ref="C92:C96"/>
    <mergeCell ref="D92:D96"/>
    <mergeCell ref="E92:E96"/>
    <mergeCell ref="F92:F96"/>
    <mergeCell ref="G92:G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B3F1-E517-44D5-A38D-C2823105325F}">
  <dimension ref="A1:J37"/>
  <sheetViews>
    <sheetView workbookViewId="0">
      <selection activeCell="A27" sqref="A27"/>
    </sheetView>
  </sheetViews>
  <sheetFormatPr defaultRowHeight="15"/>
  <cols>
    <col min="1" max="1" width="28.7109375" bestFit="1" customWidth="1"/>
    <col min="2" max="2" width="22.140625" bestFit="1" customWidth="1"/>
    <col min="3" max="3" width="19.7109375" bestFit="1" customWidth="1"/>
    <col min="4" max="4" width="24.140625" bestFit="1" customWidth="1"/>
    <col min="5" max="5" width="25.5703125" bestFit="1" customWidth="1"/>
    <col min="6" max="6" width="27.5703125" bestFit="1" customWidth="1"/>
    <col min="7" max="7" width="21.28515625" customWidth="1"/>
    <col min="8" max="8" width="16.42578125" bestFit="1" customWidth="1"/>
    <col min="9" max="10" width="13.85546875" bestFit="1" customWidth="1"/>
  </cols>
  <sheetData>
    <row r="1" spans="1:10" ht="63.75" customHeight="1">
      <c r="A1" s="465" t="s">
        <v>137</v>
      </c>
      <c r="B1" s="465"/>
      <c r="C1" s="465"/>
      <c r="D1" s="465"/>
      <c r="E1" s="465"/>
      <c r="F1" s="465"/>
      <c r="G1" s="465"/>
      <c r="H1" s="131"/>
      <c r="I1" s="5"/>
    </row>
    <row r="2" spans="1:10" ht="31.5">
      <c r="A2" s="130" t="s">
        <v>107</v>
      </c>
      <c r="B2" s="120" t="s">
        <v>108</v>
      </c>
      <c r="C2" s="120" t="s">
        <v>109</v>
      </c>
      <c r="D2" s="121" t="s">
        <v>120</v>
      </c>
      <c r="E2" s="121" t="s">
        <v>121</v>
      </c>
      <c r="F2" s="121" t="s">
        <v>122</v>
      </c>
      <c r="G2" s="249" t="s">
        <v>123</v>
      </c>
      <c r="H2" s="249" t="s">
        <v>124</v>
      </c>
      <c r="I2" s="5"/>
    </row>
    <row r="3" spans="1:10">
      <c r="A3" s="466">
        <f>'Plannilha central(Envestidor)'!E30</f>
        <v>50520914.168123543</v>
      </c>
      <c r="B3" s="116" t="s">
        <v>116</v>
      </c>
      <c r="C3" s="116">
        <f>PORCENTAGEM!B36</f>
        <v>12</v>
      </c>
      <c r="D3" s="119">
        <f>PORCENTAGEM!C36</f>
        <v>4942263.342533825</v>
      </c>
      <c r="E3" s="119">
        <f>PORCENTAGEM!D36</f>
        <v>92320</v>
      </c>
      <c r="F3" s="119">
        <f>PORCENTAGEM!E36</f>
        <v>1661760</v>
      </c>
      <c r="G3" s="119">
        <f>PORCENTAGEM!F36</f>
        <v>546750.55708897079</v>
      </c>
      <c r="H3" s="119">
        <f>PORCENTAGEM!G36</f>
        <v>3280503.342533825</v>
      </c>
      <c r="I3" s="5"/>
    </row>
    <row r="4" spans="1:10" ht="31.5">
      <c r="A4" s="466"/>
      <c r="B4" s="122" t="s">
        <v>108</v>
      </c>
      <c r="C4" s="122" t="s">
        <v>109</v>
      </c>
      <c r="D4" s="123" t="s">
        <v>120</v>
      </c>
      <c r="E4" s="123" t="s">
        <v>125</v>
      </c>
      <c r="F4" s="123" t="s">
        <v>126</v>
      </c>
      <c r="G4" s="250" t="s">
        <v>127</v>
      </c>
      <c r="H4" s="250" t="s">
        <v>128</v>
      </c>
      <c r="I4" s="5"/>
    </row>
    <row r="5" spans="1:10">
      <c r="A5" s="131"/>
      <c r="B5" s="132" t="s">
        <v>117</v>
      </c>
      <c r="C5" s="132">
        <f>PORCENTAGEM!B38</f>
        <v>25</v>
      </c>
      <c r="D5" s="133">
        <f>PORCENTAGEM!C38</f>
        <v>10296381.963612135</v>
      </c>
      <c r="E5" s="133">
        <f>PORCENTAGEM!D38</f>
        <v>214507.95757525283</v>
      </c>
      <c r="F5" s="119">
        <f>PORCENTAGEM!E38</f>
        <v>643523.87272575847</v>
      </c>
      <c r="G5" s="119">
        <f>PORCENTAGEM!F38</f>
        <v>459659.90908982744</v>
      </c>
      <c r="H5" s="119">
        <f>PORCENTAGEM!G38</f>
        <v>9652858.0908863768</v>
      </c>
      <c r="I5" s="5"/>
    </row>
    <row r="6" spans="1:10">
      <c r="A6" s="24"/>
      <c r="B6" s="24"/>
      <c r="C6" s="24"/>
      <c r="D6" s="24"/>
      <c r="E6" s="24"/>
      <c r="F6" s="131"/>
      <c r="G6" s="24"/>
      <c r="H6" s="131"/>
      <c r="I6" s="5"/>
    </row>
    <row r="7" spans="1:10">
      <c r="A7" s="437" t="s">
        <v>130</v>
      </c>
      <c r="B7" s="438"/>
      <c r="C7" s="438"/>
      <c r="D7" s="438"/>
      <c r="E7" s="439"/>
      <c r="F7" s="439"/>
      <c r="G7" s="439"/>
      <c r="H7" s="131"/>
      <c r="I7" s="5"/>
    </row>
    <row r="8" spans="1:10" ht="30">
      <c r="A8" s="141" t="s">
        <v>113</v>
      </c>
      <c r="B8" s="459" t="s">
        <v>113</v>
      </c>
      <c r="C8" s="460"/>
      <c r="D8" s="460"/>
      <c r="E8" s="460"/>
      <c r="F8" s="460"/>
      <c r="G8" s="460"/>
      <c r="H8" s="131"/>
      <c r="I8" s="5"/>
    </row>
    <row r="9" spans="1:10" ht="60">
      <c r="A9" s="463">
        <f>PORCENTAGEM!A43</f>
        <v>634943.55442274839</v>
      </c>
      <c r="B9" s="125" t="s">
        <v>131</v>
      </c>
      <c r="C9" s="126" t="s">
        <v>132</v>
      </c>
      <c r="D9" s="127" t="s">
        <v>133</v>
      </c>
      <c r="E9" s="128" t="s">
        <v>134</v>
      </c>
      <c r="F9" s="128" t="s">
        <v>135</v>
      </c>
      <c r="G9" s="128" t="s">
        <v>136</v>
      </c>
      <c r="H9" s="128" t="s">
        <v>138</v>
      </c>
      <c r="I9" s="5"/>
    </row>
    <row r="10" spans="1:10">
      <c r="A10" s="464"/>
      <c r="B10" s="452">
        <f>PORCENTAGEM!B44</f>
        <v>306827.95757525286</v>
      </c>
      <c r="C10" s="455">
        <f>B10*3</f>
        <v>920483.87272575859</v>
      </c>
      <c r="D10" s="455">
        <f>PORCENTAGEM!D44</f>
        <v>551979.90908982744</v>
      </c>
      <c r="E10" s="409">
        <f>D10*15</f>
        <v>8279698.6363474112</v>
      </c>
      <c r="F10" s="409">
        <f>PORCENTAGEM!F44</f>
        <v>1006410.4661787982</v>
      </c>
      <c r="G10" s="409">
        <f>F10*6</f>
        <v>6038462.7970727896</v>
      </c>
      <c r="H10" s="409">
        <f>G10+E10+C10</f>
        <v>15238645.306145959</v>
      </c>
      <c r="I10" s="5"/>
    </row>
    <row r="11" spans="1:10">
      <c r="A11" s="464"/>
      <c r="B11" s="453"/>
      <c r="C11" s="410"/>
      <c r="D11" s="410"/>
      <c r="E11" s="410"/>
      <c r="F11" s="410"/>
      <c r="G11" s="410"/>
      <c r="H11" s="410"/>
      <c r="I11" s="5"/>
    </row>
    <row r="12" spans="1:10">
      <c r="A12" s="464"/>
      <c r="B12" s="453"/>
      <c r="C12" s="410"/>
      <c r="D12" s="410"/>
      <c r="E12" s="410"/>
      <c r="F12" s="410"/>
      <c r="G12" s="410"/>
      <c r="H12" s="410"/>
      <c r="I12" s="5"/>
    </row>
    <row r="13" spans="1:10" s="106" customFormat="1">
      <c r="A13" s="464"/>
      <c r="B13" s="453"/>
      <c r="C13" s="410"/>
      <c r="D13" s="410"/>
      <c r="E13" s="410"/>
      <c r="F13" s="410"/>
      <c r="G13" s="410"/>
      <c r="H13" s="410"/>
      <c r="I13" s="129"/>
    </row>
    <row r="14" spans="1:10">
      <c r="A14" s="464"/>
      <c r="B14" s="454"/>
      <c r="C14" s="411"/>
      <c r="D14" s="411"/>
      <c r="E14" s="411"/>
      <c r="F14" s="411"/>
      <c r="G14" s="411"/>
      <c r="H14" s="411"/>
      <c r="I14" s="5"/>
    </row>
    <row r="15" spans="1:10" ht="21">
      <c r="A15" s="467" t="s">
        <v>139</v>
      </c>
      <c r="B15" s="467"/>
      <c r="C15" s="467"/>
      <c r="D15" s="467"/>
      <c r="E15" s="467"/>
      <c r="F15" s="468"/>
      <c r="G15" s="467"/>
      <c r="H15" s="467"/>
      <c r="I15" s="467"/>
      <c r="J15" s="467"/>
    </row>
    <row r="16" spans="1:10" ht="30">
      <c r="A16" s="140" t="s">
        <v>140</v>
      </c>
      <c r="B16" s="140" t="s">
        <v>141</v>
      </c>
      <c r="C16" s="140" t="s">
        <v>142</v>
      </c>
      <c r="D16" s="140" t="s">
        <v>143</v>
      </c>
      <c r="E16" s="144" t="s">
        <v>120</v>
      </c>
      <c r="F16" s="147" t="s">
        <v>144</v>
      </c>
    </row>
    <row r="17" spans="1:10">
      <c r="A17" s="137" t="s">
        <v>145</v>
      </c>
      <c r="B17" s="134">
        <v>8000</v>
      </c>
      <c r="C17" s="135">
        <v>24</v>
      </c>
      <c r="D17" s="136">
        <f>C17*B17</f>
        <v>192000</v>
      </c>
      <c r="E17" s="136">
        <f>SUM(D17:D20)+(SUM(D21:D24)*2)+D25</f>
        <v>1437600</v>
      </c>
      <c r="F17" s="143">
        <f>E21/4</f>
        <v>23080</v>
      </c>
    </row>
    <row r="18" spans="1:10" ht="21">
      <c r="A18" s="138" t="s">
        <v>145</v>
      </c>
      <c r="B18" s="26">
        <v>8000</v>
      </c>
      <c r="C18" s="25">
        <v>24</v>
      </c>
      <c r="D18" s="27">
        <f t="shared" ref="D18:D25" si="0">C18*B18</f>
        <v>192000</v>
      </c>
      <c r="E18" s="145" t="s">
        <v>146</v>
      </c>
      <c r="F18" s="148" t="s">
        <v>147</v>
      </c>
    </row>
    <row r="19" spans="1:10">
      <c r="A19" s="138" t="s">
        <v>145</v>
      </c>
      <c r="B19" s="26">
        <v>8000</v>
      </c>
      <c r="C19" s="25">
        <v>24</v>
      </c>
      <c r="D19" s="27">
        <f t="shared" si="0"/>
        <v>192000</v>
      </c>
      <c r="E19" s="146">
        <f>E17+B26</f>
        <v>1661760</v>
      </c>
      <c r="F19" s="143">
        <v>10000</v>
      </c>
    </row>
    <row r="20" spans="1:10" ht="47.25">
      <c r="A20" s="138" t="s">
        <v>145</v>
      </c>
      <c r="B20" s="26">
        <v>8000</v>
      </c>
      <c r="C20" s="25">
        <v>24</v>
      </c>
      <c r="D20" s="27">
        <f t="shared" si="0"/>
        <v>192000</v>
      </c>
      <c r="E20" s="115" t="s">
        <v>148</v>
      </c>
      <c r="F20" s="149" t="s">
        <v>149</v>
      </c>
    </row>
    <row r="21" spans="1:10">
      <c r="A21" s="138" t="s">
        <v>150</v>
      </c>
      <c r="B21" s="26">
        <v>5000</v>
      </c>
      <c r="C21" s="25">
        <v>24</v>
      </c>
      <c r="D21" s="27">
        <f t="shared" si="0"/>
        <v>120000</v>
      </c>
      <c r="E21" s="27">
        <f>E19/18</f>
        <v>92320</v>
      </c>
      <c r="F21" s="143">
        <f>((F17-F19)*4)*4</f>
        <v>209280</v>
      </c>
    </row>
    <row r="22" spans="1:10">
      <c r="A22" s="138" t="s">
        <v>151</v>
      </c>
      <c r="B22" s="26">
        <v>3000</v>
      </c>
      <c r="C22" s="25">
        <v>24</v>
      </c>
      <c r="D22" s="26">
        <f t="shared" si="0"/>
        <v>72000</v>
      </c>
      <c r="E22" s="461" t="s">
        <v>152</v>
      </c>
      <c r="F22" s="149" t="s">
        <v>153</v>
      </c>
    </row>
    <row r="23" spans="1:10">
      <c r="A23" s="138" t="s">
        <v>154</v>
      </c>
      <c r="B23" s="26">
        <v>3000</v>
      </c>
      <c r="C23" s="25">
        <v>24</v>
      </c>
      <c r="D23" s="26">
        <f t="shared" si="0"/>
        <v>72000</v>
      </c>
      <c r="E23" s="462"/>
      <c r="F23" s="143">
        <f>F21/4</f>
        <v>52320</v>
      </c>
      <c r="G23" s="103"/>
      <c r="H23" s="103"/>
      <c r="I23" s="103"/>
      <c r="J23" s="103"/>
    </row>
    <row r="24" spans="1:10">
      <c r="A24" s="138" t="s">
        <v>154</v>
      </c>
      <c r="B24" s="26">
        <v>2200</v>
      </c>
      <c r="C24" s="25">
        <v>24</v>
      </c>
      <c r="D24" s="27">
        <f t="shared" si="0"/>
        <v>52800</v>
      </c>
      <c r="E24" s="456">
        <f>D3-E19</f>
        <v>3280503.342533825</v>
      </c>
      <c r="J24" s="103"/>
    </row>
    <row r="25" spans="1:10">
      <c r="A25" s="139" t="s">
        <v>155</v>
      </c>
      <c r="B25" s="29">
        <v>1500</v>
      </c>
      <c r="C25" s="25">
        <v>24</v>
      </c>
      <c r="D25" s="27">
        <f t="shared" si="0"/>
        <v>36000</v>
      </c>
      <c r="E25" s="456"/>
    </row>
    <row r="26" spans="1:10">
      <c r="A26" s="138" t="s">
        <v>156</v>
      </c>
      <c r="B26" s="26">
        <f>((SUM(D17:D25))*20)/100</f>
        <v>224160</v>
      </c>
      <c r="C26" s="24"/>
      <c r="D26" s="24"/>
      <c r="E26" s="24"/>
    </row>
    <row r="27" spans="1:10" s="24" customFormat="1">
      <c r="H27" s="131"/>
      <c r="I27" s="131"/>
    </row>
    <row r="28" spans="1:10" ht="31.5" customHeight="1">
      <c r="A28" s="457" t="s">
        <v>137</v>
      </c>
      <c r="B28" s="457"/>
      <c r="C28" s="457"/>
      <c r="D28" s="457"/>
      <c r="E28" s="457"/>
      <c r="F28" s="457"/>
      <c r="G28" s="458"/>
      <c r="H28" s="5"/>
      <c r="I28" s="5"/>
    </row>
    <row r="29" spans="1:10">
      <c r="A29" s="238" t="s">
        <v>140</v>
      </c>
      <c r="B29" s="238" t="s">
        <v>157</v>
      </c>
      <c r="C29" s="238" t="s">
        <v>158</v>
      </c>
      <c r="D29" s="238" t="s">
        <v>159</v>
      </c>
      <c r="E29" s="239" t="s">
        <v>160</v>
      </c>
      <c r="F29" s="238" t="s">
        <v>161</v>
      </c>
      <c r="G29" s="5"/>
      <c r="H29" s="5"/>
      <c r="I29" s="5"/>
    </row>
    <row r="30" spans="1:10">
      <c r="A30" s="245" t="s">
        <v>162</v>
      </c>
      <c r="B30" s="142">
        <f>(F30*30)/100</f>
        <v>420040.75679999997</v>
      </c>
      <c r="C30" s="245">
        <v>23</v>
      </c>
      <c r="D30" s="143">
        <f>(F30-B30)/C30</f>
        <v>42612.830399999999</v>
      </c>
      <c r="E30" s="143">
        <f>D30*C30</f>
        <v>980095.09919999994</v>
      </c>
      <c r="F30" s="244">
        <f>(('Plannilha central(Envestidor)'!I26)*10)/100</f>
        <v>1400135.8559999999</v>
      </c>
    </row>
    <row r="37" ht="15.75" customHeight="1"/>
  </sheetData>
  <mergeCells count="16">
    <mergeCell ref="A1:G1"/>
    <mergeCell ref="A3:A4"/>
    <mergeCell ref="A7:G7"/>
    <mergeCell ref="A15:J15"/>
    <mergeCell ref="H10:H14"/>
    <mergeCell ref="E24:E25"/>
    <mergeCell ref="A28:G28"/>
    <mergeCell ref="F10:F14"/>
    <mergeCell ref="G10:G14"/>
    <mergeCell ref="B8:G8"/>
    <mergeCell ref="E22:E23"/>
    <mergeCell ref="A9:A14"/>
    <mergeCell ref="B10:B14"/>
    <mergeCell ref="C10:C14"/>
    <mergeCell ref="D10:D14"/>
    <mergeCell ref="E10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A9E7-D3D3-4ADF-B0B9-D26A9643DA1C}">
  <dimension ref="A1:I8"/>
  <sheetViews>
    <sheetView workbookViewId="0">
      <selection activeCell="G2" sqref="G2"/>
    </sheetView>
  </sheetViews>
  <sheetFormatPr defaultRowHeight="15"/>
  <cols>
    <col min="1" max="1" width="21.85546875" bestFit="1" customWidth="1"/>
    <col min="2" max="2" width="19.7109375" bestFit="1" customWidth="1"/>
    <col min="3" max="5" width="15" bestFit="1" customWidth="1"/>
  </cols>
  <sheetData>
    <row r="1" spans="1:9" ht="18.75">
      <c r="A1" s="469" t="s">
        <v>163</v>
      </c>
      <c r="B1" s="469"/>
      <c r="C1" s="469"/>
      <c r="D1" s="469"/>
      <c r="E1" s="469"/>
      <c r="F1" s="469"/>
      <c r="G1" s="469"/>
      <c r="H1" s="469"/>
      <c r="I1" s="469"/>
    </row>
    <row r="2" spans="1:9" ht="15.75">
      <c r="A2" s="32" t="s">
        <v>164</v>
      </c>
      <c r="B2" s="32" t="s">
        <v>165</v>
      </c>
      <c r="C2" s="32" t="s">
        <v>166</v>
      </c>
      <c r="D2" s="32" t="s">
        <v>167</v>
      </c>
      <c r="E2" s="32" t="s">
        <v>168</v>
      </c>
    </row>
    <row r="3" spans="1:9">
      <c r="A3" s="28">
        <f>'Plannilha central(Envestidor)'!D44</f>
        <v>0</v>
      </c>
      <c r="B3" s="29">
        <f>(A3*30)/100</f>
        <v>0</v>
      </c>
      <c r="C3" s="29">
        <f>(A3*25)/100</f>
        <v>0</v>
      </c>
      <c r="D3" s="29">
        <f>(A3*25)/100</f>
        <v>0</v>
      </c>
      <c r="E3" s="29">
        <f>(A3*15)/100</f>
        <v>0</v>
      </c>
    </row>
    <row r="4" spans="1:9" ht="18.75">
      <c r="A4" s="470" t="s">
        <v>169</v>
      </c>
      <c r="B4" s="470"/>
      <c r="C4" s="470"/>
      <c r="D4" s="470"/>
      <c r="E4" s="470"/>
      <c r="F4" s="471"/>
      <c r="G4" s="471"/>
      <c r="H4" s="471"/>
      <c r="I4" s="471"/>
    </row>
    <row r="5" spans="1:9" ht="15.75">
      <c r="A5" s="31" t="s">
        <v>164</v>
      </c>
      <c r="B5" s="31" t="s">
        <v>165</v>
      </c>
      <c r="C5" s="31" t="s">
        <v>166</v>
      </c>
      <c r="D5" s="31" t="s">
        <v>167</v>
      </c>
      <c r="E5" s="31" t="s">
        <v>168</v>
      </c>
    </row>
    <row r="6" spans="1:9">
      <c r="A6" s="28">
        <f>A3</f>
        <v>0</v>
      </c>
      <c r="B6" s="26">
        <f>B3/2</f>
        <v>0</v>
      </c>
      <c r="C6" s="26">
        <f t="shared" ref="C6:E6" si="0">C3/2</f>
        <v>0</v>
      </c>
      <c r="D6" s="26">
        <f t="shared" si="0"/>
        <v>0</v>
      </c>
      <c r="E6" s="26">
        <f t="shared" si="0"/>
        <v>0</v>
      </c>
    </row>
    <row r="7" spans="1:9">
      <c r="A7" s="33" t="s">
        <v>170</v>
      </c>
    </row>
    <row r="8" spans="1:9">
      <c r="A8" s="26">
        <f>A3/2</f>
        <v>0</v>
      </c>
    </row>
  </sheetData>
  <mergeCells count="2">
    <mergeCell ref="A1:I1"/>
    <mergeCell ref="A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B87D-73EC-4FAB-914F-D3E0FE97E13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9D16-2D53-43DB-BABF-069D008E675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295D-EDB0-457F-9FF4-AB3BCDB78710}">
  <dimension ref="A1:I45"/>
  <sheetViews>
    <sheetView topLeftCell="K1" workbookViewId="0">
      <selection activeCell="K3" sqref="K3"/>
    </sheetView>
  </sheetViews>
  <sheetFormatPr defaultRowHeight="15"/>
  <cols>
    <col min="1" max="1" width="36.140625" bestFit="1" customWidth="1"/>
    <col min="2" max="2" width="19.28515625" bestFit="1" customWidth="1"/>
    <col min="3" max="3" width="15" bestFit="1" customWidth="1"/>
    <col min="4" max="4" width="22" customWidth="1"/>
    <col min="5" max="5" width="19.140625" bestFit="1" customWidth="1"/>
    <col min="6" max="6" width="22.42578125" customWidth="1"/>
    <col min="7" max="7" width="31" customWidth="1"/>
    <col min="8" max="8" width="16.28515625" customWidth="1"/>
    <col min="9" max="9" width="16" customWidth="1"/>
  </cols>
  <sheetData>
    <row r="1" spans="1:9" ht="21">
      <c r="A1" s="258" t="s">
        <v>0</v>
      </c>
      <c r="B1" s="258"/>
      <c r="C1" s="258"/>
      <c r="D1" s="258"/>
      <c r="E1" s="258"/>
      <c r="F1" s="258"/>
      <c r="G1" s="258"/>
      <c r="H1" s="258"/>
      <c r="I1" s="258"/>
    </row>
    <row r="2" spans="1:9" ht="15.75">
      <c r="A2" s="260" t="s">
        <v>2</v>
      </c>
      <c r="B2" s="261" t="s">
        <v>3</v>
      </c>
      <c r="C2" s="261" t="s">
        <v>4</v>
      </c>
      <c r="D2" s="261" t="s">
        <v>5</v>
      </c>
      <c r="E2" s="263" t="s">
        <v>6</v>
      </c>
      <c r="F2" s="263"/>
      <c r="G2" s="263"/>
      <c r="H2" s="17"/>
      <c r="I2" s="18"/>
    </row>
    <row r="3" spans="1:9" ht="195">
      <c r="A3" s="260"/>
      <c r="B3" s="261"/>
      <c r="C3" s="261"/>
      <c r="D3" s="261"/>
      <c r="E3" s="3" t="s">
        <v>8</v>
      </c>
      <c r="F3" s="3" t="s">
        <v>9</v>
      </c>
      <c r="G3" s="3" t="s">
        <v>10</v>
      </c>
      <c r="H3" s="19">
        <v>0.08</v>
      </c>
      <c r="I3" s="18"/>
    </row>
    <row r="4" spans="1:9" ht="105">
      <c r="A4" s="2" t="s">
        <v>11</v>
      </c>
      <c r="B4" s="251">
        <f>D4/C4</f>
        <v>818.18181818181813</v>
      </c>
      <c r="C4" s="245">
        <v>220</v>
      </c>
      <c r="D4" s="251">
        <v>180000</v>
      </c>
      <c r="E4" s="251">
        <f>$H$3*B4</f>
        <v>65.454545454545453</v>
      </c>
      <c r="F4" s="251">
        <f>$H$4*B4</f>
        <v>98.181818181818173</v>
      </c>
      <c r="G4" s="251">
        <f>$H$5*B4</f>
        <v>245.45454545454544</v>
      </c>
      <c r="H4" s="19">
        <v>0.12</v>
      </c>
      <c r="I4" s="18"/>
    </row>
    <row r="5" spans="1:9" ht="75">
      <c r="A5" s="2" t="s">
        <v>12</v>
      </c>
      <c r="B5" s="251">
        <f t="shared" ref="B5:B13" si="0">D5/C5</f>
        <v>1600</v>
      </c>
      <c r="C5" s="245">
        <v>125</v>
      </c>
      <c r="D5" s="251">
        <v>200000</v>
      </c>
      <c r="E5" s="251">
        <f t="shared" ref="E5:E13" si="1">$H$3*B5</f>
        <v>128</v>
      </c>
      <c r="F5" s="251">
        <f t="shared" ref="F5:F13" si="2">$H$4*B5</f>
        <v>192</v>
      </c>
      <c r="G5" s="251">
        <f t="shared" ref="G5:G13" si="3">$H$5*B5</f>
        <v>480</v>
      </c>
      <c r="H5" s="19">
        <v>0.3</v>
      </c>
      <c r="I5" s="18"/>
    </row>
    <row r="6" spans="1:9" ht="90">
      <c r="A6" s="4" t="s">
        <v>13</v>
      </c>
      <c r="B6" s="252">
        <f t="shared" si="0"/>
        <v>1160</v>
      </c>
      <c r="C6" s="253">
        <v>125</v>
      </c>
      <c r="D6" s="252">
        <v>145000</v>
      </c>
      <c r="E6" s="252">
        <f t="shared" si="1"/>
        <v>92.8</v>
      </c>
      <c r="F6" s="252">
        <f t="shared" si="2"/>
        <v>139.19999999999999</v>
      </c>
      <c r="G6" s="251">
        <f t="shared" si="3"/>
        <v>348</v>
      </c>
      <c r="I6" s="1"/>
    </row>
    <row r="7" spans="1:9" ht="120">
      <c r="A7" s="4" t="s">
        <v>14</v>
      </c>
      <c r="B7" s="252">
        <f t="shared" si="0"/>
        <v>2030.6774399999999</v>
      </c>
      <c r="C7" s="253">
        <v>125</v>
      </c>
      <c r="D7" s="252">
        <v>253834.68</v>
      </c>
      <c r="E7" s="252">
        <f t="shared" si="1"/>
        <v>162.45419519999999</v>
      </c>
      <c r="F7" s="252">
        <f t="shared" si="2"/>
        <v>243.68129279999999</v>
      </c>
      <c r="G7" s="251">
        <f t="shared" si="3"/>
        <v>609.20323199999996</v>
      </c>
      <c r="I7" s="1"/>
    </row>
    <row r="8" spans="1:9" ht="150">
      <c r="A8" s="4" t="s">
        <v>15</v>
      </c>
      <c r="B8" s="252">
        <f t="shared" si="0"/>
        <v>1784.2725600000001</v>
      </c>
      <c r="C8" s="253">
        <v>125</v>
      </c>
      <c r="D8" s="252">
        <v>223034.07</v>
      </c>
      <c r="E8" s="252">
        <f t="shared" si="1"/>
        <v>142.74180480000001</v>
      </c>
      <c r="F8" s="252">
        <f t="shared" si="2"/>
        <v>214.11270720000002</v>
      </c>
      <c r="G8" s="251">
        <f t="shared" si="3"/>
        <v>535.28176800000006</v>
      </c>
      <c r="I8" s="1"/>
    </row>
    <row r="9" spans="1:9" ht="90">
      <c r="A9" s="2" t="s">
        <v>16</v>
      </c>
      <c r="B9" s="251">
        <f t="shared" si="0"/>
        <v>1120</v>
      </c>
      <c r="C9" s="245">
        <v>125</v>
      </c>
      <c r="D9" s="251">
        <v>140000</v>
      </c>
      <c r="E9" s="251">
        <f t="shared" si="1"/>
        <v>89.600000000000009</v>
      </c>
      <c r="F9" s="251">
        <f t="shared" si="2"/>
        <v>134.4</v>
      </c>
      <c r="G9" s="251">
        <f t="shared" si="3"/>
        <v>336</v>
      </c>
      <c r="I9" s="1"/>
    </row>
    <row r="10" spans="1:9" ht="75">
      <c r="A10" s="2" t="s">
        <v>17</v>
      </c>
      <c r="B10" s="251">
        <f t="shared" si="0"/>
        <v>665</v>
      </c>
      <c r="C10" s="245">
        <v>150</v>
      </c>
      <c r="D10" s="251">
        <v>99750</v>
      </c>
      <c r="E10" s="251">
        <f t="shared" si="1"/>
        <v>53.2</v>
      </c>
      <c r="F10" s="251">
        <f t="shared" si="2"/>
        <v>79.8</v>
      </c>
      <c r="G10" s="251">
        <f t="shared" si="3"/>
        <v>199.5</v>
      </c>
      <c r="I10" s="1"/>
    </row>
    <row r="11" spans="1:9" ht="75">
      <c r="A11" s="2" t="s">
        <v>18</v>
      </c>
      <c r="B11" s="251">
        <f t="shared" si="0"/>
        <v>798.33333333333337</v>
      </c>
      <c r="C11" s="245">
        <v>150</v>
      </c>
      <c r="D11" s="251">
        <v>119750</v>
      </c>
      <c r="E11" s="251">
        <f t="shared" si="1"/>
        <v>63.866666666666674</v>
      </c>
      <c r="F11" s="251">
        <f t="shared" si="2"/>
        <v>95.8</v>
      </c>
      <c r="G11" s="251">
        <f t="shared" si="3"/>
        <v>239.5</v>
      </c>
      <c r="I11" s="1"/>
    </row>
    <row r="12" spans="1:9" ht="75">
      <c r="A12" s="2" t="s">
        <v>19</v>
      </c>
      <c r="B12" s="251">
        <f t="shared" si="0"/>
        <v>819</v>
      </c>
      <c r="C12" s="245">
        <v>150</v>
      </c>
      <c r="D12" s="251">
        <v>122850</v>
      </c>
      <c r="E12" s="251">
        <f t="shared" si="1"/>
        <v>65.52</v>
      </c>
      <c r="F12" s="251">
        <f t="shared" si="2"/>
        <v>98.28</v>
      </c>
      <c r="G12" s="251">
        <f t="shared" si="3"/>
        <v>245.7</v>
      </c>
      <c r="I12" s="1"/>
    </row>
    <row r="13" spans="1:9" ht="90">
      <c r="A13" s="2" t="s">
        <v>28</v>
      </c>
      <c r="B13" s="251">
        <f t="shared" si="0"/>
        <v>1269.2307692307693</v>
      </c>
      <c r="C13" s="245">
        <v>130</v>
      </c>
      <c r="D13" s="251">
        <v>165000</v>
      </c>
      <c r="E13" s="251">
        <f t="shared" si="1"/>
        <v>101.53846153846155</v>
      </c>
      <c r="F13" s="251">
        <f t="shared" si="2"/>
        <v>152.30769230769232</v>
      </c>
      <c r="G13" s="251">
        <f t="shared" si="3"/>
        <v>380.76923076923077</v>
      </c>
      <c r="I13" s="1"/>
    </row>
    <row r="14" spans="1:9" ht="18.75">
      <c r="A14" s="360" t="s">
        <v>29</v>
      </c>
      <c r="B14" s="360"/>
      <c r="C14" s="360"/>
      <c r="D14" s="360"/>
      <c r="E14" s="360"/>
      <c r="F14" s="360"/>
      <c r="G14" s="360"/>
      <c r="I14" s="1"/>
    </row>
    <row r="15" spans="1:9" ht="78.75">
      <c r="A15" s="20" t="s">
        <v>30</v>
      </c>
      <c r="B15" s="20" t="s">
        <v>31</v>
      </c>
      <c r="C15" s="20" t="s">
        <v>32</v>
      </c>
      <c r="D15" s="20" t="s">
        <v>37</v>
      </c>
      <c r="E15" s="20" t="s">
        <v>120</v>
      </c>
      <c r="I15" s="1"/>
    </row>
    <row r="16" spans="1:9" ht="60">
      <c r="A16" s="2" t="s">
        <v>40</v>
      </c>
      <c r="B16" s="8">
        <v>59000</v>
      </c>
      <c r="C16" s="8">
        <v>41300</v>
      </c>
      <c r="D16" s="254">
        <v>150</v>
      </c>
      <c r="E16" s="251">
        <f>B16*D16</f>
        <v>8850000</v>
      </c>
      <c r="F16" s="13"/>
      <c r="G16" s="5"/>
      <c r="I16" s="1"/>
    </row>
    <row r="17" spans="1:9" ht="21">
      <c r="A17" s="489" t="s">
        <v>41</v>
      </c>
      <c r="B17" s="489"/>
      <c r="C17" s="489"/>
      <c r="D17" s="489"/>
      <c r="E17" s="489"/>
      <c r="F17" s="489"/>
      <c r="G17" s="5"/>
      <c r="I17" s="1"/>
    </row>
    <row r="18" spans="1:9" ht="75">
      <c r="A18" s="14" t="s">
        <v>43</v>
      </c>
      <c r="B18" s="9" t="s">
        <v>45</v>
      </c>
      <c r="C18" s="9" t="s">
        <v>46</v>
      </c>
      <c r="D18" s="9" t="s">
        <v>47</v>
      </c>
      <c r="E18" s="9" t="s">
        <v>48</v>
      </c>
      <c r="F18" s="9" t="s">
        <v>171</v>
      </c>
      <c r="G18" s="9" t="s">
        <v>46</v>
      </c>
      <c r="H18" s="9" t="s">
        <v>47</v>
      </c>
      <c r="I18" s="9" t="s">
        <v>48</v>
      </c>
    </row>
    <row r="19" spans="1:9">
      <c r="A19" s="15">
        <f>$B4/$D$16</f>
        <v>5.4545454545454541</v>
      </c>
      <c r="B19" s="487">
        <f>(SUM(A19:A28)/10)</f>
        <v>8.0431306138306145</v>
      </c>
      <c r="C19" s="474">
        <f>D16*B19</f>
        <v>1206.4695920745921</v>
      </c>
      <c r="D19" s="474">
        <f>C19*C16</f>
        <v>49827194.152680658</v>
      </c>
      <c r="E19" s="474">
        <f>(D19*30)/100</f>
        <v>14948158.245804198</v>
      </c>
      <c r="F19" s="490">
        <f>(SUM(A21:A23)/3)</f>
        <v>11.055444444444445</v>
      </c>
      <c r="G19" s="481">
        <f>D16*F19</f>
        <v>1658.3166666666668</v>
      </c>
      <c r="H19" s="481">
        <f>C16*G19</f>
        <v>68488478.333333343</v>
      </c>
      <c r="I19" s="481">
        <f>(H19*30)/100</f>
        <v>20546543.500000004</v>
      </c>
    </row>
    <row r="20" spans="1:9">
      <c r="A20" s="15">
        <f>$B5/$D$16</f>
        <v>10.666666666666666</v>
      </c>
      <c r="B20" s="487"/>
      <c r="C20" s="436"/>
      <c r="D20" s="436"/>
      <c r="E20" s="436"/>
      <c r="F20" s="490"/>
      <c r="G20" s="482"/>
      <c r="H20" s="482"/>
      <c r="I20" s="482"/>
    </row>
    <row r="21" spans="1:9">
      <c r="A21" s="11">
        <f>$B6/$D$16</f>
        <v>7.7333333333333334</v>
      </c>
      <c r="B21" s="488"/>
      <c r="C21" s="477"/>
      <c r="D21" s="477"/>
      <c r="E21" s="477"/>
      <c r="F21" s="491"/>
      <c r="G21" s="483"/>
      <c r="H21" s="483"/>
      <c r="I21" s="483"/>
    </row>
    <row r="22" spans="1:9">
      <c r="A22" s="11">
        <f>$B7/$D$16</f>
        <v>13.537849599999999</v>
      </c>
      <c r="B22" s="484" t="s">
        <v>172</v>
      </c>
      <c r="C22" s="484"/>
      <c r="D22" s="484"/>
      <c r="E22" s="484"/>
      <c r="F22" s="484"/>
      <c r="G22" s="484"/>
      <c r="H22" s="484"/>
      <c r="I22" s="484"/>
    </row>
    <row r="23" spans="1:9" ht="75">
      <c r="A23" s="10">
        <f>$B8/$D$16</f>
        <v>11.8951504</v>
      </c>
      <c r="B23" s="12" t="s">
        <v>45</v>
      </c>
      <c r="C23" s="12" t="s">
        <v>173</v>
      </c>
      <c r="D23" s="12" t="s">
        <v>47</v>
      </c>
      <c r="E23" s="12" t="s">
        <v>48</v>
      </c>
      <c r="F23" s="5"/>
      <c r="G23" s="5"/>
      <c r="I23" s="485"/>
    </row>
    <row r="24" spans="1:9">
      <c r="A24" s="16">
        <f>$B9/$D$16</f>
        <v>7.4666666666666668</v>
      </c>
      <c r="B24" s="487">
        <v>6.98</v>
      </c>
      <c r="C24" s="474">
        <f>D16*B24</f>
        <v>1047</v>
      </c>
      <c r="D24" s="474">
        <f>C24*C16</f>
        <v>43241100</v>
      </c>
      <c r="E24" s="474">
        <f>(D24*30)/100</f>
        <v>12972330</v>
      </c>
      <c r="F24" s="5"/>
      <c r="G24" s="5"/>
      <c r="I24" s="486"/>
    </row>
    <row r="25" spans="1:9">
      <c r="A25" s="16">
        <f>$B10/$D$16</f>
        <v>4.4333333333333336</v>
      </c>
      <c r="B25" s="487"/>
      <c r="C25" s="436"/>
      <c r="D25" s="436"/>
      <c r="E25" s="436"/>
      <c r="F25" s="5"/>
      <c r="G25" s="5"/>
      <c r="I25" s="486"/>
    </row>
    <row r="26" spans="1:9">
      <c r="A26" s="16">
        <f>$B11/$D$16</f>
        <v>5.3222222222222229</v>
      </c>
      <c r="B26" s="488"/>
      <c r="C26" s="477"/>
      <c r="D26" s="477"/>
      <c r="E26" s="477"/>
      <c r="F26" s="5"/>
      <c r="G26" s="5"/>
    </row>
    <row r="27" spans="1:9">
      <c r="A27" s="15">
        <f>$B12/$D$16</f>
        <v>5.46</v>
      </c>
    </row>
    <row r="28" spans="1:9">
      <c r="A28" s="16">
        <f>$B13/$D$16</f>
        <v>8.4615384615384617</v>
      </c>
    </row>
    <row r="29" spans="1:9">
      <c r="A29" s="23"/>
      <c r="B29" s="24"/>
      <c r="C29" s="24"/>
      <c r="D29" s="24"/>
      <c r="E29" s="24"/>
      <c r="F29" s="24"/>
      <c r="G29" s="24"/>
      <c r="H29" s="24"/>
      <c r="I29" s="24"/>
    </row>
    <row r="30" spans="1:9">
      <c r="A30" s="436" t="s">
        <v>174</v>
      </c>
      <c r="B30" s="477"/>
      <c r="C30" s="477"/>
      <c r="D30" s="477"/>
      <c r="E30" s="477"/>
      <c r="F30" s="436"/>
      <c r="G30" s="436"/>
      <c r="H30" s="436"/>
    </row>
    <row r="31" spans="1:9" ht="75">
      <c r="A31" s="21" t="s">
        <v>47</v>
      </c>
      <c r="B31" s="475">
        <v>0.12</v>
      </c>
      <c r="C31" s="476"/>
      <c r="D31" s="476"/>
      <c r="E31" s="476"/>
      <c r="F31" s="5"/>
    </row>
    <row r="32" spans="1:9" ht="60">
      <c r="A32" s="478">
        <f>H19</f>
        <v>68488478.333333343</v>
      </c>
      <c r="B32" s="255" t="s">
        <v>175</v>
      </c>
      <c r="C32" s="22" t="s">
        <v>176</v>
      </c>
      <c r="D32" s="245" t="s">
        <v>177</v>
      </c>
      <c r="E32" s="245"/>
      <c r="F32" s="5"/>
    </row>
    <row r="33" spans="1:7">
      <c r="A33" s="479"/>
      <c r="B33" s="472">
        <f>(A32*12)/100</f>
        <v>8218617.4000000013</v>
      </c>
      <c r="C33" s="472">
        <f>CONTROLE!E19</f>
        <v>1661760</v>
      </c>
      <c r="D33" s="474">
        <f>B33-C33</f>
        <v>6556857.4000000013</v>
      </c>
      <c r="E33" s="474"/>
      <c r="F33" s="5"/>
    </row>
    <row r="34" spans="1:7">
      <c r="A34" s="480"/>
      <c r="B34" s="473"/>
      <c r="C34" s="472"/>
      <c r="D34" s="474"/>
      <c r="E34" s="474"/>
      <c r="F34" s="5"/>
    </row>
    <row r="35" spans="1:7">
      <c r="B35" s="473"/>
      <c r="C35" s="472"/>
      <c r="D35" s="474"/>
      <c r="E35" s="474"/>
    </row>
    <row r="36" spans="1:7" ht="18.75">
      <c r="B36" s="475">
        <v>0.08</v>
      </c>
      <c r="C36" s="476"/>
      <c r="D36" s="476"/>
      <c r="E36" s="476"/>
    </row>
    <row r="37" spans="1:7" ht="60">
      <c r="A37" s="6"/>
      <c r="B37" s="255" t="s">
        <v>175</v>
      </c>
      <c r="C37" s="22" t="s">
        <v>178</v>
      </c>
      <c r="D37" s="245" t="s">
        <v>179</v>
      </c>
      <c r="E37" s="245" t="s">
        <v>152</v>
      </c>
      <c r="F37" s="5"/>
      <c r="G37" s="5"/>
    </row>
    <row r="38" spans="1:7">
      <c r="A38" s="6"/>
      <c r="B38" s="472">
        <f>(A32*8)/100</f>
        <v>5479078.2666666675</v>
      </c>
      <c r="C38" s="472">
        <f>(B38*0.5)/100</f>
        <v>27395.391333333337</v>
      </c>
      <c r="D38" s="474">
        <f>B38-C38</f>
        <v>5451682.8753333343</v>
      </c>
      <c r="E38" s="474">
        <f>C38</f>
        <v>27395.391333333337</v>
      </c>
      <c r="F38" s="5"/>
      <c r="G38" s="5"/>
    </row>
    <row r="39" spans="1:7">
      <c r="A39" s="6"/>
      <c r="B39" s="473"/>
      <c r="C39" s="472"/>
      <c r="D39" s="474"/>
      <c r="E39" s="474"/>
      <c r="F39" s="5"/>
      <c r="G39" s="5"/>
    </row>
    <row r="40" spans="1:7">
      <c r="B40" s="473"/>
      <c r="C40" s="472"/>
      <c r="D40" s="474"/>
      <c r="E40" s="474"/>
    </row>
    <row r="41" spans="1:7" ht="18.75">
      <c r="B41" s="475">
        <v>0.5</v>
      </c>
      <c r="C41" s="476"/>
      <c r="D41" s="476"/>
      <c r="E41" s="476"/>
    </row>
    <row r="42" spans="1:7" ht="60">
      <c r="B42" s="255" t="s">
        <v>175</v>
      </c>
      <c r="C42" s="22" t="s">
        <v>178</v>
      </c>
      <c r="D42" s="245" t="s">
        <v>179</v>
      </c>
      <c r="E42" s="245" t="s">
        <v>152</v>
      </c>
    </row>
    <row r="43" spans="1:7">
      <c r="B43" s="472">
        <f>(A32*50)/100</f>
        <v>34244239.166666672</v>
      </c>
      <c r="C43" s="472">
        <f>(B43*0.5)/100</f>
        <v>171221.19583333336</v>
      </c>
      <c r="D43" s="474">
        <f>B43-C43</f>
        <v>34073017.970833339</v>
      </c>
      <c r="E43" s="474">
        <f>C43</f>
        <v>171221.19583333336</v>
      </c>
    </row>
    <row r="44" spans="1:7">
      <c r="B44" s="473"/>
      <c r="C44" s="472"/>
      <c r="D44" s="474"/>
      <c r="E44" s="474"/>
    </row>
    <row r="45" spans="1:7">
      <c r="A45" s="7"/>
      <c r="B45" s="473"/>
      <c r="C45" s="472"/>
      <c r="D45" s="474"/>
      <c r="E45" s="474"/>
    </row>
  </sheetData>
  <mergeCells count="39">
    <mergeCell ref="A1:I1"/>
    <mergeCell ref="A2:A3"/>
    <mergeCell ref="B2:B3"/>
    <mergeCell ref="C2:C3"/>
    <mergeCell ref="D2:D3"/>
    <mergeCell ref="E2:G2"/>
    <mergeCell ref="A14:G14"/>
    <mergeCell ref="A17:F17"/>
    <mergeCell ref="B19:B21"/>
    <mergeCell ref="C19:C21"/>
    <mergeCell ref="D19:D21"/>
    <mergeCell ref="E19:E21"/>
    <mergeCell ref="F19:F21"/>
    <mergeCell ref="G19:G21"/>
    <mergeCell ref="H19:H21"/>
    <mergeCell ref="I19:I21"/>
    <mergeCell ref="B22:I22"/>
    <mergeCell ref="I23:I25"/>
    <mergeCell ref="B24:B26"/>
    <mergeCell ref="C24:C26"/>
    <mergeCell ref="D24:D26"/>
    <mergeCell ref="E24:E26"/>
    <mergeCell ref="A30:H30"/>
    <mergeCell ref="B31:E31"/>
    <mergeCell ref="A32:A34"/>
    <mergeCell ref="B33:B35"/>
    <mergeCell ref="C33:C35"/>
    <mergeCell ref="D33:D35"/>
    <mergeCell ref="E33:E35"/>
    <mergeCell ref="B43:B45"/>
    <mergeCell ref="C43:C45"/>
    <mergeCell ref="D43:D45"/>
    <mergeCell ref="E43:E45"/>
    <mergeCell ref="B36:E36"/>
    <mergeCell ref="B38:B40"/>
    <mergeCell ref="C38:C40"/>
    <mergeCell ref="D38:D40"/>
    <mergeCell ref="E38:E40"/>
    <mergeCell ref="B41: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thiago cruz esteves</cp:lastModifiedBy>
  <cp:revision/>
  <dcterms:created xsi:type="dcterms:W3CDTF">2021-06-16T13:08:25Z</dcterms:created>
  <dcterms:modified xsi:type="dcterms:W3CDTF">2021-07-10T19:24:26Z</dcterms:modified>
  <cp:category/>
  <cp:contentStatus/>
</cp:coreProperties>
</file>