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570" documentId="8_{2E803B0A-BD2A-4E5B-858E-5BE488C12CC9}" xr6:coauthVersionLast="47" xr6:coauthVersionMax="47" xr10:uidLastSave="{60120A17-3D61-4986-B5FF-04556C0458D2}"/>
  <bookViews>
    <workbookView xWindow="-108" yWindow="-108" windowWidth="23256" windowHeight="12576" firstSheet="1" activeTab="1" xr2:uid="{F576FC7E-C91F-440E-BAFE-D2300A051FD2}"/>
  </bookViews>
  <sheets>
    <sheet name="ANALIZE" sheetId="10" r:id="rId1"/>
    <sheet name="CALCULO DA MAQUINAS " sheetId="9" r:id="rId2"/>
    <sheet name="PLANINHA CENTRAL" sheetId="1" r:id="rId3"/>
    <sheet name="P.D.E" sheetId="2" r:id="rId4"/>
    <sheet name="DIMENCINAMENTO DE PLACA" sheetId="4" r:id="rId5"/>
    <sheet name="CONTROLE DE ESTOQUE " sheetId="6" r:id="rId6"/>
    <sheet name="GASTO COM INSTALAÇÕES" sheetId="7" r:id="rId7"/>
    <sheet name="RETORNO DE INVESTIMENTO " sheetId="5" r:id="rId8"/>
    <sheet name="GERAÇÃO DE ENERGIA" sheetId="3" r:id="rId9"/>
    <sheet name="VALORES" sheetId="8" r:id="rId10"/>
    <sheet name="SISTEMA ELETRICO " sheetId="12" r:id="rId11"/>
    <sheet name="CUSTO TOTAL " sheetId="11" r:id="rId12"/>
    <sheet name="VENDA DA EMPRESA " sheetId="13" r:id="rId13"/>
    <sheet name="Planilha1" sheetId="14" r:id="rId14"/>
    <sheet name="Planilha2" sheetId="15" r:id="rId15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4" l="1"/>
  <c r="E32" i="14"/>
  <c r="N7" i="9"/>
  <c r="E25" i="14"/>
  <c r="E31" i="14"/>
  <c r="E30" i="14"/>
  <c r="E29" i="14"/>
  <c r="E28" i="14"/>
  <c r="E27" i="14"/>
  <c r="E26" i="14"/>
  <c r="O4" i="13"/>
  <c r="B15" i="15"/>
  <c r="E11" i="15"/>
  <c r="E10" i="15"/>
  <c r="E9" i="15"/>
  <c r="O8" i="15"/>
  <c r="E8" i="15"/>
  <c r="O7" i="15"/>
  <c r="A6" i="15"/>
  <c r="D5" i="15"/>
  <c r="D5" i="13"/>
  <c r="O3" i="13"/>
  <c r="E11" i="13"/>
  <c r="E16" i="14"/>
  <c r="E14" i="14"/>
  <c r="E10" i="14"/>
  <c r="E12" i="14"/>
  <c r="E13" i="14"/>
  <c r="E15" i="14"/>
  <c r="E11" i="14"/>
  <c r="E9" i="14"/>
  <c r="E8" i="14"/>
  <c r="F6" i="14"/>
  <c r="E6" i="14"/>
  <c r="F5" i="14"/>
  <c r="E5" i="14"/>
  <c r="F4" i="14"/>
  <c r="G4" i="14" s="1"/>
  <c r="E4" i="14"/>
  <c r="Q4" i="9"/>
  <c r="Q7" i="9"/>
  <c r="E10" i="13"/>
  <c r="E9" i="13"/>
  <c r="A6" i="13"/>
  <c r="J7" i="9"/>
  <c r="J9" i="9"/>
  <c r="L9" i="9"/>
  <c r="L7" i="9"/>
  <c r="F7" i="9"/>
  <c r="H54" i="11"/>
  <c r="H59" i="11" s="1"/>
  <c r="H64" i="11" s="1"/>
  <c r="H52" i="11"/>
  <c r="H57" i="11" s="1"/>
  <c r="H62" i="11" s="1"/>
  <c r="H48" i="11"/>
  <c r="H43" i="11"/>
  <c r="H38" i="11"/>
  <c r="H46" i="11"/>
  <c r="H41" i="11"/>
  <c r="H36" i="11"/>
  <c r="H3" i="11"/>
  <c r="H22" i="11"/>
  <c r="H20" i="11"/>
  <c r="H27" i="11"/>
  <c r="H32" i="11" s="1"/>
  <c r="H25" i="11"/>
  <c r="H30" i="11" s="1"/>
  <c r="H16" i="11"/>
  <c r="H14" i="11"/>
  <c r="H11" i="11"/>
  <c r="H9" i="11"/>
  <c r="H6" i="11"/>
  <c r="H4" i="11"/>
  <c r="A52" i="11"/>
  <c r="E66" i="11"/>
  <c r="E65" i="11"/>
  <c r="E61" i="11"/>
  <c r="E60" i="11"/>
  <c r="E56" i="11"/>
  <c r="E55" i="11"/>
  <c r="A36" i="11"/>
  <c r="A41" i="11" s="1"/>
  <c r="E50" i="11"/>
  <c r="E49" i="11"/>
  <c r="E45" i="11"/>
  <c r="E44" i="11"/>
  <c r="E40" i="11"/>
  <c r="E39" i="11"/>
  <c r="A46" i="11"/>
  <c r="A4" i="11"/>
  <c r="A20" i="11"/>
  <c r="E34" i="11"/>
  <c r="E33" i="11"/>
  <c r="E29" i="11"/>
  <c r="E28" i="11"/>
  <c r="E24" i="11"/>
  <c r="E23" i="11"/>
  <c r="E18" i="11"/>
  <c r="E17" i="11"/>
  <c r="E13" i="11"/>
  <c r="E12" i="11"/>
  <c r="A9" i="11"/>
  <c r="A14" i="11" s="1"/>
  <c r="F13" i="9"/>
  <c r="H13" i="9"/>
  <c r="D52" i="11" s="1"/>
  <c r="J13" i="9"/>
  <c r="F14" i="9"/>
  <c r="H14" i="9"/>
  <c r="J14" i="9"/>
  <c r="F15" i="9"/>
  <c r="H15" i="9"/>
  <c r="J15" i="9"/>
  <c r="F8" i="9"/>
  <c r="K7" i="9"/>
  <c r="F11" i="9"/>
  <c r="H11" i="9"/>
  <c r="J11" i="9"/>
  <c r="L11" i="9" s="1"/>
  <c r="F12" i="9"/>
  <c r="H12" i="9"/>
  <c r="J12" i="9"/>
  <c r="F10" i="9"/>
  <c r="H8" i="9"/>
  <c r="D25" i="11" s="1"/>
  <c r="J8" i="9"/>
  <c r="F9" i="9"/>
  <c r="H9" i="9"/>
  <c r="K9" i="9"/>
  <c r="I33" i="11" s="1"/>
  <c r="M9" i="9"/>
  <c r="F5" i="9"/>
  <c r="F6" i="9"/>
  <c r="F4" i="9"/>
  <c r="J6" i="9"/>
  <c r="H6" i="9"/>
  <c r="D14" i="11" s="1"/>
  <c r="J5" i="9"/>
  <c r="H5" i="9"/>
  <c r="D9" i="11" s="1"/>
  <c r="D10" i="11" s="1"/>
  <c r="E10" i="11" s="1"/>
  <c r="B4" i="1"/>
  <c r="C4" i="1"/>
  <c r="A4" i="1"/>
  <c r="D37" i="9"/>
  <c r="E37" i="9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G3" i="8"/>
  <c r="G4" i="7"/>
  <c r="E9" i="7"/>
  <c r="D7" i="1"/>
  <c r="E6" i="12"/>
  <c r="E8" i="11"/>
  <c r="E16" i="12"/>
  <c r="E12" i="12"/>
  <c r="E13" i="12"/>
  <c r="E14" i="12"/>
  <c r="E15" i="12"/>
  <c r="E9" i="12"/>
  <c r="E10" i="12"/>
  <c r="E11" i="12"/>
  <c r="E8" i="12"/>
  <c r="E7" i="12"/>
  <c r="E5" i="12"/>
  <c r="E4" i="12"/>
  <c r="E3" i="12"/>
  <c r="E7" i="11"/>
  <c r="J29" i="9"/>
  <c r="H29" i="9"/>
  <c r="J28" i="9"/>
  <c r="H28" i="9"/>
  <c r="J27" i="9"/>
  <c r="H27" i="9"/>
  <c r="J26" i="9"/>
  <c r="H26" i="9"/>
  <c r="J25" i="9"/>
  <c r="H25" i="9"/>
  <c r="J24" i="9"/>
  <c r="H24" i="9"/>
  <c r="J23" i="9"/>
  <c r="H23" i="9"/>
  <c r="J22" i="9"/>
  <c r="K22" i="9" s="1"/>
  <c r="H22" i="9"/>
  <c r="J21" i="9"/>
  <c r="K21" i="9" s="1"/>
  <c r="H21" i="9"/>
  <c r="D21" i="9"/>
  <c r="J20" i="9"/>
  <c r="F20" i="9"/>
  <c r="H20" i="9" s="1"/>
  <c r="J19" i="9"/>
  <c r="F19" i="9"/>
  <c r="H19" i="9" s="1"/>
  <c r="J18" i="9"/>
  <c r="F18" i="9"/>
  <c r="H18" i="9" s="1"/>
  <c r="J17" i="9"/>
  <c r="F17" i="9"/>
  <c r="H17" i="9" s="1"/>
  <c r="J16" i="9"/>
  <c r="F16" i="9"/>
  <c r="H16" i="9" s="1"/>
  <c r="J10" i="9"/>
  <c r="L10" i="9" s="1"/>
  <c r="H10" i="9"/>
  <c r="D36" i="11" s="1"/>
  <c r="D41" i="11" s="1"/>
  <c r="D46" i="11" s="1"/>
  <c r="M7" i="9"/>
  <c r="H7" i="9"/>
  <c r="J4" i="9"/>
  <c r="H4" i="9"/>
  <c r="R3" i="9"/>
  <c r="D5" i="1"/>
  <c r="E28" i="4"/>
  <c r="D13" i="4"/>
  <c r="D6" i="1"/>
  <c r="D8" i="1"/>
  <c r="D9" i="1"/>
  <c r="D10" i="1"/>
  <c r="D11" i="1"/>
  <c r="D12" i="1"/>
  <c r="D13" i="1"/>
  <c r="D14" i="1"/>
  <c r="D29" i="4"/>
  <c r="D45" i="4"/>
  <c r="D61" i="4"/>
  <c r="D77" i="4"/>
  <c r="E11" i="7"/>
  <c r="F5" i="7"/>
  <c r="E5" i="7" s="1"/>
  <c r="F6" i="7"/>
  <c r="F4" i="7"/>
  <c r="E4" i="7" s="1"/>
  <c r="E10" i="7"/>
  <c r="E8" i="7"/>
  <c r="F8" i="7" s="1"/>
  <c r="H4" i="7" s="1"/>
  <c r="L86" i="6"/>
  <c r="K86" i="6"/>
  <c r="E86" i="6"/>
  <c r="L85" i="6"/>
  <c r="K85" i="6"/>
  <c r="E85" i="6"/>
  <c r="L84" i="6"/>
  <c r="K84" i="6"/>
  <c r="E84" i="6"/>
  <c r="L83" i="6"/>
  <c r="K83" i="6"/>
  <c r="E83" i="6"/>
  <c r="L82" i="6"/>
  <c r="K82" i="6"/>
  <c r="E82" i="6"/>
  <c r="L81" i="6"/>
  <c r="K81" i="6"/>
  <c r="E81" i="6"/>
  <c r="L80" i="6"/>
  <c r="K80" i="6"/>
  <c r="E80" i="6"/>
  <c r="L79" i="6"/>
  <c r="K79" i="6"/>
  <c r="E79" i="6"/>
  <c r="L78" i="6"/>
  <c r="K78" i="6"/>
  <c r="E78" i="6"/>
  <c r="L77" i="6"/>
  <c r="K77" i="6"/>
  <c r="E77" i="6"/>
  <c r="L76" i="6"/>
  <c r="K76" i="6"/>
  <c r="E76" i="6"/>
  <c r="L75" i="6"/>
  <c r="K75" i="6"/>
  <c r="E75" i="6"/>
  <c r="L74" i="6"/>
  <c r="K74" i="6"/>
  <c r="E74" i="6"/>
  <c r="L73" i="6"/>
  <c r="K73" i="6"/>
  <c r="E73" i="6"/>
  <c r="L72" i="6"/>
  <c r="K72" i="6"/>
  <c r="E72" i="6"/>
  <c r="L71" i="6"/>
  <c r="K71" i="6"/>
  <c r="E71" i="6"/>
  <c r="L70" i="6"/>
  <c r="K70" i="6"/>
  <c r="E70" i="6"/>
  <c r="L69" i="6"/>
  <c r="K69" i="6"/>
  <c r="E69" i="6"/>
  <c r="L68" i="6"/>
  <c r="K68" i="6"/>
  <c r="E68" i="6"/>
  <c r="L67" i="6"/>
  <c r="K67" i="6"/>
  <c r="E67" i="6"/>
  <c r="L66" i="6"/>
  <c r="K66" i="6"/>
  <c r="E66" i="6"/>
  <c r="L65" i="6"/>
  <c r="K65" i="6"/>
  <c r="E65" i="6"/>
  <c r="L64" i="6"/>
  <c r="K64" i="6"/>
  <c r="E64" i="6"/>
  <c r="L63" i="6"/>
  <c r="K63" i="6"/>
  <c r="E63" i="6"/>
  <c r="L62" i="6"/>
  <c r="K62" i="6"/>
  <c r="E62" i="6"/>
  <c r="L61" i="6"/>
  <c r="K61" i="6"/>
  <c r="E61" i="6"/>
  <c r="L60" i="6"/>
  <c r="K60" i="6"/>
  <c r="E60" i="6"/>
  <c r="L59" i="6"/>
  <c r="K59" i="6"/>
  <c r="E59" i="6"/>
  <c r="L58" i="6"/>
  <c r="K58" i="6"/>
  <c r="E58" i="6"/>
  <c r="L57" i="6"/>
  <c r="K57" i="6"/>
  <c r="E57" i="6"/>
  <c r="L56" i="6"/>
  <c r="K56" i="6"/>
  <c r="E56" i="6"/>
  <c r="L55" i="6"/>
  <c r="K55" i="6"/>
  <c r="E55" i="6"/>
  <c r="L54" i="6"/>
  <c r="K54" i="6"/>
  <c r="E54" i="6"/>
  <c r="L53" i="6"/>
  <c r="K53" i="6"/>
  <c r="E53" i="6"/>
  <c r="L52" i="6"/>
  <c r="K52" i="6"/>
  <c r="E52" i="6"/>
  <c r="L51" i="6"/>
  <c r="K51" i="6"/>
  <c r="E51" i="6"/>
  <c r="L50" i="6"/>
  <c r="K50" i="6"/>
  <c r="E50" i="6"/>
  <c r="L49" i="6"/>
  <c r="K49" i="6"/>
  <c r="E49" i="6"/>
  <c r="L48" i="6"/>
  <c r="K48" i="6"/>
  <c r="E48" i="6"/>
  <c r="L47" i="6"/>
  <c r="K47" i="6"/>
  <c r="E47" i="6"/>
  <c r="L46" i="6"/>
  <c r="K46" i="6"/>
  <c r="E46" i="6"/>
  <c r="L45" i="6"/>
  <c r="K45" i="6"/>
  <c r="E45" i="6"/>
  <c r="L44" i="6"/>
  <c r="K44" i="6"/>
  <c r="E44" i="6"/>
  <c r="L43" i="6"/>
  <c r="K43" i="6"/>
  <c r="E43" i="6"/>
  <c r="L42" i="6"/>
  <c r="K42" i="6"/>
  <c r="E42" i="6"/>
  <c r="L41" i="6"/>
  <c r="K41" i="6"/>
  <c r="E41" i="6"/>
  <c r="L40" i="6"/>
  <c r="K40" i="6"/>
  <c r="E40" i="6"/>
  <c r="L39" i="6"/>
  <c r="K39" i="6"/>
  <c r="E39" i="6"/>
  <c r="L38" i="6"/>
  <c r="K38" i="6"/>
  <c r="E38" i="6"/>
  <c r="L37" i="6"/>
  <c r="K37" i="6"/>
  <c r="E37" i="6"/>
  <c r="L36" i="6"/>
  <c r="K36" i="6"/>
  <c r="E36" i="6"/>
  <c r="L35" i="6"/>
  <c r="K35" i="6"/>
  <c r="E35" i="6"/>
  <c r="L34" i="6"/>
  <c r="K34" i="6"/>
  <c r="E34" i="6"/>
  <c r="L33" i="6"/>
  <c r="K33" i="6"/>
  <c r="E33" i="6"/>
  <c r="L32" i="6"/>
  <c r="K32" i="6"/>
  <c r="E32" i="6"/>
  <c r="L31" i="6"/>
  <c r="K31" i="6"/>
  <c r="E31" i="6"/>
  <c r="L30" i="6"/>
  <c r="K30" i="6"/>
  <c r="E30" i="6"/>
  <c r="L29" i="6"/>
  <c r="K29" i="6"/>
  <c r="E29" i="6"/>
  <c r="L28" i="6"/>
  <c r="K28" i="6"/>
  <c r="E28" i="6"/>
  <c r="L27" i="6"/>
  <c r="K27" i="6"/>
  <c r="E27" i="6"/>
  <c r="L26" i="6"/>
  <c r="K26" i="6"/>
  <c r="E26" i="6"/>
  <c r="L25" i="6"/>
  <c r="K25" i="6"/>
  <c r="E25" i="6"/>
  <c r="L24" i="6"/>
  <c r="K24" i="6"/>
  <c r="E24" i="6"/>
  <c r="L23" i="6"/>
  <c r="K23" i="6"/>
  <c r="L22" i="6"/>
  <c r="K22" i="6"/>
  <c r="E22" i="6"/>
  <c r="L21" i="6"/>
  <c r="K21" i="6"/>
  <c r="E21" i="6"/>
  <c r="L20" i="6"/>
  <c r="K20" i="6"/>
  <c r="E20" i="6"/>
  <c r="L19" i="6"/>
  <c r="K19" i="6"/>
  <c r="E19" i="6"/>
  <c r="L18" i="6"/>
  <c r="K18" i="6"/>
  <c r="E18" i="6"/>
  <c r="L17" i="6"/>
  <c r="K17" i="6"/>
  <c r="E17" i="6"/>
  <c r="L16" i="6"/>
  <c r="K16" i="6"/>
  <c r="E16" i="6"/>
  <c r="L15" i="6"/>
  <c r="K15" i="6"/>
  <c r="E15" i="6"/>
  <c r="L14" i="6"/>
  <c r="K14" i="6"/>
  <c r="E14" i="6"/>
  <c r="L13" i="6"/>
  <c r="K13" i="6"/>
  <c r="E13" i="6"/>
  <c r="L12" i="6"/>
  <c r="K12" i="6"/>
  <c r="E12" i="6"/>
  <c r="L11" i="6"/>
  <c r="K11" i="6"/>
  <c r="E11" i="6"/>
  <c r="L10" i="6"/>
  <c r="K10" i="6"/>
  <c r="E10" i="6"/>
  <c r="L9" i="6"/>
  <c r="K9" i="6"/>
  <c r="E9" i="6"/>
  <c r="L8" i="6"/>
  <c r="K8" i="6"/>
  <c r="E8" i="6"/>
  <c r="L7" i="6"/>
  <c r="K7" i="6"/>
  <c r="E7" i="6"/>
  <c r="L6" i="6"/>
  <c r="K6" i="6"/>
  <c r="E6" i="6"/>
  <c r="M5" i="6"/>
  <c r="I41" i="3"/>
  <c r="I19" i="3"/>
  <c r="G8" i="3"/>
  <c r="G11" i="3"/>
  <c r="G13" i="3"/>
  <c r="G14" i="3"/>
  <c r="G15" i="3"/>
  <c r="G16" i="3"/>
  <c r="E44" i="2"/>
  <c r="E43" i="2"/>
  <c r="E42" i="2"/>
  <c r="E41" i="2"/>
  <c r="E40" i="2"/>
  <c r="E39" i="2"/>
  <c r="F39" i="2" s="1"/>
  <c r="E35" i="2"/>
  <c r="E34" i="2"/>
  <c r="E33" i="2"/>
  <c r="E32" i="2"/>
  <c r="E31" i="2"/>
  <c r="E30" i="2"/>
  <c r="E21" i="2"/>
  <c r="E12" i="2"/>
  <c r="I9" i="13" l="1"/>
  <c r="J9" i="13" s="1"/>
  <c r="I9" i="15"/>
  <c r="D6" i="13"/>
  <c r="D6" i="15"/>
  <c r="D7" i="15"/>
  <c r="E7" i="15" s="1"/>
  <c r="E6" i="15"/>
  <c r="M9" i="15"/>
  <c r="N9" i="15" s="1"/>
  <c r="K9" i="15"/>
  <c r="L9" i="15" s="1"/>
  <c r="J9" i="15"/>
  <c r="F8" i="14"/>
  <c r="H4" i="14"/>
  <c r="K4" i="9"/>
  <c r="I7" i="11" s="1"/>
  <c r="L4" i="9"/>
  <c r="K5" i="9"/>
  <c r="I12" i="11" s="1"/>
  <c r="L5" i="9"/>
  <c r="K6" i="9"/>
  <c r="I17" i="11" s="1"/>
  <c r="L6" i="9"/>
  <c r="K8" i="9"/>
  <c r="I28" i="11" s="1"/>
  <c r="L8" i="9"/>
  <c r="M8" i="9" s="1"/>
  <c r="K12" i="9"/>
  <c r="I49" i="11" s="1"/>
  <c r="L12" i="9"/>
  <c r="M12" i="9" s="1"/>
  <c r="K15" i="9"/>
  <c r="I65" i="11" s="1"/>
  <c r="L15" i="9"/>
  <c r="M15" i="9" s="1"/>
  <c r="K14" i="9"/>
  <c r="I60" i="11" s="1"/>
  <c r="L14" i="9"/>
  <c r="M14" i="9" s="1"/>
  <c r="K13" i="9"/>
  <c r="I55" i="11" s="1"/>
  <c r="L13" i="9"/>
  <c r="M13" i="9" s="1"/>
  <c r="D7" i="13"/>
  <c r="E7" i="13" s="1"/>
  <c r="E6" i="13"/>
  <c r="M9" i="13"/>
  <c r="N9" i="13" s="1"/>
  <c r="K9" i="13"/>
  <c r="L9" i="13" s="1"/>
  <c r="I23" i="11"/>
  <c r="D20" i="11"/>
  <c r="M10" i="9"/>
  <c r="K10" i="9"/>
  <c r="I39" i="11" s="1"/>
  <c r="L16" i="9"/>
  <c r="M16" i="9" s="1"/>
  <c r="K16" i="9"/>
  <c r="L17" i="9"/>
  <c r="M17" i="9" s="1"/>
  <c r="K17" i="9"/>
  <c r="L18" i="9"/>
  <c r="M18" i="9" s="1"/>
  <c r="K18" i="9"/>
  <c r="L19" i="9"/>
  <c r="M19" i="9" s="1"/>
  <c r="K19" i="9"/>
  <c r="L20" i="9"/>
  <c r="M20" i="9" s="1"/>
  <c r="K20" i="9"/>
  <c r="L23" i="9"/>
  <c r="M23" i="9" s="1"/>
  <c r="K23" i="9"/>
  <c r="L24" i="9"/>
  <c r="M24" i="9" s="1"/>
  <c r="K24" i="9"/>
  <c r="L25" i="9"/>
  <c r="M25" i="9" s="1"/>
  <c r="K25" i="9"/>
  <c r="L26" i="9"/>
  <c r="M26" i="9" s="1"/>
  <c r="K26" i="9"/>
  <c r="L27" i="9"/>
  <c r="M27" i="9" s="1"/>
  <c r="K27" i="9"/>
  <c r="L28" i="9"/>
  <c r="M28" i="9" s="1"/>
  <c r="K28" i="9"/>
  <c r="L29" i="9"/>
  <c r="M29" i="9" s="1"/>
  <c r="K29" i="9"/>
  <c r="M11" i="9"/>
  <c r="K11" i="9"/>
  <c r="I44" i="11" s="1"/>
  <c r="M55" i="11"/>
  <c r="N55" i="11" s="1"/>
  <c r="K55" i="11"/>
  <c r="L55" i="11" s="1"/>
  <c r="J55" i="11"/>
  <c r="M60" i="11"/>
  <c r="N60" i="11" s="1"/>
  <c r="K60" i="11"/>
  <c r="L60" i="11" s="1"/>
  <c r="J60" i="11"/>
  <c r="M65" i="11"/>
  <c r="N65" i="11" s="1"/>
  <c r="K65" i="11"/>
  <c r="L65" i="11" s="1"/>
  <c r="J65" i="11"/>
  <c r="N13" i="9"/>
  <c r="O13" i="9" s="1"/>
  <c r="N14" i="9"/>
  <c r="O14" i="9" s="1"/>
  <c r="N15" i="9"/>
  <c r="O15" i="9" s="1"/>
  <c r="N11" i="9"/>
  <c r="O11" i="9" s="1"/>
  <c r="N12" i="9"/>
  <c r="O12" i="9" s="1"/>
  <c r="D4" i="11"/>
  <c r="D5" i="11" s="1"/>
  <c r="L21" i="9"/>
  <c r="M21" i="9" s="1"/>
  <c r="L22" i="9"/>
  <c r="M22" i="9" s="1"/>
  <c r="M5" i="9"/>
  <c r="D15" i="11"/>
  <c r="E15" i="11" s="1"/>
  <c r="E14" i="11"/>
  <c r="M6" i="9"/>
  <c r="E9" i="11"/>
  <c r="D30" i="11"/>
  <c r="M23" i="11"/>
  <c r="N23" i="11" s="1"/>
  <c r="K23" i="11"/>
  <c r="L23" i="11" s="1"/>
  <c r="J23" i="11"/>
  <c r="M28" i="11"/>
  <c r="N28" i="11" s="1"/>
  <c r="K28" i="11"/>
  <c r="L28" i="11" s="1"/>
  <c r="J28" i="11"/>
  <c r="M33" i="11"/>
  <c r="N33" i="11" s="1"/>
  <c r="K33" i="11"/>
  <c r="L33" i="11" s="1"/>
  <c r="J33" i="11"/>
  <c r="M17" i="11"/>
  <c r="N17" i="11" s="1"/>
  <c r="K17" i="11"/>
  <c r="L17" i="11" s="1"/>
  <c r="M39" i="11"/>
  <c r="N39" i="11" s="1"/>
  <c r="K39" i="11"/>
  <c r="L39" i="11" s="1"/>
  <c r="J39" i="11"/>
  <c r="M44" i="11"/>
  <c r="N44" i="11" s="1"/>
  <c r="K44" i="11"/>
  <c r="L44" i="11" s="1"/>
  <c r="J44" i="11"/>
  <c r="M49" i="11"/>
  <c r="N49" i="11" s="1"/>
  <c r="K49" i="11"/>
  <c r="L49" i="11" s="1"/>
  <c r="J49" i="11"/>
  <c r="M12" i="11"/>
  <c r="N12" i="11" s="1"/>
  <c r="K12" i="11"/>
  <c r="L12" i="11" s="1"/>
  <c r="J7" i="11"/>
  <c r="A30" i="11"/>
  <c r="A25" i="11"/>
  <c r="D62" i="11"/>
  <c r="D57" i="11"/>
  <c r="M7" i="11"/>
  <c r="N7" i="11" s="1"/>
  <c r="K7" i="11"/>
  <c r="L7" i="11" s="1"/>
  <c r="A62" i="11"/>
  <c r="A57" i="11"/>
  <c r="D53" i="11"/>
  <c r="E53" i="11" s="1"/>
  <c r="E52" i="11"/>
  <c r="D58" i="11"/>
  <c r="E58" i="11" s="1"/>
  <c r="E57" i="11"/>
  <c r="D63" i="11"/>
  <c r="E63" i="11" s="1"/>
  <c r="E62" i="11"/>
  <c r="D37" i="11"/>
  <c r="E37" i="11" s="1"/>
  <c r="E36" i="11"/>
  <c r="D42" i="11"/>
  <c r="E42" i="11" s="1"/>
  <c r="E41" i="11"/>
  <c r="D47" i="11"/>
  <c r="E47" i="11" s="1"/>
  <c r="E46" i="11"/>
  <c r="D21" i="11"/>
  <c r="E21" i="11" s="1"/>
  <c r="E20" i="11"/>
  <c r="D26" i="11"/>
  <c r="E26" i="11" s="1"/>
  <c r="E25" i="11"/>
  <c r="D31" i="11"/>
  <c r="E31" i="11" s="1"/>
  <c r="E30" i="11"/>
  <c r="N8" i="9"/>
  <c r="O8" i="9" s="1"/>
  <c r="N9" i="9"/>
  <c r="O9" i="9" s="1"/>
  <c r="N6" i="9"/>
  <c r="N5" i="9"/>
  <c r="O5" i="9"/>
  <c r="P5" i="9" s="1"/>
  <c r="O6" i="9"/>
  <c r="P6" i="9" s="1"/>
  <c r="M4" i="9"/>
  <c r="E4" i="11"/>
  <c r="F3" i="12"/>
  <c r="D6" i="11" s="1"/>
  <c r="N29" i="9"/>
  <c r="N28" i="9"/>
  <c r="N27" i="9"/>
  <c r="N26" i="9"/>
  <c r="N25" i="9"/>
  <c r="N24" i="9"/>
  <c r="N23" i="9"/>
  <c r="N22" i="9"/>
  <c r="N20" i="9"/>
  <c r="N19" i="9"/>
  <c r="N18" i="9"/>
  <c r="N17" i="9"/>
  <c r="N16" i="9"/>
  <c r="N10" i="9"/>
  <c r="N4" i="9"/>
  <c r="I5" i="11" s="1"/>
  <c r="O4" i="9"/>
  <c r="O7" i="9"/>
  <c r="O10" i="9"/>
  <c r="O16" i="9"/>
  <c r="P16" i="9" s="1"/>
  <c r="O17" i="9"/>
  <c r="P17" i="9" s="1"/>
  <c r="O18" i="9"/>
  <c r="P18" i="9" s="1"/>
  <c r="O19" i="9"/>
  <c r="P19" i="9" s="1"/>
  <c r="O20" i="9"/>
  <c r="P20" i="9" s="1"/>
  <c r="N21" i="9"/>
  <c r="O21" i="9"/>
  <c r="P21" i="9" s="1"/>
  <c r="O22" i="9"/>
  <c r="P22" i="9" s="1"/>
  <c r="O23" i="9"/>
  <c r="P23" i="9" s="1"/>
  <c r="O24" i="9"/>
  <c r="P24" i="9" s="1"/>
  <c r="O25" i="9"/>
  <c r="P25" i="9" s="1"/>
  <c r="O26" i="9"/>
  <c r="P26" i="9" s="1"/>
  <c r="O27" i="9"/>
  <c r="P27" i="9" s="1"/>
  <c r="O28" i="9"/>
  <c r="P28" i="9" s="1"/>
  <c r="O29" i="9"/>
  <c r="P29" i="9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D4" i="1"/>
  <c r="F4" i="1" s="1"/>
  <c r="H4" i="1" s="1"/>
  <c r="I4" i="1" s="1"/>
  <c r="I12" i="1" s="1"/>
  <c r="P72" i="1"/>
  <c r="E3" i="8"/>
  <c r="E6" i="7"/>
  <c r="J6" i="6"/>
  <c r="G6" i="6"/>
  <c r="F6" i="6"/>
  <c r="J7" i="6"/>
  <c r="G7" i="6"/>
  <c r="F7" i="6"/>
  <c r="J8" i="6"/>
  <c r="G8" i="6"/>
  <c r="F8" i="6"/>
  <c r="J9" i="6"/>
  <c r="G9" i="6"/>
  <c r="F9" i="6"/>
  <c r="J10" i="6"/>
  <c r="G10" i="6"/>
  <c r="F10" i="6"/>
  <c r="J11" i="6"/>
  <c r="G11" i="6"/>
  <c r="F11" i="6"/>
  <c r="J12" i="6"/>
  <c r="G12" i="6"/>
  <c r="F12" i="6"/>
  <c r="J13" i="6"/>
  <c r="G13" i="6"/>
  <c r="F13" i="6"/>
  <c r="J14" i="6"/>
  <c r="G14" i="6"/>
  <c r="F14" i="6"/>
  <c r="J15" i="6"/>
  <c r="G15" i="6"/>
  <c r="F15" i="6"/>
  <c r="J16" i="6"/>
  <c r="G16" i="6"/>
  <c r="F16" i="6"/>
  <c r="J17" i="6"/>
  <c r="G17" i="6"/>
  <c r="F17" i="6"/>
  <c r="J18" i="6"/>
  <c r="G18" i="6"/>
  <c r="F18" i="6"/>
  <c r="J19" i="6"/>
  <c r="G19" i="6"/>
  <c r="F19" i="6"/>
  <c r="J20" i="6"/>
  <c r="G20" i="6"/>
  <c r="F20" i="6"/>
  <c r="J21" i="6"/>
  <c r="G21" i="6"/>
  <c r="F21" i="6"/>
  <c r="J22" i="6"/>
  <c r="G22" i="6"/>
  <c r="F22" i="6"/>
  <c r="J23" i="6"/>
  <c r="G23" i="6"/>
  <c r="F23" i="6"/>
  <c r="J24" i="6"/>
  <c r="G24" i="6"/>
  <c r="F24" i="6"/>
  <c r="J25" i="6"/>
  <c r="G25" i="6"/>
  <c r="F25" i="6"/>
  <c r="J26" i="6"/>
  <c r="G26" i="6"/>
  <c r="F26" i="6"/>
  <c r="J27" i="6"/>
  <c r="G27" i="6"/>
  <c r="F27" i="6"/>
  <c r="J28" i="6"/>
  <c r="G28" i="6"/>
  <c r="F28" i="6"/>
  <c r="J29" i="6"/>
  <c r="G29" i="6"/>
  <c r="F29" i="6"/>
  <c r="J30" i="6"/>
  <c r="G30" i="6"/>
  <c r="F30" i="6"/>
  <c r="J31" i="6"/>
  <c r="G31" i="6"/>
  <c r="F31" i="6"/>
  <c r="J32" i="6"/>
  <c r="G32" i="6"/>
  <c r="F32" i="6"/>
  <c r="J33" i="6"/>
  <c r="G33" i="6"/>
  <c r="F33" i="6"/>
  <c r="J34" i="6"/>
  <c r="G34" i="6"/>
  <c r="F34" i="6"/>
  <c r="J35" i="6"/>
  <c r="G35" i="6"/>
  <c r="F35" i="6"/>
  <c r="J36" i="6"/>
  <c r="G36" i="6"/>
  <c r="F36" i="6"/>
  <c r="J37" i="6"/>
  <c r="G37" i="6"/>
  <c r="F37" i="6"/>
  <c r="J38" i="6"/>
  <c r="G38" i="6"/>
  <c r="F38" i="6"/>
  <c r="J39" i="6"/>
  <c r="G39" i="6"/>
  <c r="F39" i="6"/>
  <c r="J40" i="6"/>
  <c r="G40" i="6"/>
  <c r="F40" i="6"/>
  <c r="J41" i="6"/>
  <c r="G41" i="6"/>
  <c r="F41" i="6"/>
  <c r="J42" i="6"/>
  <c r="G42" i="6"/>
  <c r="F42" i="6"/>
  <c r="J43" i="6"/>
  <c r="G43" i="6"/>
  <c r="F43" i="6"/>
  <c r="J44" i="6"/>
  <c r="G44" i="6"/>
  <c r="F44" i="6"/>
  <c r="J45" i="6"/>
  <c r="G45" i="6"/>
  <c r="F45" i="6"/>
  <c r="J46" i="6"/>
  <c r="G46" i="6"/>
  <c r="F46" i="6"/>
  <c r="J47" i="6"/>
  <c r="G47" i="6"/>
  <c r="F47" i="6"/>
  <c r="J48" i="6"/>
  <c r="G48" i="6"/>
  <c r="F48" i="6"/>
  <c r="J49" i="6"/>
  <c r="G49" i="6"/>
  <c r="F49" i="6"/>
  <c r="J50" i="6"/>
  <c r="G50" i="6"/>
  <c r="F50" i="6"/>
  <c r="J51" i="6"/>
  <c r="G51" i="6"/>
  <c r="F51" i="6"/>
  <c r="J52" i="6"/>
  <c r="G52" i="6"/>
  <c r="F52" i="6"/>
  <c r="J53" i="6"/>
  <c r="G53" i="6"/>
  <c r="F53" i="6"/>
  <c r="J54" i="6"/>
  <c r="G54" i="6"/>
  <c r="F54" i="6"/>
  <c r="J55" i="6"/>
  <c r="G55" i="6"/>
  <c r="F55" i="6"/>
  <c r="J56" i="6"/>
  <c r="G56" i="6"/>
  <c r="F56" i="6"/>
  <c r="J57" i="6"/>
  <c r="G57" i="6"/>
  <c r="F57" i="6"/>
  <c r="J58" i="6"/>
  <c r="G58" i="6"/>
  <c r="F58" i="6"/>
  <c r="J59" i="6"/>
  <c r="G59" i="6"/>
  <c r="F59" i="6"/>
  <c r="J60" i="6"/>
  <c r="G60" i="6"/>
  <c r="F60" i="6"/>
  <c r="J61" i="6"/>
  <c r="G61" i="6"/>
  <c r="F61" i="6"/>
  <c r="J62" i="6"/>
  <c r="G62" i="6"/>
  <c r="F62" i="6"/>
  <c r="J63" i="6"/>
  <c r="G63" i="6"/>
  <c r="F63" i="6"/>
  <c r="J64" i="6"/>
  <c r="G64" i="6"/>
  <c r="F64" i="6"/>
  <c r="J65" i="6"/>
  <c r="G65" i="6"/>
  <c r="F65" i="6"/>
  <c r="J66" i="6"/>
  <c r="G66" i="6"/>
  <c r="F66" i="6"/>
  <c r="J67" i="6"/>
  <c r="G67" i="6"/>
  <c r="F67" i="6"/>
  <c r="J68" i="6"/>
  <c r="G68" i="6"/>
  <c r="F68" i="6"/>
  <c r="J69" i="6"/>
  <c r="G69" i="6"/>
  <c r="F69" i="6"/>
  <c r="J70" i="6"/>
  <c r="G70" i="6"/>
  <c r="F70" i="6"/>
  <c r="J71" i="6"/>
  <c r="G71" i="6"/>
  <c r="F71" i="6"/>
  <c r="J72" i="6"/>
  <c r="G72" i="6"/>
  <c r="F72" i="6"/>
  <c r="J73" i="6"/>
  <c r="G73" i="6"/>
  <c r="F73" i="6"/>
  <c r="J74" i="6"/>
  <c r="G74" i="6"/>
  <c r="F74" i="6"/>
  <c r="J75" i="6"/>
  <c r="G75" i="6"/>
  <c r="F75" i="6"/>
  <c r="J76" i="6"/>
  <c r="G76" i="6"/>
  <c r="F76" i="6"/>
  <c r="J77" i="6"/>
  <c r="G77" i="6"/>
  <c r="F77" i="6"/>
  <c r="J78" i="6"/>
  <c r="G78" i="6"/>
  <c r="F78" i="6"/>
  <c r="J79" i="6"/>
  <c r="G79" i="6"/>
  <c r="F79" i="6"/>
  <c r="J80" i="6"/>
  <c r="G80" i="6"/>
  <c r="F80" i="6"/>
  <c r="J81" i="6"/>
  <c r="G81" i="6"/>
  <c r="F81" i="6"/>
  <c r="J82" i="6"/>
  <c r="G82" i="6"/>
  <c r="F82" i="6"/>
  <c r="J83" i="6"/>
  <c r="G83" i="6"/>
  <c r="F83" i="6"/>
  <c r="J84" i="6"/>
  <c r="G84" i="6"/>
  <c r="F84" i="6"/>
  <c r="J85" i="6"/>
  <c r="G85" i="6"/>
  <c r="F85" i="6"/>
  <c r="J86" i="6"/>
  <c r="G86" i="6"/>
  <c r="F86" i="6"/>
  <c r="F30" i="2"/>
  <c r="E3" i="2"/>
  <c r="E4" i="2"/>
  <c r="E5" i="2"/>
  <c r="E6" i="2"/>
  <c r="E7" i="2"/>
  <c r="E8" i="2"/>
  <c r="E22" i="2"/>
  <c r="E23" i="2"/>
  <c r="E24" i="2"/>
  <c r="E25" i="2"/>
  <c r="E26" i="2"/>
  <c r="E17" i="2"/>
  <c r="E16" i="2"/>
  <c r="E15" i="2"/>
  <c r="E14" i="2"/>
  <c r="E13" i="2"/>
  <c r="F12" i="2"/>
  <c r="C3" i="13" l="1"/>
  <c r="C4" i="13" s="1"/>
  <c r="C3" i="15"/>
  <c r="C4" i="15" s="1"/>
  <c r="I7" i="13"/>
  <c r="J7" i="13" s="1"/>
  <c r="I7" i="15"/>
  <c r="G6" i="15"/>
  <c r="H9" i="15" s="1"/>
  <c r="F6" i="15"/>
  <c r="M7" i="13"/>
  <c r="N7" i="13" s="1"/>
  <c r="K7" i="13"/>
  <c r="L7" i="13" s="1"/>
  <c r="B23" i="14" s="1"/>
  <c r="G25" i="14" s="1"/>
  <c r="E8" i="13"/>
  <c r="F6" i="13" s="1"/>
  <c r="I21" i="11"/>
  <c r="P10" i="9"/>
  <c r="I37" i="11"/>
  <c r="P9" i="9"/>
  <c r="I31" i="11"/>
  <c r="J31" i="11" s="1"/>
  <c r="P8" i="9"/>
  <c r="I26" i="11"/>
  <c r="P12" i="9"/>
  <c r="I47" i="11"/>
  <c r="P11" i="9"/>
  <c r="I42" i="11"/>
  <c r="P15" i="9"/>
  <c r="I63" i="11"/>
  <c r="P14" i="9"/>
  <c r="I58" i="11"/>
  <c r="P13" i="9"/>
  <c r="I53" i="11"/>
  <c r="P7" i="9"/>
  <c r="J5" i="11"/>
  <c r="M5" i="11"/>
  <c r="N5" i="11" s="1"/>
  <c r="K5" i="11"/>
  <c r="L5" i="11" s="1"/>
  <c r="J17" i="11"/>
  <c r="I15" i="11"/>
  <c r="J12" i="11"/>
  <c r="I10" i="11"/>
  <c r="D38" i="11"/>
  <c r="D22" i="11"/>
  <c r="E6" i="11"/>
  <c r="F4" i="11" s="1"/>
  <c r="H5" i="11" s="1"/>
  <c r="D16" i="11"/>
  <c r="E16" i="11" s="1"/>
  <c r="F14" i="11" s="1"/>
  <c r="H15" i="11" s="1"/>
  <c r="D11" i="11"/>
  <c r="E11" i="11" s="1"/>
  <c r="F9" i="11" s="1"/>
  <c r="H10" i="11" s="1"/>
  <c r="P4" i="9"/>
  <c r="K5" i="1"/>
  <c r="D7" i="3" s="1"/>
  <c r="H7" i="3" s="1"/>
  <c r="K6" i="1"/>
  <c r="D8" i="3" s="1"/>
  <c r="H8" i="3" s="1"/>
  <c r="K7" i="1"/>
  <c r="D9" i="3" s="1"/>
  <c r="H9" i="3" s="1"/>
  <c r="K8" i="1"/>
  <c r="D10" i="3" s="1"/>
  <c r="H10" i="3" s="1"/>
  <c r="K9" i="1"/>
  <c r="D11" i="3" s="1"/>
  <c r="H11" i="3" s="1"/>
  <c r="K10" i="1"/>
  <c r="D12" i="3" s="1"/>
  <c r="H12" i="3" s="1"/>
  <c r="K11" i="1"/>
  <c r="D13" i="3" s="1"/>
  <c r="H13" i="3" s="1"/>
  <c r="K12" i="1"/>
  <c r="D14" i="3" s="1"/>
  <c r="H14" i="3" s="1"/>
  <c r="K13" i="1"/>
  <c r="D15" i="3" s="1"/>
  <c r="H15" i="3" s="1"/>
  <c r="K14" i="1"/>
  <c r="D16" i="3" s="1"/>
  <c r="H16" i="3" s="1"/>
  <c r="K15" i="1"/>
  <c r="D17" i="3" s="1"/>
  <c r="H17" i="3" s="1"/>
  <c r="K16" i="1"/>
  <c r="D18" i="3" s="1"/>
  <c r="H18" i="3" s="1"/>
  <c r="K4" i="1"/>
  <c r="D29" i="3"/>
  <c r="D30" i="3"/>
  <c r="H30" i="3" s="1"/>
  <c r="D31" i="3"/>
  <c r="H31" i="3" s="1"/>
  <c r="D32" i="3"/>
  <c r="H32" i="3" s="1"/>
  <c r="D33" i="3"/>
  <c r="H33" i="3" s="1"/>
  <c r="D34" i="3"/>
  <c r="H34" i="3" s="1"/>
  <c r="D35" i="3"/>
  <c r="H35" i="3" s="1"/>
  <c r="D36" i="3"/>
  <c r="H36" i="3" s="1"/>
  <c r="D37" i="3"/>
  <c r="H37" i="3" s="1"/>
  <c r="D38" i="3"/>
  <c r="H38" i="3" s="1"/>
  <c r="D39" i="3"/>
  <c r="H39" i="3" s="1"/>
  <c r="D40" i="3"/>
  <c r="H40" i="3" s="1"/>
  <c r="F21" i="2"/>
  <c r="F3" i="2"/>
  <c r="O13" i="1" s="1"/>
  <c r="M7" i="15" l="1"/>
  <c r="N7" i="15" s="1"/>
  <c r="C16" i="15" s="1"/>
  <c r="K7" i="15"/>
  <c r="L7" i="15" s="1"/>
  <c r="B16" i="15" s="1"/>
  <c r="J7" i="15"/>
  <c r="H7" i="15"/>
  <c r="D3" i="15"/>
  <c r="G6" i="13"/>
  <c r="H9" i="13" s="1"/>
  <c r="H7" i="13"/>
  <c r="D3" i="13" s="1"/>
  <c r="C15" i="13" s="1"/>
  <c r="M53" i="11"/>
  <c r="N53" i="11" s="1"/>
  <c r="K53" i="11"/>
  <c r="L53" i="11" s="1"/>
  <c r="J53" i="11"/>
  <c r="M58" i="11"/>
  <c r="N58" i="11" s="1"/>
  <c r="K58" i="11"/>
  <c r="L58" i="11" s="1"/>
  <c r="J58" i="11"/>
  <c r="M63" i="11"/>
  <c r="N63" i="11" s="1"/>
  <c r="K63" i="11"/>
  <c r="L63" i="11" s="1"/>
  <c r="J63" i="11"/>
  <c r="J42" i="11"/>
  <c r="M42" i="11"/>
  <c r="N42" i="11" s="1"/>
  <c r="K42" i="11"/>
  <c r="L42" i="11" s="1"/>
  <c r="J47" i="11"/>
  <c r="M47" i="11"/>
  <c r="N47" i="11" s="1"/>
  <c r="K47" i="11"/>
  <c r="L47" i="11" s="1"/>
  <c r="J37" i="11"/>
  <c r="M37" i="11"/>
  <c r="N37" i="11" s="1"/>
  <c r="K37" i="11"/>
  <c r="L37" i="11" s="1"/>
  <c r="M26" i="11"/>
  <c r="N26" i="11" s="1"/>
  <c r="K26" i="11"/>
  <c r="L26" i="11" s="1"/>
  <c r="J26" i="11"/>
  <c r="M31" i="11"/>
  <c r="N31" i="11" s="1"/>
  <c r="K31" i="11"/>
  <c r="L31" i="11" s="1"/>
  <c r="J10" i="11"/>
  <c r="M10" i="11"/>
  <c r="N10" i="11" s="1"/>
  <c r="K10" i="11"/>
  <c r="L10" i="11" s="1"/>
  <c r="J15" i="11"/>
  <c r="M15" i="11"/>
  <c r="N15" i="11" s="1"/>
  <c r="K15" i="11"/>
  <c r="L15" i="11" s="1"/>
  <c r="M21" i="11"/>
  <c r="N21" i="11" s="1"/>
  <c r="K21" i="11"/>
  <c r="L21" i="11" s="1"/>
  <c r="J21" i="11"/>
  <c r="D32" i="11"/>
  <c r="E32" i="11" s="1"/>
  <c r="D27" i="11"/>
  <c r="E27" i="11" s="1"/>
  <c r="E22" i="11"/>
  <c r="D48" i="11"/>
  <c r="D43" i="11"/>
  <c r="E43" i="11" s="1"/>
  <c r="E38" i="11"/>
  <c r="G9" i="11"/>
  <c r="H12" i="11" s="1"/>
  <c r="G14" i="11"/>
  <c r="H17" i="11" s="1"/>
  <c r="N4" i="1"/>
  <c r="N11" i="1" s="1"/>
  <c r="D6" i="3"/>
  <c r="E44" i="4"/>
  <c r="E40" i="4"/>
  <c r="E36" i="4"/>
  <c r="H29" i="3"/>
  <c r="G36" i="11" l="1"/>
  <c r="H39" i="11" s="1"/>
  <c r="F36" i="11"/>
  <c r="H37" i="11" s="1"/>
  <c r="G41" i="11"/>
  <c r="H44" i="11" s="1"/>
  <c r="F41" i="11"/>
  <c r="H42" i="11" s="1"/>
  <c r="E48" i="11"/>
  <c r="D54" i="11"/>
  <c r="G20" i="11"/>
  <c r="H23" i="11" s="1"/>
  <c r="F20" i="11"/>
  <c r="H21" i="11" s="1"/>
  <c r="G25" i="11"/>
  <c r="H28" i="11" s="1"/>
  <c r="F25" i="11"/>
  <c r="H26" i="11" s="1"/>
  <c r="G30" i="11"/>
  <c r="H33" i="11" s="1"/>
  <c r="F30" i="11"/>
  <c r="H31" i="11" s="1"/>
  <c r="E6" i="3"/>
  <c r="H6" i="3"/>
  <c r="H19" i="3" s="1"/>
  <c r="J6" i="3" s="1"/>
  <c r="D28" i="3"/>
  <c r="D19" i="3"/>
  <c r="H3" i="8"/>
  <c r="O4" i="1"/>
  <c r="P4" i="1" s="1"/>
  <c r="AL15" i="1"/>
  <c r="E24" i="4"/>
  <c r="E20" i="4"/>
  <c r="F36" i="4"/>
  <c r="G36" i="4"/>
  <c r="G40" i="4"/>
  <c r="F40" i="4"/>
  <c r="G44" i="4"/>
  <c r="F44" i="4"/>
  <c r="D64" i="11" l="1"/>
  <c r="E64" i="11" s="1"/>
  <c r="D59" i="11"/>
  <c r="E59" i="11" s="1"/>
  <c r="E54" i="11"/>
  <c r="G46" i="11"/>
  <c r="H49" i="11" s="1"/>
  <c r="F46" i="11"/>
  <c r="H47" i="11" s="1"/>
  <c r="H28" i="3"/>
  <c r="H41" i="3" s="1"/>
  <c r="D41" i="3"/>
  <c r="D3" i="8"/>
  <c r="G28" i="4"/>
  <c r="E56" i="4"/>
  <c r="E52" i="4"/>
  <c r="E60" i="4"/>
  <c r="G24" i="4"/>
  <c r="F24" i="4"/>
  <c r="F28" i="4"/>
  <c r="F20" i="4"/>
  <c r="G20" i="4"/>
  <c r="G52" i="11" l="1"/>
  <c r="H55" i="11" s="1"/>
  <c r="F52" i="11"/>
  <c r="H53" i="11" s="1"/>
  <c r="G57" i="11"/>
  <c r="H60" i="11" s="1"/>
  <c r="F57" i="11"/>
  <c r="H58" i="11" s="1"/>
  <c r="G62" i="11"/>
  <c r="H65" i="11" s="1"/>
  <c r="F62" i="11"/>
  <c r="H63" i="11" s="1"/>
  <c r="A3" i="4"/>
  <c r="R13" i="1"/>
  <c r="R9" i="1"/>
  <c r="R4" i="1"/>
  <c r="G56" i="4"/>
  <c r="F56" i="4"/>
  <c r="G60" i="4"/>
  <c r="F60" i="4"/>
  <c r="F52" i="4"/>
  <c r="G52" i="4"/>
  <c r="A67" i="4"/>
  <c r="E7" i="3"/>
  <c r="F7" i="3" s="1"/>
  <c r="E28" i="3"/>
  <c r="F6" i="3"/>
  <c r="G18" i="3"/>
  <c r="E12" i="4" l="1"/>
  <c r="G12" i="4" s="1"/>
  <c r="A3" i="8" s="1"/>
  <c r="I3" i="8" s="1"/>
  <c r="E8" i="4"/>
  <c r="E4" i="4"/>
  <c r="E72" i="4"/>
  <c r="E68" i="4"/>
  <c r="E76" i="4"/>
  <c r="G6" i="3"/>
  <c r="E29" i="3"/>
  <c r="F28" i="3"/>
  <c r="G28" i="3" s="1"/>
  <c r="E8" i="3"/>
  <c r="J3" i="8" l="1"/>
  <c r="E5" i="11"/>
  <c r="G4" i="11"/>
  <c r="H7" i="11" s="1"/>
  <c r="G4" i="4"/>
  <c r="F4" i="4"/>
  <c r="F8" i="4"/>
  <c r="G8" i="4"/>
  <c r="Q4" i="1"/>
  <c r="F12" i="4"/>
  <c r="Q8" i="1" s="1"/>
  <c r="G76" i="4"/>
  <c r="F76" i="4"/>
  <c r="F68" i="4"/>
  <c r="G68" i="4"/>
  <c r="G72" i="4"/>
  <c r="F72" i="4"/>
  <c r="E9" i="3"/>
  <c r="F9" i="3" s="1"/>
  <c r="G7" i="3"/>
  <c r="F29" i="3"/>
  <c r="G29" i="3" s="1"/>
  <c r="E30" i="3"/>
  <c r="K3" i="8" l="1"/>
  <c r="AM15" i="1"/>
  <c r="E10" i="3"/>
  <c r="F10" i="3" s="1"/>
  <c r="F30" i="3"/>
  <c r="E31" i="3"/>
  <c r="G30" i="3"/>
  <c r="G10" i="3"/>
  <c r="E11" i="3"/>
  <c r="G9" i="3"/>
  <c r="F3" i="5" l="1"/>
  <c r="AL17" i="1"/>
  <c r="E12" i="3"/>
  <c r="F31" i="3"/>
  <c r="G31" i="3" s="1"/>
  <c r="E32" i="3"/>
  <c r="H4" i="5" l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E13" i="3"/>
  <c r="E14" i="3" s="1"/>
  <c r="E15" i="3" s="1"/>
  <c r="E16" i="3" s="1"/>
  <c r="E17" i="3" s="1"/>
  <c r="F12" i="3"/>
  <c r="G12" i="3" s="1"/>
  <c r="F32" i="3"/>
  <c r="G32" i="3" s="1"/>
  <c r="E33" i="3"/>
  <c r="F17" i="3" l="1"/>
  <c r="E18" i="3"/>
  <c r="E19" i="3" s="1"/>
  <c r="E4" i="5" s="1"/>
  <c r="F33" i="3"/>
  <c r="G33" i="3" s="1"/>
  <c r="E34" i="3"/>
  <c r="F4" i="5" l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F19" i="3"/>
  <c r="G17" i="3"/>
  <c r="G19" i="3" s="1"/>
  <c r="F34" i="3"/>
  <c r="G34" i="3" s="1"/>
  <c r="E35" i="3"/>
  <c r="F5" i="5" l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35" i="3"/>
  <c r="G35" i="3" s="1"/>
  <c r="E36" i="3"/>
  <c r="F36" i="3" l="1"/>
  <c r="G36" i="3" s="1"/>
  <c r="E37" i="3"/>
  <c r="F37" i="3" l="1"/>
  <c r="G37" i="3" s="1"/>
  <c r="E38" i="3"/>
  <c r="F38" i="3" l="1"/>
  <c r="G38" i="3" s="1"/>
  <c r="E39" i="3"/>
  <c r="F39" i="3" l="1"/>
  <c r="G39" i="3" s="1"/>
  <c r="E40" i="3"/>
  <c r="F40" i="3" l="1"/>
  <c r="F41" i="3" s="1"/>
  <c r="E41" i="3"/>
  <c r="G40" i="3" l="1"/>
  <c r="G41" i="3" s="1"/>
</calcChain>
</file>

<file path=xl/sharedStrings.xml><?xml version="1.0" encoding="utf-8"?>
<sst xmlns="http://schemas.openxmlformats.org/spreadsheetml/2006/main" count="942" uniqueCount="373">
  <si>
    <t>PRINCIPAIS COINS</t>
  </si>
  <si>
    <t xml:space="preserve">ANALIZE DE GRAFICO </t>
  </si>
  <si>
    <t>ESPECULATIVAS</t>
  </si>
  <si>
    <t xml:space="preserve">NOMES </t>
  </si>
  <si>
    <t>MINERAVEL</t>
  </si>
  <si>
    <t>ALGORITIMOS</t>
  </si>
  <si>
    <t xml:space="preserve">DESCRITIVO DE MAQUINA </t>
  </si>
  <si>
    <t>DATA DE ANALIZE</t>
  </si>
  <si>
    <t>DATA DE ENTRADA</t>
  </si>
  <si>
    <t>DATA DE SAIDA</t>
  </si>
  <si>
    <t xml:space="preserve">PORCENTAGEM DE GANHO PRESUMIDA </t>
  </si>
  <si>
    <t>PORCENTAGEM DE GANHO REAL</t>
  </si>
  <si>
    <t>CALCULO DE PRODUÇAO</t>
  </si>
  <si>
    <t xml:space="preserve">DESCRIÇAO DO MODELO </t>
  </si>
  <si>
    <t xml:space="preserve">CALCULO PRESUMIDO </t>
  </si>
  <si>
    <t>TIPO DE CRIPITOMOEDA</t>
  </si>
  <si>
    <t>ALGORITIMO</t>
  </si>
  <si>
    <t>Consumo
em kW</t>
  </si>
  <si>
    <t>Valor em U$</t>
  </si>
  <si>
    <t>Valor em R$</t>
  </si>
  <si>
    <t xml:space="preserve">QUANT... MAQUINAS </t>
  </si>
  <si>
    <t>Total em R$</t>
  </si>
  <si>
    <t>Rende/dia
cada uma EURO</t>
  </si>
  <si>
    <t>Rende/dia
  EM EURO</t>
  </si>
  <si>
    <t xml:space="preserve">Ganhos por mês
em EURO </t>
  </si>
  <si>
    <t>Ganhos/dia
em R$</t>
  </si>
  <si>
    <t>Ganhos por mês
em R$</t>
  </si>
  <si>
    <t>Custo energia (MES)
em R$</t>
  </si>
  <si>
    <t>Total de ganhos (MES)
em R$</t>
  </si>
  <si>
    <t>Se paga em
meses</t>
  </si>
  <si>
    <t>Cotação do dolar</t>
  </si>
  <si>
    <t>Innosilicon A6+ LTC Master</t>
  </si>
  <si>
    <t>NICEHASH</t>
  </si>
  <si>
    <t>Scrypt</t>
  </si>
  <si>
    <t>cotaçao em euro</t>
  </si>
  <si>
    <t>Antminer L7 (9.5Gh)</t>
  </si>
  <si>
    <t>Dias Trabalhando</t>
  </si>
  <si>
    <t>Bitmain Antminer L3+ 504 Mh/s</t>
  </si>
  <si>
    <t>Bitmain Antminer L3++ 580 Mh/s</t>
  </si>
  <si>
    <t>S17 - 56TH (Usada) / Sha256</t>
  </si>
  <si>
    <t>DOOGE COIN</t>
  </si>
  <si>
    <t>Z11 - 135ksol (usada) / Equihash</t>
  </si>
  <si>
    <t>E3 - 180MH (Usada) / Ethash</t>
  </si>
  <si>
    <t>S15 - 28TH (Usada) / Sha256</t>
  </si>
  <si>
    <t>Tarifa da energia Kw/h</t>
  </si>
  <si>
    <t>S9 - 16TH (Usada) / Sha256</t>
  </si>
  <si>
    <t>RX 580 8GB</t>
  </si>
  <si>
    <t>CHIBI INU</t>
  </si>
  <si>
    <t>CUSTO DE PLACA MÃE</t>
  </si>
  <si>
    <t>RX 5600 XT</t>
  </si>
  <si>
    <t>RX 5700 XT</t>
  </si>
  <si>
    <t>RTX 2060</t>
  </si>
  <si>
    <t>RTX 2070</t>
  </si>
  <si>
    <t>RTX 2080</t>
  </si>
  <si>
    <t>RTX 3060 TI</t>
  </si>
  <si>
    <t>RTX 3070</t>
  </si>
  <si>
    <t>RTX 3080</t>
  </si>
  <si>
    <t xml:space="preserve">  </t>
  </si>
  <si>
    <t xml:space="preserve"> Conta 01</t>
  </si>
  <si>
    <t>DESCRITIVOS DE EQUIPAMENTO</t>
  </si>
  <si>
    <t>Quantidade de aprelhos</t>
  </si>
  <si>
    <t>PTENIA(unitario) KW.H</t>
  </si>
  <si>
    <t>POTENIA Total KW.H</t>
  </si>
  <si>
    <t>HORAS DE CONSUMO</t>
  </si>
  <si>
    <t xml:space="preserve"> CONSUMO  KW.H/DIA</t>
  </si>
  <si>
    <t>FATOR DE COREÇAO</t>
  </si>
  <si>
    <t>CONSUMO CORRIGIDO (KW/DIA)</t>
  </si>
  <si>
    <t>CONSUMO TOTAL</t>
  </si>
  <si>
    <t>DATA</t>
  </si>
  <si>
    <t>KWh/m</t>
  </si>
  <si>
    <t xml:space="preserve">QUANT </t>
  </si>
  <si>
    <t xml:space="preserve">MONO FASICO </t>
  </si>
  <si>
    <t>SOMATORIA  (KW.h/dia)</t>
  </si>
  <si>
    <t>ENERGIA DE G/DIA</t>
  </si>
  <si>
    <t>POTENCIAL TOTAL (KWp)</t>
  </si>
  <si>
    <t xml:space="preserve">Total de placas </t>
  </si>
  <si>
    <t xml:space="preserve">INVERSOR </t>
  </si>
  <si>
    <t>AR condicionado(9000btus)</t>
  </si>
  <si>
    <t>Exaustor Axial em Fibra EA63-W (600mm / 60cm)</t>
  </si>
  <si>
    <t>ALTONOMIA</t>
  </si>
  <si>
    <t>BIFASICO</t>
  </si>
  <si>
    <t>Irradiação Dia HSP-SP</t>
  </si>
  <si>
    <t>AREA TOTAL M²</t>
  </si>
  <si>
    <t xml:space="preserve">INVERSOR MIN </t>
  </si>
  <si>
    <t>MEDIA(w.h/dia)- M.B.T</t>
  </si>
  <si>
    <t>CONSUMO TOTAL (30 DIAS)- KW</t>
  </si>
  <si>
    <t>TRIFASICO</t>
  </si>
  <si>
    <t>RENDIMENTO</t>
  </si>
  <si>
    <t xml:space="preserve">INVERSOR MAX </t>
  </si>
  <si>
    <t>VORLOR PRESUMIDO</t>
  </si>
  <si>
    <t xml:space="preserve">VALOR COBRADO </t>
  </si>
  <si>
    <t>LUCRO PRESUMIDO</t>
  </si>
  <si>
    <t>VALOR DE ISTALAÇAO</t>
  </si>
  <si>
    <t>VALOR DE CABO</t>
  </si>
  <si>
    <t>VALOR DE FERAMENTA</t>
  </si>
  <si>
    <t xml:space="preserve">PERDAS DE ENERGIA </t>
  </si>
  <si>
    <t>VALOR MIN</t>
  </si>
  <si>
    <t>VALOR MAX</t>
  </si>
  <si>
    <t xml:space="preserve">VALOR ADOTADO </t>
  </si>
  <si>
    <t>VLOR-100%</t>
  </si>
  <si>
    <t>PERDA DE ENERGIA</t>
  </si>
  <si>
    <t xml:space="preserve">PERDAS DE TEMPERATURA </t>
  </si>
  <si>
    <t xml:space="preserve">INCOMPATIBILIDADE ELETRICA </t>
  </si>
  <si>
    <t>ACULO DE SUJEIRA</t>
  </si>
  <si>
    <t>CABEAMENTO CC</t>
  </si>
  <si>
    <t>CABEAMENTO CA</t>
  </si>
  <si>
    <t>INVERSOR</t>
  </si>
  <si>
    <t>calculo de placa-01</t>
  </si>
  <si>
    <t>Tipo de placa (w)</t>
  </si>
  <si>
    <t xml:space="preserve">PREÇO </t>
  </si>
  <si>
    <t>AREA M²</t>
  </si>
  <si>
    <t>TOTAL DO VALOR</t>
  </si>
  <si>
    <t>1,6mX1,0M</t>
  </si>
  <si>
    <t>1,95m X 1,0m</t>
  </si>
  <si>
    <t>PREÇO</t>
  </si>
  <si>
    <t>2,2m X 1,1m</t>
  </si>
  <si>
    <t>calculo de placa-02</t>
  </si>
  <si>
    <t>calculo de placa-03</t>
  </si>
  <si>
    <t>calculo de placa-04</t>
  </si>
  <si>
    <t>calculo de placa-FINAL</t>
  </si>
  <si>
    <t>CONTROLE DE ESTOQUE DE ALMOXARIFADO III</t>
  </si>
  <si>
    <t>Nº</t>
  </si>
  <si>
    <t>Descrição do Produto</t>
  </si>
  <si>
    <t>Entradas Total</t>
  </si>
  <si>
    <t>Saídas Total</t>
  </si>
  <si>
    <t>Saldo Atual</t>
  </si>
  <si>
    <t>Indicador de Estoque</t>
  </si>
  <si>
    <t>%</t>
  </si>
  <si>
    <t>Estoque Ideal</t>
  </si>
  <si>
    <t>Valor Unitário</t>
  </si>
  <si>
    <t>Valor Total</t>
  </si>
  <si>
    <t>Comprado Unitário</t>
  </si>
  <si>
    <t>Entregue Unitário</t>
  </si>
  <si>
    <t>Valor total</t>
  </si>
  <si>
    <t xml:space="preserve">VALOR DE DESGASTE </t>
  </si>
  <si>
    <t>01</t>
  </si>
  <si>
    <t>APLICADOR DE SILICONE</t>
  </si>
  <si>
    <t>AMARIO 1</t>
  </si>
  <si>
    <t>02</t>
  </si>
  <si>
    <t>NÍVEL MÃO 50cm</t>
  </si>
  <si>
    <t>03</t>
  </si>
  <si>
    <t>GIZ DE LINHA 30M</t>
  </si>
  <si>
    <t>04</t>
  </si>
  <si>
    <t>TRENA STARRETT 8m</t>
  </si>
  <si>
    <t>05</t>
  </si>
  <si>
    <t>ESTILETE</t>
  </si>
  <si>
    <t>06</t>
  </si>
  <si>
    <t>REFIL DE LAMINAS PARA ESTILETE</t>
  </si>
  <si>
    <t>07</t>
  </si>
  <si>
    <t>ALICATE BICO 6"</t>
  </si>
  <si>
    <t>08</t>
  </si>
  <si>
    <t>ALICATE CORTE 6"</t>
  </si>
  <si>
    <t>09</t>
  </si>
  <si>
    <t>ALICATE DE PVC UNIVERSAL</t>
  </si>
  <si>
    <t>10</t>
  </si>
  <si>
    <t>ALICATE PARA CRIMPAR</t>
  </si>
  <si>
    <t>11</t>
  </si>
  <si>
    <t>CHAVE INGLESA</t>
  </si>
  <si>
    <t>12</t>
  </si>
  <si>
    <t>ESMERILHADEIRA</t>
  </si>
  <si>
    <t>13</t>
  </si>
  <si>
    <t>TESOURA PARA CHAPA</t>
  </si>
  <si>
    <t>14</t>
  </si>
  <si>
    <t>FURADEIRA IMPACTO</t>
  </si>
  <si>
    <t>15</t>
  </si>
  <si>
    <t>MULTÍMETRO</t>
  </si>
  <si>
    <t>16</t>
  </si>
  <si>
    <t>PASSAFIO</t>
  </si>
  <si>
    <t>17</t>
  </si>
  <si>
    <t>Parafusadeira Imp Dewalt</t>
  </si>
  <si>
    <t>18</t>
  </si>
  <si>
    <t>Kit Furadeira Parafusadeira</t>
  </si>
  <si>
    <t>19</t>
  </si>
  <si>
    <t>Martelete perfurador rompedor 830w</t>
  </si>
  <si>
    <t>20</t>
  </si>
  <si>
    <t>JX-1601-2546</t>
  </si>
  <si>
    <t>21</t>
  </si>
  <si>
    <t>Alicate Crimper</t>
  </si>
  <si>
    <t>ARMARIO 2</t>
  </si>
  <si>
    <t>22</t>
  </si>
  <si>
    <t>Vaselina</t>
  </si>
  <si>
    <t>23</t>
  </si>
  <si>
    <t>Brocas</t>
  </si>
  <si>
    <t>24</t>
  </si>
  <si>
    <t>chaves catraca</t>
  </si>
  <si>
    <t>25</t>
  </si>
  <si>
    <t>kit Chave combinada BELZER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</si>
  <si>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</si>
  <si>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</si>
  <si>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</si>
  <si>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</si>
  <si>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</si>
  <si>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</si>
  <si>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</si>
  <si>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</si>
  <si>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</si>
  <si>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</si>
  <si>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</si>
  <si>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</si>
  <si>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</si>
  <si>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</si>
  <si>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</si>
  <si>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</si>
  <si>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</si>
  <si>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</si>
  <si>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</si>
  <si>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</si>
  <si>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</si>
  <si>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</si>
  <si>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ARMARIO 3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</si>
  <si>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</si>
  <si>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</si>
  <si>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</si>
  <si>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</si>
  <si>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</si>
  <si>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</si>
  <si>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</si>
  <si>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</si>
  <si>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</si>
  <si>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</si>
  <si>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</si>
  <si>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</si>
  <si>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</si>
  <si>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</si>
  <si>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</si>
  <si>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</si>
  <si>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</si>
  <si>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</si>
  <si>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</si>
  <si>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</si>
  <si>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</si>
  <si>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</si>
  <si>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</si>
  <si>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</si>
  <si>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</si>
  <si>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</si>
  <si>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</si>
  <si>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</si>
  <si>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</si>
  <si>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</si>
  <si>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</si>
  <si>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</si>
  <si>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</si>
  <si>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</si>
  <si>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GASTOS COM INSTALAÇÕES</t>
  </si>
  <si>
    <t xml:space="preserve">INSUMO + COMPOSITO </t>
  </si>
  <si>
    <t xml:space="preserve">ITEM </t>
  </si>
  <si>
    <t xml:space="preserve">PREÇO UNICO </t>
  </si>
  <si>
    <t>QUANT...</t>
  </si>
  <si>
    <t xml:space="preserve">QUANT... DE DIAS </t>
  </si>
  <si>
    <t>VALOR UNITARIO</t>
  </si>
  <si>
    <t xml:space="preserve"> TOTAL</t>
  </si>
  <si>
    <t>TOTAL</t>
  </si>
  <si>
    <t>VALOR TOTAL</t>
  </si>
  <si>
    <t xml:space="preserve">ALMOÇO </t>
  </si>
  <si>
    <t>CAFE</t>
  </si>
  <si>
    <t xml:space="preserve">TRANSPORTE </t>
  </si>
  <si>
    <t xml:space="preserve">SALARIO DOS FUNCINARIOS </t>
  </si>
  <si>
    <t>CONTRATO</t>
  </si>
  <si>
    <t>QUANT... DE MESES</t>
  </si>
  <si>
    <t>VALOR TOTAL IN...</t>
  </si>
  <si>
    <t xml:space="preserve">ENCAREGADO </t>
  </si>
  <si>
    <t>AJUDANTE</t>
  </si>
  <si>
    <t xml:space="preserve">TECNICO </t>
  </si>
  <si>
    <t xml:space="preserve">PROJETISTA </t>
  </si>
  <si>
    <t>RETORNO DO INVESTIMENTO</t>
  </si>
  <si>
    <t>STATUS</t>
  </si>
  <si>
    <t>ANO</t>
  </si>
  <si>
    <t>PREÇO TARIFAS (R$/KWH/ANO)**</t>
  </si>
  <si>
    <t>ECONOMIA ACUMULADA (R$)</t>
  </si>
  <si>
    <t>RESULTADO FINACEIRO (R$)</t>
  </si>
  <si>
    <t>CDB 140% CDI (R$)</t>
  </si>
  <si>
    <t>POUPANÇA (R$)</t>
  </si>
  <si>
    <t>INVESTIMENTO</t>
  </si>
  <si>
    <t>LUCRO</t>
  </si>
  <si>
    <t>Geração de energia</t>
  </si>
  <si>
    <t>CONSUMO (kWh)</t>
  </si>
  <si>
    <t>GERAÇÃO (kWh)</t>
  </si>
  <si>
    <t>CREDITO  DO MÊS (kWh)</t>
  </si>
  <si>
    <t>CRETIDO ACUMULADO (kWh)</t>
  </si>
  <si>
    <t>FATURA SEM SISTEMA (R$)</t>
  </si>
  <si>
    <t>FATURA COM SISTEMA (R$)</t>
  </si>
  <si>
    <t>VALOR A SER ECONOMISADO  AO ANO (R$)</t>
  </si>
  <si>
    <t>MONOFÁSICO(KW/H)</t>
  </si>
  <si>
    <t>BIFÁSICO(KW/H)</t>
  </si>
  <si>
    <t>TRIFÁSICA(KW/H)</t>
  </si>
  <si>
    <t>EM UM ANO</t>
  </si>
  <si>
    <t>TARIFAS</t>
  </si>
  <si>
    <t xml:space="preserve">BRANCA </t>
  </si>
  <si>
    <t>AMARELA</t>
  </si>
  <si>
    <t>VERMELHA-1</t>
  </si>
  <si>
    <t>VERMELHA-2</t>
  </si>
  <si>
    <t>VALORES-1</t>
  </si>
  <si>
    <t>Valor PLACA</t>
  </si>
  <si>
    <t>VALOR DO INVERSOR</t>
  </si>
  <si>
    <t>MPPT</t>
  </si>
  <si>
    <t xml:space="preserve">baterias </t>
  </si>
  <si>
    <t xml:space="preserve">Valor Total PRESUMIDO </t>
  </si>
  <si>
    <t>valor + descon...(10%)</t>
  </si>
  <si>
    <t>SISTEMA ELETRICO</t>
  </si>
  <si>
    <t>DESCRITIVOS DOS EQUIPAMENTOS
+ PROCESSOS</t>
  </si>
  <si>
    <t xml:space="preserve">NUMERO SISTEMAS </t>
  </si>
  <si>
    <t>PREÇO UNICO</t>
  </si>
  <si>
    <t xml:space="preserve">PREÇO TOAL </t>
  </si>
  <si>
    <t xml:space="preserve">VALOR TOTAL </t>
  </si>
  <si>
    <t>Cabo Flexível 6,0mm PRETO</t>
  </si>
  <si>
    <t>Cabo Flexível 6,0mm AZUL</t>
  </si>
  <si>
    <t>Cabo Flexível 6,0mm VERDE</t>
  </si>
  <si>
    <t>Cabo Flexível 4,0mm AZUL</t>
  </si>
  <si>
    <t>iCLAMPER Pocket 3P - 20A</t>
  </si>
  <si>
    <t>DISJUNTOR EASY9 2P 25A CURVA B 3000A EZ9F13225</t>
  </si>
  <si>
    <t>Disjuntor Série Sd62 40a 2p Curva C 3ka Steck Gelo 40a</t>
  </si>
  <si>
    <t>Conjunto de Tomada Energia 20A Branco Stella Steck</t>
  </si>
  <si>
    <t>Rolo De Cabo De Rede Cat6 Azul - 305 M - Mk2 Tecno</t>
  </si>
  <si>
    <t>Kit 100 Conector De Rede Macho Rj45 Cat5-e Atacado C/100 Nf</t>
  </si>
  <si>
    <t>Roteador Wireless Archer C80 AC1900 MU-MIMO TP-Link</t>
  </si>
  <si>
    <t xml:space="preserve">Switch Tp-link 8 Portas Gigabit </t>
  </si>
  <si>
    <t>Leeofty Tuya WIFI Intelligent Home Wireless Sensor de temperatura Sistema de cena de automação residencial compatível com Alexa</t>
  </si>
  <si>
    <t>Ar Condicionado Split Inverter 12.000 Btus Quente/Frio - Electrolux (QI12R/QE12R) - 220V</t>
  </si>
  <si>
    <t>ORÇAMENTO EMPREENDORISMO</t>
  </si>
  <si>
    <t xml:space="preserve">TEMPO DE RETORNO </t>
  </si>
  <si>
    <t xml:space="preserve">COTAÇAO DO EURO </t>
  </si>
  <si>
    <t>VALOR+ SOLAR</t>
  </si>
  <si>
    <t>VALOR DO LUCRO A MES (EURO)</t>
  </si>
  <si>
    <t>VALOR(R$)</t>
  </si>
  <si>
    <t>VALOR DE RETORNO ANUAL (EURO)</t>
  </si>
  <si>
    <t>TOTAL VALOR DO RETORNO A 3 ANOS (EURO)</t>
  </si>
  <si>
    <t xml:space="preserve">SISTEMA SOLAR </t>
  </si>
  <si>
    <t xml:space="preserve">SISTEMAS ELETRICO+ REFRIGERAÇAO </t>
  </si>
  <si>
    <t>VALOR DO LUCRO A MES (DOLAR)</t>
  </si>
  <si>
    <t>VALOR DE RETORNO ANUAL (DOLAR)</t>
  </si>
  <si>
    <t>TOTAL VALOR DO RETORNO A 3 ANOS (DOLAR)</t>
  </si>
  <si>
    <t>AJUSTI TEC... ELETRICO</t>
  </si>
  <si>
    <t>ALUGUEL+ ENERGIA+AGUA</t>
  </si>
  <si>
    <t>VENDA  DA EMPREASA</t>
  </si>
  <si>
    <t xml:space="preserve">PORCENTAGEM DE VENDA </t>
  </si>
  <si>
    <t>PORCENTAGEM</t>
  </si>
  <si>
    <t xml:space="preserve">VALOR DE VENDA </t>
  </si>
  <si>
    <t xml:space="preserve">VALOR DE ENVESTIMENTO </t>
  </si>
  <si>
    <t>LYSEIS-ENG</t>
  </si>
  <si>
    <t>LYSEIS-CRYPYTO</t>
  </si>
  <si>
    <t xml:space="preserve">DESCRITIVO DOS INSUMOS + PROSSEÇOS </t>
  </si>
  <si>
    <t xml:space="preserve">NUMERO DE IDENTIFICAÇAO </t>
  </si>
  <si>
    <t>QUANTI... DE ITENS</t>
  </si>
  <si>
    <t>QUANT... INTENS</t>
  </si>
  <si>
    <t xml:space="preserve">VALOR DO EMPREENDIMENTO </t>
  </si>
  <si>
    <t>DIVIDENDOS AO MES (PRODUÇAO DA MAQUINA)</t>
  </si>
  <si>
    <t xml:space="preserve">VALOR EM EURO </t>
  </si>
  <si>
    <t xml:space="preserve">GERENCIAMENTO </t>
  </si>
  <si>
    <t>DESCRITIVO</t>
  </si>
  <si>
    <t>PORCENTAGEM(%)</t>
  </si>
  <si>
    <t xml:space="preserve">LYSEIS CRYPITO </t>
  </si>
  <si>
    <t>SOCIOS</t>
  </si>
  <si>
    <t>EMPRESORA-3D</t>
  </si>
  <si>
    <t>NOTEBOOK</t>
  </si>
  <si>
    <t>CELULAR</t>
  </si>
  <si>
    <t>POOL</t>
  </si>
  <si>
    <t>CASA DE ALUGUEL</t>
  </si>
  <si>
    <t>ESCRITORIO</t>
  </si>
  <si>
    <t>IVAN</t>
  </si>
  <si>
    <t>DOC...</t>
  </si>
  <si>
    <t xml:space="preserve">GASTOS COM INSTALAÇÕES SEGUNDO ANO </t>
  </si>
  <si>
    <t>VALOR ANUAL</t>
  </si>
  <si>
    <t>custo total de OP</t>
  </si>
  <si>
    <t>LUCRO LIQUI... ANUAL</t>
  </si>
  <si>
    <t>CUSTOS OPERACIONAIS</t>
  </si>
  <si>
    <t>SISTEMA ELETRICO CLP</t>
  </si>
  <si>
    <t>JURIDICO</t>
  </si>
  <si>
    <t xml:space="preserve">FINACEIRO </t>
  </si>
  <si>
    <t xml:space="preserve">EM UM ANO </t>
  </si>
  <si>
    <t xml:space="preserve">EM 3 ANOS </t>
  </si>
  <si>
    <t>PORCENTAGEM DO SOCIO(%)</t>
  </si>
  <si>
    <t>R.O.E.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</si>
</sst>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_-[$R$-416]* #,##0.00_-;\-[$R$-416]* #,##0.00_-;_-[$R$-416]* &quot;-&quot;??_-;_-@_-"/>
    <numFmt numFmtId="170" formatCode="00"/>
    <numFmt numFmtId="171" formatCode="00.00"/>
    <numFmt numFmtId="172" formatCode="0.0"/>
    <numFmt numFmtId="173" formatCode="_-[$$-409]* #,##0.00_ ;_-[$$-409]* \-#,##0.00\ ;_-[$$-409]* &quot;-&quot;??_ ;_-@_ "/>
    <numFmt numFmtId="174" formatCode="_-[$R$-416]\ * #,##0.00_-;\-[$R$-416]\ * #,##0.00_-;_-[$R$-416]\ * &quot;-&quot;??_-;_-@"/>
    <numFmt numFmtId="175" formatCode="_-[$R$-416]\ * #,##0.00_-;\-[$R$-416]\ * #,##0.00_-;_-[$R$-416]\ * &quot;-&quot;??_-;_-@_-"/>
    <numFmt numFmtId="176" formatCode="_-[$€-2]\ * #,##0.00_-;\-[$€-2]\ * #,##0.00_-;_-[$€-2]\ * &quot;-&quot;??_-;_-@_-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8"/>
      <color theme="1"/>
      <name val="Arial Black"/>
    </font>
    <font>
      <b/>
      <sz val="14"/>
      <color theme="1"/>
      <name val="Arial"/>
    </font>
    <font>
      <sz val="11"/>
      <color theme="1"/>
      <name val="Arial"/>
    </font>
    <font>
      <b/>
      <sz val="12"/>
      <color rgb="FFFF0000"/>
      <name val="Calibri"/>
      <family val="2"/>
      <scheme val="minor"/>
    </font>
    <font>
      <b/>
      <sz val="20"/>
      <color rgb="FFFFFFFF"/>
      <name val="Arial"/>
    </font>
    <font>
      <sz val="10"/>
      <name val="Calibri"/>
    </font>
    <font>
      <b/>
      <sz val="9"/>
      <name val="Arial"/>
    </font>
    <font>
      <b/>
      <sz val="10"/>
      <name val="Arial"/>
      <family val="2"/>
    </font>
    <font>
      <b/>
      <sz val="10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FF0000"/>
      <name val="Calibri"/>
    </font>
    <font>
      <sz val="9"/>
      <name val="Arial"/>
    </font>
    <font>
      <sz val="11"/>
      <name val="Calibri"/>
      <family val="2"/>
      <scheme val="minor"/>
    </font>
    <font>
      <sz val="9"/>
      <color rgb="FF000000"/>
      <name val="Arial"/>
    </font>
    <font>
      <b/>
      <sz val="9"/>
      <color rgb="FFFFFFFF"/>
      <name val="Arial"/>
    </font>
    <font>
      <sz val="9"/>
      <name val="Arial"/>
      <family val="2"/>
    </font>
    <font>
      <sz val="11"/>
      <color rgb="FF404040"/>
      <name val="Calibri"/>
      <family val="2"/>
      <scheme val="minor"/>
    </font>
    <font>
      <sz val="9"/>
      <color rgb="FF40404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222222"/>
      <name val="Calibri"/>
    </font>
    <font>
      <sz val="11"/>
      <color theme="1"/>
      <name val="Calibri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</font>
    <font>
      <b/>
      <sz val="12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b/>
      <sz val="18"/>
      <color rgb="FF1155CC"/>
      <name val="Calibri"/>
      <family val="2"/>
    </font>
    <font>
      <b/>
      <sz val="14"/>
      <color rgb="FF222222"/>
      <name val="Calibri"/>
    </font>
    <font>
      <b/>
      <sz val="12"/>
      <color rgb="FF0F1111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1"/>
      <name val="Calibri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8EA9D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33CC"/>
        <bgColor rgb="FF00B0F0"/>
      </patternFill>
    </fill>
    <fill>
      <patternFill patternType="solid">
        <fgColor rgb="FF0070C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7"/>
        <bgColor rgb="FF00B0F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rgb="FF9FC5E8"/>
      </patternFill>
    </fill>
    <fill>
      <patternFill patternType="solid">
        <fgColor theme="9" tint="-0.249977111117893"/>
        <bgColor rgb="FF92D050"/>
      </patternFill>
    </fill>
    <fill>
      <patternFill patternType="solid">
        <fgColor theme="9" tint="-0.249977111117893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DFC35"/>
        <bgColor indexed="64"/>
      </patternFill>
    </fill>
    <fill>
      <patternFill patternType="solid">
        <fgColor rgb="FF3CF06C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4"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9" fontId="0" fillId="0" borderId="1" xfId="3" applyFont="1" applyBorder="1"/>
    <xf numFmtId="165" fontId="0" fillId="0" borderId="1" xfId="3" applyNumberFormat="1" applyFont="1" applyBorder="1"/>
    <xf numFmtId="10" fontId="0" fillId="0" borderId="1" xfId="3" applyNumberFormat="1" applyFont="1" applyBorder="1"/>
    <xf numFmtId="166" fontId="0" fillId="0" borderId="1" xfId="3" applyNumberFormat="1" applyFont="1" applyBorder="1"/>
    <xf numFmtId="0" fontId="0" fillId="4" borderId="0" xfId="0" applyFill="1"/>
    <xf numFmtId="0" fontId="0" fillId="0" borderId="5" xfId="0" applyBorder="1"/>
    <xf numFmtId="0" fontId="0" fillId="8" borderId="5" xfId="0" applyFill="1" applyBorder="1"/>
    <xf numFmtId="43" fontId="2" fillId="9" borderId="5" xfId="1" applyFont="1" applyFill="1" applyBorder="1" applyAlignment="1">
      <alignment vertical="center"/>
    </xf>
    <xf numFmtId="43" fontId="2" fillId="0" borderId="5" xfId="1" applyFont="1" applyBorder="1" applyAlignment="1">
      <alignment vertical="center"/>
    </xf>
    <xf numFmtId="44" fontId="0" fillId="10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2" fillId="4" borderId="5" xfId="1" applyFont="1" applyFill="1" applyBorder="1" applyAlignment="1">
      <alignment horizontal="center" vertical="center"/>
    </xf>
    <xf numFmtId="0" fontId="0" fillId="9" borderId="1" xfId="0" applyFill="1" applyBorder="1"/>
    <xf numFmtId="43" fontId="2" fillId="14" borderId="1" xfId="1" applyFont="1" applyFill="1" applyBorder="1" applyAlignment="1">
      <alignment vertical="center"/>
    </xf>
    <xf numFmtId="43" fontId="2" fillId="9" borderId="12" xfId="1" applyFont="1" applyFill="1" applyBorder="1" applyAlignment="1">
      <alignment horizontal="center" vertical="center"/>
    </xf>
    <xf numFmtId="44" fontId="2" fillId="0" borderId="1" xfId="2" applyFont="1" applyBorder="1" applyAlignment="1">
      <alignment vertical="center"/>
    </xf>
    <xf numFmtId="44" fontId="2" fillId="4" borderId="1" xfId="2" applyFont="1" applyFill="1" applyBorder="1" applyAlignment="1">
      <alignment horizontal="center" vertical="center"/>
    </xf>
    <xf numFmtId="0" fontId="0" fillId="14" borderId="1" xfId="0" applyFill="1" applyBorder="1"/>
    <xf numFmtId="0" fontId="6" fillId="0" borderId="0" xfId="0" applyFont="1" applyAlignment="1">
      <alignment vertical="center" wrapText="1"/>
    </xf>
    <xf numFmtId="17" fontId="6" fillId="11" borderId="15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43" fontId="4" fillId="0" borderId="16" xfId="0" applyNumberFormat="1" applyFont="1" applyBorder="1"/>
    <xf numFmtId="4" fontId="6" fillId="17" borderId="15" xfId="0" applyNumberFormat="1" applyFont="1" applyFill="1" applyBorder="1" applyAlignment="1">
      <alignment horizontal="center" vertical="center" wrapText="1"/>
    </xf>
    <xf numFmtId="43" fontId="6" fillId="18" borderId="1" xfId="0" applyNumberFormat="1" applyFont="1" applyFill="1" applyBorder="1" applyAlignment="1">
      <alignment horizontal="center" vertical="center"/>
    </xf>
    <xf numFmtId="4" fontId="6" fillId="18" borderId="15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169" fontId="6" fillId="18" borderId="15" xfId="0" applyNumberFormat="1" applyFont="1" applyFill="1" applyBorder="1" applyAlignment="1">
      <alignment horizontal="center" vertical="center" wrapText="1"/>
    </xf>
    <xf numFmtId="169" fontId="6" fillId="0" borderId="15" xfId="0" applyNumberFormat="1" applyFont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2" fontId="12" fillId="19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/>
    <xf numFmtId="2" fontId="11" fillId="18" borderId="17" xfId="0" applyNumberFormat="1" applyFont="1" applyFill="1" applyBorder="1" applyAlignment="1">
      <alignment horizontal="center" vertical="center"/>
    </xf>
    <xf numFmtId="2" fontId="12" fillId="21" borderId="17" xfId="0" applyNumberFormat="1" applyFont="1" applyFill="1" applyBorder="1"/>
    <xf numFmtId="1" fontId="12" fillId="20" borderId="17" xfId="0" applyNumberFormat="1" applyFont="1" applyFill="1" applyBorder="1"/>
    <xf numFmtId="10" fontId="0" fillId="0" borderId="0" xfId="0" applyNumberFormat="1"/>
    <xf numFmtId="169" fontId="0" fillId="0" borderId="0" xfId="0" applyNumberFormat="1"/>
    <xf numFmtId="44" fontId="13" fillId="0" borderId="17" xfId="2" applyFont="1" applyBorder="1" applyAlignment="1">
      <alignment horizontal="center" vertical="center"/>
    </xf>
    <xf numFmtId="169" fontId="13" fillId="0" borderId="17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22" xfId="0" applyFont="1" applyBorder="1"/>
    <xf numFmtId="49" fontId="22" fillId="0" borderId="27" xfId="0" applyNumberFormat="1" applyFont="1" applyBorder="1" applyAlignment="1">
      <alignment horizontal="center"/>
    </xf>
    <xf numFmtId="0" fontId="23" fillId="0" borderId="1" xfId="0" applyFont="1" applyBorder="1"/>
    <xf numFmtId="170" fontId="24" fillId="0" borderId="23" xfId="0" applyNumberFormat="1" applyFont="1" applyBorder="1" applyAlignment="1">
      <alignment horizontal="center"/>
    </xf>
    <xf numFmtId="170" fontId="24" fillId="0" borderId="23" xfId="0" quotePrefix="1" applyNumberFormat="1" applyFont="1" applyBorder="1" applyAlignment="1">
      <alignment horizontal="center"/>
    </xf>
    <xf numFmtId="170" fontId="16" fillId="27" borderId="22" xfId="0" applyNumberFormat="1" applyFont="1" applyFill="1" applyBorder="1" applyAlignment="1">
      <alignment horizontal="center"/>
    </xf>
    <xf numFmtId="170" fontId="16" fillId="26" borderId="21" xfId="0" applyNumberFormat="1" applyFont="1" applyFill="1" applyBorder="1" applyAlignment="1">
      <alignment horizontal="center"/>
    </xf>
    <xf numFmtId="9" fontId="16" fillId="0" borderId="23" xfId="0" applyNumberFormat="1" applyFont="1" applyBorder="1" applyAlignment="1">
      <alignment horizontal="center"/>
    </xf>
    <xf numFmtId="170" fontId="25" fillId="23" borderId="22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171" fontId="16" fillId="0" borderId="23" xfId="0" applyNumberFormat="1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2" fontId="24" fillId="0" borderId="23" xfId="0" applyNumberFormat="1" applyFont="1" applyBorder="1" applyAlignment="1">
      <alignment horizontal="center"/>
    </xf>
    <xf numFmtId="0" fontId="15" fillId="0" borderId="17" xfId="0" applyFont="1" applyBorder="1"/>
    <xf numFmtId="170" fontId="25" fillId="28" borderId="0" xfId="0" applyNumberFormat="1" applyFont="1" applyFill="1" applyAlignment="1">
      <alignment horizontal="center"/>
    </xf>
    <xf numFmtId="9" fontId="25" fillId="28" borderId="23" xfId="0" applyNumberFormat="1" applyFont="1" applyFill="1" applyBorder="1" applyAlignment="1">
      <alignment horizontal="center"/>
    </xf>
    <xf numFmtId="170" fontId="16" fillId="29" borderId="0" xfId="0" applyNumberFormat="1" applyFont="1" applyFill="1" applyAlignment="1">
      <alignment horizontal="center"/>
    </xf>
    <xf numFmtId="9" fontId="16" fillId="29" borderId="23" xfId="0" applyNumberFormat="1" applyFont="1" applyFill="1" applyBorder="1" applyAlignment="1">
      <alignment horizontal="center"/>
    </xf>
    <xf numFmtId="9" fontId="16" fillId="29" borderId="21" xfId="0" applyNumberFormat="1" applyFont="1" applyFill="1" applyBorder="1" applyAlignment="1">
      <alignment horizontal="center"/>
    </xf>
    <xf numFmtId="9" fontId="25" fillId="28" borderId="21" xfId="0" applyNumberFormat="1" applyFont="1" applyFill="1" applyBorder="1" applyAlignment="1">
      <alignment horizontal="center"/>
    </xf>
    <xf numFmtId="4" fontId="26" fillId="0" borderId="1" xfId="0" applyNumberFormat="1" applyFont="1" applyBorder="1" applyAlignment="1">
      <alignment horizontal="center"/>
    </xf>
    <xf numFmtId="0" fontId="27" fillId="0" borderId="1" xfId="0" applyFont="1" applyBorder="1"/>
    <xf numFmtId="4" fontId="28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2" fontId="24" fillId="0" borderId="1" xfId="0" applyNumberFormat="1" applyFont="1" applyBorder="1" applyAlignment="1">
      <alignment horizontal="center"/>
    </xf>
    <xf numFmtId="0" fontId="29" fillId="0" borderId="1" xfId="0" applyFont="1" applyBorder="1"/>
    <xf numFmtId="2" fontId="26" fillId="0" borderId="1" xfId="0" applyNumberFormat="1" applyFont="1" applyBorder="1" applyAlignment="1">
      <alignment horizontal="center"/>
    </xf>
    <xf numFmtId="49" fontId="22" fillId="0" borderId="20" xfId="0" applyNumberFormat="1" applyFont="1" applyBorder="1" applyAlignment="1">
      <alignment horizontal="center"/>
    </xf>
    <xf numFmtId="0" fontId="15" fillId="0" borderId="23" xfId="0" applyFont="1" applyBorder="1"/>
    <xf numFmtId="170" fontId="25" fillId="23" borderId="23" xfId="0" applyNumberFormat="1" applyFont="1" applyFill="1" applyBorder="1" applyAlignment="1">
      <alignment horizontal="center"/>
    </xf>
    <xf numFmtId="0" fontId="0" fillId="0" borderId="17" xfId="0" applyBorder="1"/>
    <xf numFmtId="0" fontId="32" fillId="18" borderId="20" xfId="0" applyFont="1" applyFill="1" applyBorder="1"/>
    <xf numFmtId="0" fontId="33" fillId="18" borderId="17" xfId="0" applyFont="1" applyFill="1" applyBorder="1"/>
    <xf numFmtId="0" fontId="32" fillId="18" borderId="17" xfId="0" applyFont="1" applyFill="1" applyBorder="1"/>
    <xf numFmtId="0" fontId="31" fillId="18" borderId="19" xfId="0" applyFont="1" applyFill="1" applyBorder="1"/>
    <xf numFmtId="169" fontId="4" fillId="0" borderId="17" xfId="0" applyNumberFormat="1" applyFont="1" applyBorder="1"/>
    <xf numFmtId="0" fontId="0" fillId="0" borderId="19" xfId="0" applyBorder="1"/>
    <xf numFmtId="169" fontId="13" fillId="17" borderId="17" xfId="0" applyNumberFormat="1" applyFont="1" applyFill="1" applyBorder="1" applyAlignment="1">
      <alignment horizontal="center" vertical="center"/>
    </xf>
    <xf numFmtId="0" fontId="0" fillId="32" borderId="0" xfId="0" applyFill="1"/>
    <xf numFmtId="167" fontId="0" fillId="4" borderId="0" xfId="1" applyNumberFormat="1" applyFont="1" applyFill="1" applyBorder="1" applyAlignment="1">
      <alignment vertical="center"/>
    </xf>
    <xf numFmtId="167" fontId="0" fillId="32" borderId="0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3" fillId="32" borderId="17" xfId="0" applyFont="1" applyFill="1" applyBorder="1" applyAlignment="1">
      <alignment horizontal="center" vertical="center"/>
    </xf>
    <xf numFmtId="169" fontId="13" fillId="32" borderId="17" xfId="0" applyNumberFormat="1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30" fillId="10" borderId="28" xfId="0" applyFont="1" applyFill="1" applyBorder="1" applyAlignment="1">
      <alignment horizontal="center" vertical="center"/>
    </xf>
    <xf numFmtId="0" fontId="30" fillId="10" borderId="1" xfId="0" applyFont="1" applyFill="1" applyBorder="1"/>
    <xf numFmtId="169" fontId="30" fillId="0" borderId="28" xfId="0" applyNumberFormat="1" applyFont="1" applyBorder="1"/>
    <xf numFmtId="0" fontId="35" fillId="4" borderId="0" xfId="0" applyFont="1" applyFill="1" applyAlignment="1">
      <alignment horizontal="center" vertical="center"/>
    </xf>
    <xf numFmtId="169" fontId="35" fillId="4" borderId="0" xfId="0" applyNumberFormat="1" applyFont="1" applyFill="1" applyAlignment="1">
      <alignment horizontal="center" vertical="center"/>
    </xf>
    <xf numFmtId="164" fontId="35" fillId="4" borderId="0" xfId="0" applyNumberFormat="1" applyFont="1" applyFill="1" applyAlignment="1">
      <alignment horizontal="center" vertical="center"/>
    </xf>
    <xf numFmtId="44" fontId="13" fillId="0" borderId="1" xfId="2" applyFont="1" applyBorder="1" applyAlignment="1">
      <alignment horizontal="center" vertical="center"/>
    </xf>
    <xf numFmtId="169" fontId="30" fillId="0" borderId="1" xfId="0" applyNumberFormat="1" applyFont="1" applyBorder="1"/>
    <xf numFmtId="169" fontId="35" fillId="4" borderId="0" xfId="0" applyNumberFormat="1" applyFont="1" applyFill="1" applyAlignment="1">
      <alignment vertical="center"/>
    </xf>
    <xf numFmtId="0" fontId="20" fillId="18" borderId="17" xfId="0" applyFont="1" applyFill="1" applyBorder="1" applyAlignment="1">
      <alignment horizontal="center" vertical="center"/>
    </xf>
    <xf numFmtId="0" fontId="0" fillId="22" borderId="31" xfId="0" applyFill="1" applyBorder="1"/>
    <xf numFmtId="169" fontId="21" fillId="0" borderId="27" xfId="0" applyNumberFormat="1" applyFon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 wrapText="1"/>
    </xf>
    <xf numFmtId="0" fontId="37" fillId="17" borderId="0" xfId="0" applyFont="1" applyFill="1" applyBorder="1" applyAlignment="1">
      <alignment horizontal="center" vertical="center"/>
    </xf>
    <xf numFmtId="43" fontId="37" fillId="17" borderId="0" xfId="1" applyFont="1" applyFill="1" applyBorder="1" applyAlignment="1">
      <alignment vertical="center"/>
    </xf>
    <xf numFmtId="0" fontId="9" fillId="17" borderId="0" xfId="0" applyFont="1" applyFill="1" applyBorder="1"/>
    <xf numFmtId="43" fontId="9" fillId="17" borderId="0" xfId="0" applyNumberFormat="1" applyFont="1" applyFill="1" applyBorder="1" applyAlignment="1">
      <alignment vertical="center"/>
    </xf>
    <xf numFmtId="44" fontId="37" fillId="17" borderId="0" xfId="2" applyFont="1" applyFill="1" applyBorder="1" applyAlignment="1"/>
    <xf numFmtId="44" fontId="9" fillId="17" borderId="0" xfId="2" applyFont="1" applyFill="1" applyBorder="1" applyAlignment="1"/>
    <xf numFmtId="44" fontId="0" fillId="10" borderId="17" xfId="2" applyFont="1" applyFill="1" applyBorder="1" applyAlignment="1">
      <alignment horizontal="center" vertical="center"/>
    </xf>
    <xf numFmtId="0" fontId="0" fillId="13" borderId="17" xfId="0" applyFill="1" applyBorder="1"/>
    <xf numFmtId="0" fontId="0" fillId="17" borderId="0" xfId="0" applyFill="1"/>
    <xf numFmtId="0" fontId="39" fillId="17" borderId="0" xfId="0" applyFont="1" applyFill="1" applyBorder="1" applyAlignment="1">
      <alignment horizontal="center" vertical="center"/>
    </xf>
    <xf numFmtId="44" fontId="39" fillId="17" borderId="0" xfId="2" applyFont="1" applyFill="1" applyBorder="1" applyAlignment="1">
      <alignment horizontal="center" vertical="center"/>
    </xf>
    <xf numFmtId="169" fontId="37" fillId="17" borderId="0" xfId="0" applyNumberFormat="1" applyFont="1" applyFill="1" applyBorder="1"/>
    <xf numFmtId="0" fontId="9" fillId="17" borderId="0" xfId="0" applyFont="1" applyFill="1" applyBorder="1" applyAlignment="1">
      <alignment horizontal="center"/>
    </xf>
    <xf numFmtId="43" fontId="9" fillId="17" borderId="0" xfId="0" applyNumberFormat="1" applyFont="1" applyFill="1" applyBorder="1"/>
    <xf numFmtId="0" fontId="2" fillId="21" borderId="17" xfId="0" applyFont="1" applyFill="1" applyBorder="1" applyAlignment="1">
      <alignment horizontal="center" vertical="center"/>
    </xf>
    <xf numFmtId="43" fontId="2" fillId="21" borderId="17" xfId="0" applyNumberFormat="1" applyFon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43" fontId="0" fillId="34" borderId="17" xfId="0" applyNumberFormat="1" applyFill="1" applyBorder="1" applyAlignment="1">
      <alignment vertical="center"/>
    </xf>
    <xf numFmtId="0" fontId="9" fillId="17" borderId="0" xfId="0" applyFont="1" applyFill="1" applyBorder="1" applyAlignment="1">
      <alignment vertical="center"/>
    </xf>
    <xf numFmtId="0" fontId="37" fillId="17" borderId="0" xfId="0" applyFont="1" applyFill="1" applyBorder="1" applyAlignment="1">
      <alignment vertical="center"/>
    </xf>
    <xf numFmtId="0" fontId="9" fillId="17" borderId="0" xfId="0" applyFont="1" applyFill="1" applyBorder="1" applyAlignment="1"/>
    <xf numFmtId="17" fontId="9" fillId="17" borderId="0" xfId="0" applyNumberFormat="1" applyFont="1" applyFill="1" applyBorder="1" applyAlignment="1"/>
    <xf numFmtId="44" fontId="37" fillId="17" borderId="0" xfId="2" applyFont="1" applyFill="1" applyBorder="1" applyAlignment="1">
      <alignment vertical="center"/>
    </xf>
    <xf numFmtId="44" fontId="9" fillId="17" borderId="0" xfId="2" applyFont="1" applyFill="1" applyBorder="1" applyAlignment="1">
      <alignment vertical="center"/>
    </xf>
    <xf numFmtId="0" fontId="36" fillId="17" borderId="0" xfId="0" applyFont="1" applyFill="1" applyBorder="1" applyAlignment="1">
      <alignment vertical="center"/>
    </xf>
    <xf numFmtId="17" fontId="38" fillId="17" borderId="0" xfId="0" applyNumberFormat="1" applyFont="1" applyFill="1" applyBorder="1" applyAlignment="1"/>
    <xf numFmtId="0" fontId="13" fillId="17" borderId="0" xfId="0" applyFont="1" applyFill="1" applyBorder="1" applyAlignment="1">
      <alignment horizontal="center" vertical="center"/>
    </xf>
    <xf numFmtId="0" fontId="30" fillId="17" borderId="0" xfId="0" applyFont="1" applyFill="1" applyBorder="1" applyAlignment="1">
      <alignment horizontal="center" vertical="center"/>
    </xf>
    <xf numFmtId="44" fontId="13" fillId="17" borderId="0" xfId="2" applyFont="1" applyFill="1" applyBorder="1" applyAlignment="1">
      <alignment horizontal="center" vertical="center"/>
    </xf>
    <xf numFmtId="169" fontId="30" fillId="17" borderId="0" xfId="0" applyNumberFormat="1" applyFont="1" applyFill="1" applyBorder="1"/>
    <xf numFmtId="0" fontId="4" fillId="17" borderId="0" xfId="0" applyFont="1" applyFill="1" applyBorder="1" applyAlignment="1">
      <alignment horizontal="center"/>
    </xf>
    <xf numFmtId="43" fontId="4" fillId="17" borderId="0" xfId="0" applyNumberFormat="1" applyFont="1" applyFill="1" applyBorder="1"/>
    <xf numFmtId="0" fontId="0" fillId="17" borderId="0" xfId="0" applyFill="1" applyBorder="1"/>
    <xf numFmtId="169" fontId="40" fillId="17" borderId="17" xfId="2" applyNumberFormat="1" applyFont="1" applyFill="1" applyBorder="1" applyAlignment="1">
      <alignment horizontal="center" vertical="center"/>
    </xf>
    <xf numFmtId="17" fontId="2" fillId="21" borderId="17" xfId="0" applyNumberFormat="1" applyFont="1" applyFill="1" applyBorder="1" applyAlignment="1">
      <alignment horizontal="left" vertical="center"/>
    </xf>
    <xf numFmtId="0" fontId="41" fillId="21" borderId="17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right"/>
    </xf>
    <xf numFmtId="0" fontId="45" fillId="40" borderId="17" xfId="0" applyFont="1" applyFill="1" applyBorder="1" applyAlignment="1">
      <alignment horizontal="center" vertical="center"/>
    </xf>
    <xf numFmtId="0" fontId="46" fillId="40" borderId="17" xfId="0" applyFont="1" applyFill="1" applyBorder="1" applyAlignment="1">
      <alignment horizontal="center" vertical="center"/>
    </xf>
    <xf numFmtId="0" fontId="47" fillId="41" borderId="17" xfId="0" applyFont="1" applyFill="1" applyBorder="1" applyAlignment="1">
      <alignment horizontal="center" vertical="center" wrapText="1"/>
    </xf>
    <xf numFmtId="0" fontId="47" fillId="41" borderId="17" xfId="0" applyFont="1" applyFill="1" applyBorder="1" applyAlignment="1">
      <alignment horizontal="center" vertical="center"/>
    </xf>
    <xf numFmtId="0" fontId="46" fillId="40" borderId="17" xfId="0" applyFont="1" applyFill="1" applyBorder="1" applyAlignment="1">
      <alignment horizontal="center" vertical="center" wrapText="1"/>
    </xf>
    <xf numFmtId="0" fontId="46" fillId="43" borderId="17" xfId="0" applyFont="1" applyFill="1" applyBorder="1" applyAlignment="1">
      <alignment horizontal="left" vertical="center"/>
    </xf>
    <xf numFmtId="173" fontId="42" fillId="44" borderId="17" xfId="0" applyNumberFormat="1" applyFont="1" applyFill="1" applyBorder="1" applyAlignment="1">
      <alignment horizontal="center"/>
    </xf>
    <xf numFmtId="0" fontId="42" fillId="44" borderId="17" xfId="0" applyFont="1" applyFill="1" applyBorder="1" applyAlignment="1">
      <alignment horizontal="center"/>
    </xf>
    <xf numFmtId="173" fontId="42" fillId="44" borderId="17" xfId="0" applyNumberFormat="1" applyFont="1" applyFill="1" applyBorder="1" applyAlignment="1">
      <alignment horizontal="center" vertical="top"/>
    </xf>
    <xf numFmtId="0" fontId="42" fillId="0" borderId="0" xfId="0" applyFont="1"/>
    <xf numFmtId="0" fontId="49" fillId="42" borderId="17" xfId="0" applyFont="1" applyFill="1" applyBorder="1" applyAlignment="1">
      <alignment horizontal="center" vertical="center"/>
    </xf>
    <xf numFmtId="0" fontId="47" fillId="46" borderId="17" xfId="0" applyFont="1" applyFill="1" applyBorder="1"/>
    <xf numFmtId="0" fontId="46" fillId="46" borderId="17" xfId="0" applyFont="1" applyFill="1" applyBorder="1"/>
    <xf numFmtId="0" fontId="50" fillId="48" borderId="17" xfId="0" applyFont="1" applyFill="1" applyBorder="1"/>
    <xf numFmtId="0" fontId="51" fillId="9" borderId="17" xfId="0" applyFont="1" applyFill="1" applyBorder="1"/>
    <xf numFmtId="0" fontId="42" fillId="49" borderId="17" xfId="0" applyFont="1" applyFill="1" applyBorder="1" applyAlignment="1">
      <alignment horizontal="center"/>
    </xf>
    <xf numFmtId="173" fontId="42" fillId="49" borderId="17" xfId="0" applyNumberFormat="1" applyFont="1" applyFill="1" applyBorder="1" applyAlignment="1">
      <alignment horizontal="center" vertical="top"/>
    </xf>
    <xf numFmtId="0" fontId="49" fillId="26" borderId="17" xfId="0" applyFont="1" applyFill="1" applyBorder="1" applyAlignment="1">
      <alignment horizontal="center"/>
    </xf>
    <xf numFmtId="0" fontId="50" fillId="50" borderId="17" xfId="0" applyFont="1" applyFill="1" applyBorder="1"/>
    <xf numFmtId="0" fontId="51" fillId="50" borderId="17" xfId="0" applyFont="1" applyFill="1" applyBorder="1"/>
    <xf numFmtId="0" fontId="42" fillId="50" borderId="17" xfId="0" applyFont="1" applyFill="1" applyBorder="1" applyAlignment="1">
      <alignment horizontal="center"/>
    </xf>
    <xf numFmtId="173" fontId="42" fillId="50" borderId="17" xfId="0" applyNumberFormat="1" applyFont="1" applyFill="1" applyBorder="1" applyAlignment="1">
      <alignment horizontal="center" vertical="top"/>
    </xf>
    <xf numFmtId="0" fontId="51" fillId="0" borderId="0" xfId="0" applyFont="1" applyAlignment="1">
      <alignment horizontal="center"/>
    </xf>
    <xf numFmtId="0" fontId="51" fillId="51" borderId="0" xfId="0" applyFont="1" applyFill="1"/>
    <xf numFmtId="0" fontId="52" fillId="51" borderId="0" xfId="0" applyFont="1" applyFill="1"/>
    <xf numFmtId="10" fontId="51" fillId="51" borderId="0" xfId="0" applyNumberFormat="1" applyFont="1" applyFill="1"/>
    <xf numFmtId="0" fontId="45" fillId="36" borderId="19" xfId="0" applyFont="1" applyFill="1" applyBorder="1" applyAlignment="1">
      <alignment horizontal="center" vertical="center"/>
    </xf>
    <xf numFmtId="0" fontId="45" fillId="36" borderId="17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2" fillId="36" borderId="17" xfId="0" applyFont="1" applyFill="1" applyBorder="1" applyAlignment="1">
      <alignment horizontal="center"/>
    </xf>
    <xf numFmtId="0" fontId="51" fillId="36" borderId="17" xfId="0" applyFont="1" applyFill="1" applyBorder="1" applyAlignment="1">
      <alignment horizontal="center"/>
    </xf>
    <xf numFmtId="0" fontId="47" fillId="35" borderId="17" xfId="0" applyFont="1" applyFill="1" applyBorder="1" applyAlignment="1">
      <alignment horizontal="center" vertical="center" wrapText="1"/>
    </xf>
    <xf numFmtId="174" fontId="42" fillId="19" borderId="17" xfId="0" applyNumberFormat="1" applyFont="1" applyFill="1" applyBorder="1" applyAlignment="1">
      <alignment horizontal="center"/>
    </xf>
    <xf numFmtId="174" fontId="42" fillId="36" borderId="17" xfId="0" applyNumberFormat="1" applyFont="1" applyFill="1" applyBorder="1" applyAlignment="1">
      <alignment horizontal="center"/>
    </xf>
    <xf numFmtId="174" fontId="42" fillId="36" borderId="17" xfId="0" applyNumberFormat="1" applyFont="1" applyFill="1" applyBorder="1" applyAlignment="1">
      <alignment horizontal="center" vertical="top"/>
    </xf>
    <xf numFmtId="172" fontId="42" fillId="36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32" fillId="31" borderId="19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0" fillId="54" borderId="17" xfId="0" applyFont="1" applyFill="1" applyBorder="1" applyAlignment="1">
      <alignment horizontal="left" vertical="center" wrapText="1"/>
    </xf>
    <xf numFmtId="0" fontId="50" fillId="54" borderId="17" xfId="0" applyFont="1" applyFill="1" applyBorder="1" applyAlignment="1">
      <alignment wrapText="1"/>
    </xf>
    <xf numFmtId="0" fontId="33" fillId="54" borderId="17" xfId="0" applyFont="1" applyFill="1" applyBorder="1" applyAlignment="1">
      <alignment wrapText="1"/>
    </xf>
    <xf numFmtId="0" fontId="49" fillId="54" borderId="17" xfId="0" applyFont="1" applyFill="1" applyBorder="1" applyAlignment="1">
      <alignment horizontal="left" vertical="center" wrapText="1"/>
    </xf>
    <xf numFmtId="0" fontId="55" fillId="54" borderId="17" xfId="0" applyFont="1" applyFill="1" applyBorder="1" applyAlignment="1">
      <alignment horizontal="left" vertical="center" wrapText="1"/>
    </xf>
    <xf numFmtId="0" fontId="0" fillId="54" borderId="20" xfId="0" applyFill="1" applyBorder="1"/>
    <xf numFmtId="0" fontId="54" fillId="34" borderId="17" xfId="0" applyFont="1" applyFill="1" applyBorder="1" applyAlignment="1">
      <alignment wrapText="1"/>
    </xf>
    <xf numFmtId="0" fontId="46" fillId="43" borderId="19" xfId="0" applyFont="1" applyFill="1" applyBorder="1" applyAlignment="1">
      <alignment horizontal="left" vertical="center"/>
    </xf>
    <xf numFmtId="0" fontId="34" fillId="17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horizontal="center" vertical="center"/>
    </xf>
    <xf numFmtId="175" fontId="42" fillId="36" borderId="17" xfId="0" applyNumberFormat="1" applyFont="1" applyFill="1" applyBorder="1" applyAlignment="1">
      <alignment horizontal="center"/>
    </xf>
    <xf numFmtId="173" fontId="42" fillId="36" borderId="17" xfId="0" applyNumberFormat="1" applyFont="1" applyFill="1" applyBorder="1" applyAlignment="1">
      <alignment horizontal="center" vertical="top"/>
    </xf>
    <xf numFmtId="0" fontId="50" fillId="54" borderId="19" xfId="0" applyFont="1" applyFill="1" applyBorder="1" applyAlignment="1">
      <alignment horizontal="left" vertical="center" wrapText="1"/>
    </xf>
    <xf numFmtId="0" fontId="50" fillId="54" borderId="20" xfId="0" applyFont="1" applyFill="1" applyBorder="1" applyAlignment="1">
      <alignment horizontal="left" vertical="center" wrapText="1"/>
    </xf>
    <xf numFmtId="0" fontId="56" fillId="21" borderId="20" xfId="0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center" vertical="center"/>
    </xf>
    <xf numFmtId="43" fontId="2" fillId="21" borderId="20" xfId="0" applyNumberFormat="1" applyFont="1" applyFill="1" applyBorder="1" applyAlignment="1">
      <alignment horizontal="center" vertical="center"/>
    </xf>
    <xf numFmtId="0" fontId="33" fillId="35" borderId="17" xfId="0" applyFont="1" applyFill="1" applyBorder="1" applyAlignment="1">
      <alignment horizontal="center" vertical="center" wrapText="1"/>
    </xf>
    <xf numFmtId="0" fontId="40" fillId="35" borderId="17" xfId="0" applyFont="1" applyFill="1" applyBorder="1" applyAlignment="1">
      <alignment horizontal="center" vertical="center" wrapText="1"/>
    </xf>
    <xf numFmtId="0" fontId="40" fillId="34" borderId="3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Alignment="1">
      <alignment wrapText="1"/>
    </xf>
    <xf numFmtId="0" fontId="33" fillId="35" borderId="28" xfId="0" applyFont="1" applyFill="1" applyBorder="1" applyAlignment="1">
      <alignment horizontal="center" vertical="center" wrapText="1"/>
    </xf>
    <xf numFmtId="43" fontId="2" fillId="21" borderId="27" xfId="0" applyNumberFormat="1" applyFont="1" applyFill="1" applyBorder="1" applyAlignment="1">
      <alignment horizontal="right" vertical="center"/>
    </xf>
    <xf numFmtId="43" fontId="2" fillId="21" borderId="28" xfId="0" applyNumberFormat="1" applyFont="1" applyFill="1" applyBorder="1" applyAlignment="1">
      <alignment horizontal="right" vertical="center"/>
    </xf>
    <xf numFmtId="0" fontId="33" fillId="34" borderId="17" xfId="0" applyFont="1" applyFill="1" applyBorder="1" applyAlignment="1">
      <alignment horizontal="center" vertical="center" wrapText="1"/>
    </xf>
    <xf numFmtId="43" fontId="33" fillId="14" borderId="17" xfId="1" applyFont="1" applyFill="1" applyBorder="1" applyAlignment="1">
      <alignment vertical="center" wrapText="1"/>
    </xf>
    <xf numFmtId="0" fontId="33" fillId="34" borderId="6" xfId="0" applyFont="1" applyFill="1" applyBorder="1" applyAlignment="1">
      <alignment horizontal="center" vertical="center" wrapText="1"/>
    </xf>
    <xf numFmtId="43" fontId="2" fillId="21" borderId="20" xfId="0" applyNumberFormat="1" applyFont="1" applyFill="1" applyBorder="1"/>
    <xf numFmtId="0" fontId="58" fillId="21" borderId="20" xfId="0" applyFont="1" applyFill="1" applyBorder="1" applyAlignment="1">
      <alignment horizontal="center"/>
    </xf>
    <xf numFmtId="43" fontId="2" fillId="21" borderId="17" xfId="0" applyNumberFormat="1" applyFont="1" applyFill="1" applyBorder="1"/>
    <xf numFmtId="0" fontId="2" fillId="21" borderId="17" xfId="0" applyFont="1" applyFill="1" applyBorder="1"/>
    <xf numFmtId="0" fontId="33" fillId="55" borderId="33" xfId="0" applyFont="1" applyFill="1" applyBorder="1" applyAlignment="1">
      <alignment horizontal="center" vertical="center"/>
    </xf>
    <xf numFmtId="0" fontId="33" fillId="55" borderId="34" xfId="0" applyFont="1" applyFill="1" applyBorder="1" applyAlignment="1">
      <alignment horizontal="center" vertical="center"/>
    </xf>
    <xf numFmtId="0" fontId="33" fillId="55" borderId="35" xfId="0" applyFont="1" applyFill="1" applyBorder="1" applyAlignment="1">
      <alignment horizontal="center" vertical="center"/>
    </xf>
    <xf numFmtId="17" fontId="2" fillId="0" borderId="36" xfId="0" applyNumberFormat="1" applyFont="1" applyBorder="1" applyAlignment="1">
      <alignment horizontal="left" vertical="center"/>
    </xf>
    <xf numFmtId="43" fontId="0" fillId="0" borderId="37" xfId="1" applyFont="1" applyBorder="1"/>
    <xf numFmtId="17" fontId="2" fillId="0" borderId="38" xfId="0" applyNumberFormat="1" applyFont="1" applyBorder="1" applyAlignment="1">
      <alignment horizontal="left" vertical="center"/>
    </xf>
    <xf numFmtId="43" fontId="0" fillId="0" borderId="40" xfId="1" applyFont="1" applyBorder="1"/>
    <xf numFmtId="0" fontId="33" fillId="33" borderId="41" xfId="0" applyFont="1" applyFill="1" applyBorder="1" applyAlignment="1">
      <alignment horizontal="center" vertical="center" wrapText="1"/>
    </xf>
    <xf numFmtId="0" fontId="0" fillId="33" borderId="42" xfId="0" applyFill="1" applyBorder="1" applyAlignment="1">
      <alignment horizontal="center" vertical="center" wrapText="1"/>
    </xf>
    <xf numFmtId="0" fontId="33" fillId="16" borderId="13" xfId="0" applyFont="1" applyFill="1" applyBorder="1" applyAlignment="1">
      <alignment horizontal="center" vertical="center" wrapText="1"/>
    </xf>
    <xf numFmtId="43" fontId="0" fillId="3" borderId="31" xfId="0" applyNumberFormat="1" applyFill="1" applyBorder="1" applyAlignment="1">
      <alignment horizontal="center" vertical="center"/>
    </xf>
    <xf numFmtId="44" fontId="0" fillId="3" borderId="31" xfId="2" applyFont="1" applyFill="1" applyBorder="1" applyAlignment="1">
      <alignment horizontal="center" vertical="center"/>
    </xf>
    <xf numFmtId="0" fontId="33" fillId="13" borderId="17" xfId="0" applyFont="1" applyFill="1" applyBorder="1" applyAlignment="1">
      <alignment horizontal="center" vertical="center" wrapText="1"/>
    </xf>
    <xf numFmtId="43" fontId="57" fillId="0" borderId="17" xfId="0" applyNumberFormat="1" applyFont="1" applyBorder="1" applyAlignment="1">
      <alignment wrapText="1"/>
    </xf>
    <xf numFmtId="43" fontId="0" fillId="0" borderId="0" xfId="0" applyNumberFormat="1"/>
    <xf numFmtId="175" fontId="0" fillId="0" borderId="17" xfId="0" applyNumberFormat="1" applyBorder="1"/>
    <xf numFmtId="175" fontId="0" fillId="0" borderId="19" xfId="0" applyNumberFormat="1" applyBorder="1"/>
    <xf numFmtId="175" fontId="0" fillId="0" borderId="28" xfId="0" applyNumberFormat="1" applyBorder="1"/>
    <xf numFmtId="0" fontId="7" fillId="11" borderId="44" xfId="0" applyFont="1" applyFill="1" applyBorder="1" applyAlignment="1">
      <alignment horizontal="center" vertical="center" wrapText="1"/>
    </xf>
    <xf numFmtId="169" fontId="6" fillId="18" borderId="51" xfId="0" applyNumberFormat="1" applyFont="1" applyFill="1" applyBorder="1" applyAlignment="1">
      <alignment horizontal="center" vertical="center" wrapText="1"/>
    </xf>
    <xf numFmtId="175" fontId="2" fillId="0" borderId="17" xfId="0" applyNumberFormat="1" applyFont="1" applyBorder="1"/>
    <xf numFmtId="0" fontId="33" fillId="56" borderId="17" xfId="0" applyFont="1" applyFill="1" applyBorder="1" applyAlignment="1">
      <alignment horizontal="center" vertical="center"/>
    </xf>
    <xf numFmtId="175" fontId="2" fillId="30" borderId="17" xfId="0" applyNumberFormat="1" applyFont="1" applyFill="1" applyBorder="1"/>
    <xf numFmtId="175" fontId="2" fillId="30" borderId="19" xfId="0" applyNumberFormat="1" applyFont="1" applyFill="1" applyBorder="1"/>
    <xf numFmtId="0" fontId="56" fillId="21" borderId="0" xfId="0" applyFont="1" applyFill="1" applyAlignment="1">
      <alignment wrapText="1"/>
    </xf>
    <xf numFmtId="0" fontId="2" fillId="17" borderId="17" xfId="0" applyFont="1" applyFill="1" applyBorder="1" applyAlignment="1">
      <alignment horizontal="center" vertical="center"/>
    </xf>
    <xf numFmtId="175" fontId="6" fillId="18" borderId="15" xfId="0" applyNumberFormat="1" applyFont="1" applyFill="1" applyBorder="1" applyAlignment="1">
      <alignment horizontal="center" vertical="center" wrapText="1"/>
    </xf>
    <xf numFmtId="173" fontId="0" fillId="0" borderId="0" xfId="0" applyNumberFormat="1"/>
    <xf numFmtId="0" fontId="45" fillId="20" borderId="32" xfId="0" applyFont="1" applyFill="1" applyBorder="1" applyAlignment="1">
      <alignment horizontal="center" vertical="center"/>
    </xf>
    <xf numFmtId="0" fontId="45" fillId="20" borderId="17" xfId="0" applyFont="1" applyFill="1" applyBorder="1" applyAlignment="1">
      <alignment horizontal="center" vertical="center"/>
    </xf>
    <xf numFmtId="0" fontId="42" fillId="20" borderId="17" xfId="0" applyFont="1" applyFill="1" applyBorder="1" applyAlignment="1">
      <alignment horizontal="center"/>
    </xf>
    <xf numFmtId="174" fontId="42" fillId="20" borderId="17" xfId="0" applyNumberFormat="1" applyFont="1" applyFill="1" applyBorder="1" applyAlignment="1">
      <alignment horizontal="center"/>
    </xf>
    <xf numFmtId="175" fontId="42" fillId="20" borderId="17" xfId="0" applyNumberFormat="1" applyFont="1" applyFill="1" applyBorder="1" applyAlignment="1">
      <alignment horizontal="center"/>
    </xf>
    <xf numFmtId="176" fontId="42" fillId="44" borderId="17" xfId="0" applyNumberFormat="1" applyFont="1" applyFill="1" applyBorder="1" applyAlignment="1">
      <alignment horizontal="center" vertical="top"/>
    </xf>
    <xf numFmtId="0" fontId="45" fillId="58" borderId="32" xfId="0" applyFont="1" applyFill="1" applyBorder="1" applyAlignment="1">
      <alignment horizontal="center" vertical="center"/>
    </xf>
    <xf numFmtId="0" fontId="45" fillId="58" borderId="17" xfId="0" applyFont="1" applyFill="1" applyBorder="1" applyAlignment="1">
      <alignment horizontal="center" vertical="center"/>
    </xf>
    <xf numFmtId="0" fontId="42" fillId="58" borderId="17" xfId="0" applyFont="1" applyFill="1" applyBorder="1" applyAlignment="1">
      <alignment horizontal="center"/>
    </xf>
    <xf numFmtId="174" fontId="42" fillId="58" borderId="17" xfId="0" applyNumberFormat="1" applyFont="1" applyFill="1" applyBorder="1" applyAlignment="1">
      <alignment horizontal="center"/>
    </xf>
    <xf numFmtId="175" fontId="42" fillId="58" borderId="17" xfId="0" applyNumberFormat="1" applyFont="1" applyFill="1" applyBorder="1" applyAlignment="1">
      <alignment horizontal="center"/>
    </xf>
    <xf numFmtId="0" fontId="45" fillId="59" borderId="17" xfId="0" applyFont="1" applyFill="1" applyBorder="1" applyAlignment="1">
      <alignment horizontal="center" vertical="center"/>
    </xf>
    <xf numFmtId="0" fontId="42" fillId="59" borderId="17" xfId="0" applyFont="1" applyFill="1" applyBorder="1" applyAlignment="1">
      <alignment horizontal="center"/>
    </xf>
    <xf numFmtId="174" fontId="42" fillId="59" borderId="17" xfId="0" applyNumberFormat="1" applyFont="1" applyFill="1" applyBorder="1" applyAlignment="1">
      <alignment horizontal="center"/>
    </xf>
    <xf numFmtId="175" fontId="42" fillId="59" borderId="17" xfId="0" applyNumberFormat="1" applyFont="1" applyFill="1" applyBorder="1" applyAlignment="1">
      <alignment horizontal="center"/>
    </xf>
    <xf numFmtId="172" fontId="42" fillId="60" borderId="17" xfId="0" applyNumberFormat="1" applyFont="1" applyFill="1" applyBorder="1" applyAlignment="1">
      <alignment horizontal="center"/>
    </xf>
    <xf numFmtId="176" fontId="42" fillId="20" borderId="17" xfId="0" applyNumberFormat="1" applyFont="1" applyFill="1" applyBorder="1" applyAlignment="1">
      <alignment horizontal="center" vertical="top"/>
    </xf>
    <xf numFmtId="176" fontId="42" fillId="58" borderId="17" xfId="0" applyNumberFormat="1" applyFont="1" applyFill="1" applyBorder="1" applyAlignment="1">
      <alignment horizontal="center" vertical="top"/>
    </xf>
    <xf numFmtId="176" fontId="42" fillId="59" borderId="17" xfId="0" applyNumberFormat="1" applyFont="1" applyFill="1" applyBorder="1" applyAlignment="1">
      <alignment horizontal="center" vertical="top"/>
    </xf>
    <xf numFmtId="175" fontId="42" fillId="58" borderId="17" xfId="0" applyNumberFormat="1" applyFont="1" applyFill="1" applyBorder="1" applyAlignment="1">
      <alignment horizontal="center" vertical="top"/>
    </xf>
    <xf numFmtId="0" fontId="2" fillId="19" borderId="17" xfId="0" applyFont="1" applyFill="1" applyBorder="1" applyAlignment="1">
      <alignment horizontal="center" vertical="center"/>
    </xf>
    <xf numFmtId="0" fontId="2" fillId="19" borderId="33" xfId="0" applyFont="1" applyFill="1" applyBorder="1" applyAlignment="1">
      <alignment horizontal="left" vertical="center"/>
    </xf>
    <xf numFmtId="0" fontId="2" fillId="19" borderId="34" xfId="0" applyFont="1" applyFill="1" applyBorder="1" applyAlignment="1">
      <alignment horizontal="center" vertical="center"/>
    </xf>
    <xf numFmtId="0" fontId="2" fillId="19" borderId="36" xfId="0" applyFont="1" applyFill="1" applyBorder="1" applyAlignment="1">
      <alignment horizontal="left" vertical="center"/>
    </xf>
    <xf numFmtId="0" fontId="2" fillId="19" borderId="38" xfId="0" applyFont="1" applyFill="1" applyBorder="1" applyAlignment="1">
      <alignment vertical="center"/>
    </xf>
    <xf numFmtId="0" fontId="2" fillId="19" borderId="39" xfId="0" applyFont="1" applyFill="1" applyBorder="1" applyAlignment="1">
      <alignment horizontal="center" vertical="center"/>
    </xf>
    <xf numFmtId="0" fontId="32" fillId="31" borderId="25" xfId="0" applyFont="1" applyFill="1" applyBorder="1" applyAlignment="1">
      <alignment horizontal="center" vertical="center"/>
    </xf>
    <xf numFmtId="0" fontId="2" fillId="19" borderId="52" xfId="0" applyFont="1" applyFill="1" applyBorder="1" applyAlignment="1">
      <alignment vertical="center"/>
    </xf>
    <xf numFmtId="0" fontId="2" fillId="19" borderId="19" xfId="0" applyFont="1" applyFill="1" applyBorder="1" applyAlignment="1">
      <alignment horizontal="center" vertical="center"/>
    </xf>
    <xf numFmtId="0" fontId="2" fillId="61" borderId="0" xfId="0" applyFont="1" applyFill="1" applyAlignment="1">
      <alignment horizontal="center" vertical="center"/>
    </xf>
    <xf numFmtId="0" fontId="2" fillId="17" borderId="33" xfId="0" applyFont="1" applyFill="1" applyBorder="1" applyAlignment="1">
      <alignment horizontal="left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6" xfId="0" applyFont="1" applyFill="1" applyBorder="1" applyAlignment="1">
      <alignment horizontal="left" vertical="center"/>
    </xf>
    <xf numFmtId="0" fontId="2" fillId="17" borderId="52" xfId="0" applyFont="1" applyFill="1" applyBorder="1" applyAlignment="1">
      <alignment vertical="center"/>
    </xf>
    <xf numFmtId="0" fontId="2" fillId="17" borderId="19" xfId="0" applyFont="1" applyFill="1" applyBorder="1" applyAlignment="1">
      <alignment horizontal="center" vertical="center"/>
    </xf>
    <xf numFmtId="0" fontId="2" fillId="17" borderId="38" xfId="0" applyFont="1" applyFill="1" applyBorder="1" applyAlignment="1">
      <alignment vertical="center"/>
    </xf>
    <xf numFmtId="0" fontId="2" fillId="17" borderId="39" xfId="0" applyFont="1" applyFill="1" applyBorder="1" applyAlignment="1">
      <alignment horizontal="center" vertical="center"/>
    </xf>
    <xf numFmtId="0" fontId="2" fillId="57" borderId="52" xfId="0" applyFont="1" applyFill="1" applyBorder="1" applyAlignment="1">
      <alignment horizontal="center" vertical="center"/>
    </xf>
    <xf numFmtId="0" fontId="2" fillId="57" borderId="19" xfId="0" applyFont="1" applyFill="1" applyBorder="1" applyAlignment="1">
      <alignment vertical="center"/>
    </xf>
    <xf numFmtId="176" fontId="2" fillId="17" borderId="17" xfId="0" applyNumberFormat="1" applyFont="1" applyFill="1" applyBorder="1" applyAlignment="1">
      <alignment vertical="center"/>
    </xf>
    <xf numFmtId="175" fontId="2" fillId="17" borderId="17" xfId="0" applyNumberFormat="1" applyFont="1" applyFill="1" applyBorder="1" applyAlignment="1">
      <alignment vertical="center"/>
    </xf>
    <xf numFmtId="0" fontId="2" fillId="57" borderId="57" xfId="0" applyFont="1" applyFill="1" applyBorder="1" applyAlignment="1">
      <alignment horizontal="center" vertical="center"/>
    </xf>
    <xf numFmtId="0" fontId="2" fillId="57" borderId="59" xfId="0" applyFont="1" applyFill="1" applyBorder="1" applyAlignment="1">
      <alignment vertical="center"/>
    </xf>
    <xf numFmtId="175" fontId="2" fillId="0" borderId="36" xfId="0" applyNumberFormat="1" applyFont="1" applyBorder="1" applyAlignment="1">
      <alignment vertical="center"/>
    </xf>
    <xf numFmtId="175" fontId="2" fillId="17" borderId="37" xfId="0" applyNumberFormat="1" applyFont="1" applyFill="1" applyBorder="1" applyAlignment="1">
      <alignment vertical="center"/>
    </xf>
    <xf numFmtId="175" fontId="2" fillId="62" borderId="62" xfId="0" applyNumberFormat="1" applyFont="1" applyFill="1" applyBorder="1" applyAlignment="1">
      <alignment horizontal="center" vertical="center"/>
    </xf>
    <xf numFmtId="0" fontId="32" fillId="17" borderId="30" xfId="0" applyFont="1" applyFill="1" applyBorder="1" applyAlignment="1">
      <alignment vertical="center"/>
    </xf>
    <xf numFmtId="0" fontId="2" fillId="52" borderId="61" xfId="0" applyFont="1" applyFill="1" applyBorder="1" applyAlignment="1">
      <alignment vertical="center"/>
    </xf>
    <xf numFmtId="0" fontId="2" fillId="52" borderId="24" xfId="0" applyFont="1" applyFill="1" applyBorder="1" applyAlignment="1">
      <alignment horizontal="center" vertical="center"/>
    </xf>
    <xf numFmtId="175" fontId="2" fillId="52" borderId="24" xfId="0" applyNumberFormat="1" applyFont="1" applyFill="1" applyBorder="1" applyAlignment="1">
      <alignment horizontal="center" vertical="center"/>
    </xf>
    <xf numFmtId="175" fontId="2" fillId="52" borderId="63" xfId="0" applyNumberFormat="1" applyFont="1" applyFill="1" applyBorder="1" applyAlignment="1">
      <alignment horizontal="center" vertical="center"/>
    </xf>
    <xf numFmtId="175" fontId="2" fillId="52" borderId="21" xfId="0" applyNumberFormat="1" applyFont="1" applyFill="1" applyBorder="1" applyAlignment="1">
      <alignment vertical="center"/>
    </xf>
    <xf numFmtId="176" fontId="2" fillId="52" borderId="21" xfId="0" applyNumberFormat="1" applyFont="1" applyFill="1" applyBorder="1" applyAlignment="1">
      <alignment vertical="center"/>
    </xf>
    <xf numFmtId="176" fontId="2" fillId="52" borderId="24" xfId="0" applyNumberFormat="1" applyFont="1" applyFill="1" applyBorder="1" applyAlignment="1">
      <alignment vertical="center"/>
    </xf>
    <xf numFmtId="175" fontId="2" fillId="52" borderId="0" xfId="0" applyNumberFormat="1" applyFont="1" applyFill="1" applyBorder="1" applyAlignment="1">
      <alignment vertical="center"/>
    </xf>
    <xf numFmtId="0" fontId="2" fillId="52" borderId="0" xfId="0" applyFont="1" applyFill="1" applyAlignment="1">
      <alignment horizontal="center" vertical="center"/>
    </xf>
    <xf numFmtId="175" fontId="2" fillId="52" borderId="64" xfId="0" applyNumberFormat="1" applyFont="1" applyFill="1" applyBorder="1" applyAlignment="1">
      <alignment horizontal="center" vertical="center"/>
    </xf>
    <xf numFmtId="175" fontId="2" fillId="52" borderId="24" xfId="0" applyNumberFormat="1" applyFont="1" applyFill="1" applyBorder="1" applyAlignment="1">
      <alignment vertical="center"/>
    </xf>
    <xf numFmtId="0" fontId="2" fillId="35" borderId="58" xfId="0" applyFont="1" applyFill="1" applyBorder="1" applyAlignment="1">
      <alignment horizontal="center" vertical="center"/>
    </xf>
    <xf numFmtId="0" fontId="2" fillId="35" borderId="32" xfId="0" applyFont="1" applyFill="1" applyBorder="1" applyAlignment="1">
      <alignment horizontal="center" vertical="center"/>
    </xf>
    <xf numFmtId="0" fontId="2" fillId="35" borderId="46" xfId="0" applyFont="1" applyFill="1" applyBorder="1" applyAlignment="1">
      <alignment horizontal="center" vertical="center"/>
    </xf>
    <xf numFmtId="0" fontId="2" fillId="35" borderId="60" xfId="0" applyFont="1" applyFill="1" applyBorder="1" applyAlignment="1">
      <alignment horizontal="center" vertical="center"/>
    </xf>
    <xf numFmtId="176" fontId="42" fillId="36" borderId="17" xfId="0" applyNumberFormat="1" applyFont="1" applyFill="1" applyBorder="1" applyAlignment="1">
      <alignment horizontal="center" vertical="top"/>
    </xf>
    <xf numFmtId="175" fontId="0" fillId="0" borderId="0" xfId="0" applyNumberFormat="1"/>
    <xf numFmtId="175" fontId="42" fillId="57" borderId="17" xfId="0" applyNumberFormat="1" applyFont="1" applyFill="1" applyBorder="1" applyAlignment="1">
      <alignment horizontal="center" vertical="top"/>
    </xf>
    <xf numFmtId="0" fontId="2" fillId="17" borderId="17" xfId="0" applyFont="1" applyFill="1" applyBorder="1" applyAlignment="1">
      <alignment horizontal="left" vertical="center"/>
    </xf>
    <xf numFmtId="0" fontId="2" fillId="57" borderId="17" xfId="0" applyFont="1" applyFill="1" applyBorder="1" applyAlignment="1">
      <alignment horizontal="center" vertical="center"/>
    </xf>
    <xf numFmtId="0" fontId="2" fillId="35" borderId="17" xfId="0" applyFont="1" applyFill="1" applyBorder="1" applyAlignment="1">
      <alignment horizontal="center" vertical="center"/>
    </xf>
    <xf numFmtId="0" fontId="2" fillId="57" borderId="17" xfId="0" applyFont="1" applyFill="1" applyBorder="1" applyAlignment="1">
      <alignment vertical="center"/>
    </xf>
    <xf numFmtId="175" fontId="2" fillId="0" borderId="17" xfId="0" applyNumberFormat="1" applyFont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61" borderId="17" xfId="0" applyFont="1" applyFill="1" applyBorder="1" applyAlignment="1">
      <alignment horizontal="center" vertical="center"/>
    </xf>
    <xf numFmtId="172" fontId="42" fillId="60" borderId="28" xfId="0" applyNumberFormat="1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 vertical="center"/>
    </xf>
    <xf numFmtId="0" fontId="47" fillId="52" borderId="28" xfId="0" applyFont="1" applyFill="1" applyBorder="1" applyAlignment="1">
      <alignment horizontal="center" vertical="center" wrapText="1"/>
    </xf>
    <xf numFmtId="173" fontId="47" fillId="22" borderId="67" xfId="0" applyNumberFormat="1" applyFont="1" applyFill="1" applyBorder="1" applyAlignment="1">
      <alignment horizontal="center" vertical="center"/>
    </xf>
    <xf numFmtId="175" fontId="48" fillId="45" borderId="62" xfId="0" applyNumberFormat="1" applyFont="1" applyFill="1" applyBorder="1" applyAlignment="1">
      <alignment horizontal="center" vertical="center"/>
    </xf>
    <xf numFmtId="0" fontId="49" fillId="42" borderId="56" xfId="0" applyFont="1" applyFill="1" applyBorder="1" applyAlignment="1">
      <alignment horizontal="center" vertical="center"/>
    </xf>
    <xf numFmtId="175" fontId="48" fillId="45" borderId="68" xfId="0" applyNumberFormat="1" applyFont="1" applyFill="1" applyBorder="1" applyAlignment="1">
      <alignment horizontal="center" vertical="center"/>
    </xf>
    <xf numFmtId="173" fontId="48" fillId="45" borderId="69" xfId="0" applyNumberFormat="1" applyFont="1" applyFill="1" applyBorder="1" applyAlignment="1">
      <alignment horizontal="center" vertical="center"/>
    </xf>
    <xf numFmtId="0" fontId="48" fillId="47" borderId="62" xfId="0" applyFont="1" applyFill="1" applyBorder="1" applyAlignment="1">
      <alignment horizontal="center" vertical="center"/>
    </xf>
    <xf numFmtId="14" fontId="33" fillId="0" borderId="65" xfId="0" applyNumberFormat="1" applyFont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5" fontId="2" fillId="0" borderId="17" xfId="0" applyNumberFormat="1" applyFont="1" applyBorder="1" applyAlignment="1">
      <alignment horizontal="center" vertical="center"/>
    </xf>
    <xf numFmtId="0" fontId="2" fillId="35" borderId="28" xfId="0" applyFont="1" applyFill="1" applyBorder="1" applyAlignment="1">
      <alignment horizontal="center" vertical="center"/>
    </xf>
    <xf numFmtId="0" fontId="2" fillId="34" borderId="56" xfId="0" applyFont="1" applyFill="1" applyBorder="1" applyAlignment="1">
      <alignment horizontal="center" vertical="center"/>
    </xf>
    <xf numFmtId="14" fontId="2" fillId="62" borderId="65" xfId="0" applyNumberFormat="1" applyFont="1" applyFill="1" applyBorder="1" applyAlignment="1">
      <alignment horizontal="center" vertical="center"/>
    </xf>
    <xf numFmtId="0" fontId="2" fillId="57" borderId="17" xfId="0" applyFont="1" applyFill="1" applyBorder="1" applyAlignment="1">
      <alignment horizontal="center" vertical="center" wrapText="1"/>
    </xf>
    <xf numFmtId="0" fontId="2" fillId="57" borderId="20" xfId="0" applyFont="1" applyFill="1" applyBorder="1" applyAlignment="1">
      <alignment vertical="center"/>
    </xf>
    <xf numFmtId="0" fontId="2" fillId="57" borderId="20" xfId="0" applyFont="1" applyFill="1" applyBorder="1" applyAlignment="1">
      <alignment horizontal="center" vertical="center"/>
    </xf>
    <xf numFmtId="0" fontId="2" fillId="57" borderId="20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center" vertical="center"/>
    </xf>
    <xf numFmtId="9" fontId="2" fillId="0" borderId="25" xfId="0" applyNumberFormat="1" applyFont="1" applyBorder="1" applyAlignment="1">
      <alignment horizontal="center" vertical="center"/>
    </xf>
    <xf numFmtId="175" fontId="2" fillId="0" borderId="25" xfId="0" applyNumberFormat="1" applyFont="1" applyBorder="1" applyAlignment="1">
      <alignment horizontal="center" vertical="center"/>
    </xf>
    <xf numFmtId="0" fontId="2" fillId="17" borderId="20" xfId="0" applyFont="1" applyFill="1" applyBorder="1" applyAlignment="1">
      <alignment horizontal="left" vertical="center"/>
    </xf>
    <xf numFmtId="0" fontId="2" fillId="17" borderId="20" xfId="0" applyFont="1" applyFill="1" applyBorder="1" applyAlignment="1">
      <alignment horizontal="center" vertical="center"/>
    </xf>
    <xf numFmtId="0" fontId="33" fillId="52" borderId="70" xfId="0" applyFont="1" applyFill="1" applyBorder="1" applyAlignment="1">
      <alignment vertical="center"/>
    </xf>
    <xf numFmtId="0" fontId="33" fillId="52" borderId="71" xfId="0" applyFont="1" applyFill="1" applyBorder="1" applyAlignment="1">
      <alignment horizontal="center" vertical="center"/>
    </xf>
    <xf numFmtId="175" fontId="33" fillId="52" borderId="70" xfId="0" applyNumberFormat="1" applyFont="1" applyFill="1" applyBorder="1" applyAlignment="1">
      <alignment horizontal="center" vertical="center"/>
    </xf>
    <xf numFmtId="175" fontId="33" fillId="52" borderId="72" xfId="0" applyNumberFormat="1" applyFont="1" applyFill="1" applyBorder="1" applyAlignment="1">
      <alignment horizontal="center" vertical="center"/>
    </xf>
    <xf numFmtId="175" fontId="33" fillId="52" borderId="73" xfId="0" applyNumberFormat="1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175" fontId="2" fillId="0" borderId="27" xfId="0" applyNumberFormat="1" applyFont="1" applyBorder="1" applyAlignment="1">
      <alignment horizontal="center" vertical="center"/>
    </xf>
    <xf numFmtId="175" fontId="33" fillId="52" borderId="75" xfId="0" applyNumberFormat="1" applyFont="1" applyFill="1" applyBorder="1" applyAlignment="1">
      <alignment horizontal="center" vertical="center"/>
    </xf>
    <xf numFmtId="0" fontId="33" fillId="40" borderId="75" xfId="0" applyFont="1" applyFill="1" applyBorder="1" applyAlignment="1">
      <alignment horizontal="center" vertical="center"/>
    </xf>
    <xf numFmtId="9" fontId="33" fillId="40" borderId="72" xfId="0" applyNumberFormat="1" applyFont="1" applyFill="1" applyBorder="1" applyAlignment="1">
      <alignment horizontal="center" vertical="center"/>
    </xf>
    <xf numFmtId="0" fontId="33" fillId="40" borderId="72" xfId="0" applyFont="1" applyFill="1" applyBorder="1" applyAlignment="1">
      <alignment horizontal="center" vertical="center"/>
    </xf>
    <xf numFmtId="0" fontId="33" fillId="40" borderId="69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vertical="center"/>
    </xf>
    <xf numFmtId="0" fontId="2" fillId="17" borderId="3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3" fontId="2" fillId="0" borderId="28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2" fillId="61" borderId="20" xfId="0" applyFont="1" applyFill="1" applyBorder="1" applyAlignment="1">
      <alignment horizontal="center" vertical="center"/>
    </xf>
    <xf numFmtId="9" fontId="2" fillId="61" borderId="27" xfId="0" applyNumberFormat="1" applyFont="1" applyFill="1" applyBorder="1" applyAlignment="1">
      <alignment horizontal="center" vertical="center"/>
    </xf>
    <xf numFmtId="175" fontId="2" fillId="61" borderId="27" xfId="0" applyNumberFormat="1" applyFont="1" applyFill="1" applyBorder="1" applyAlignment="1">
      <alignment horizontal="center" vertical="center"/>
    </xf>
    <xf numFmtId="0" fontId="2" fillId="63" borderId="17" xfId="0" applyFont="1" applyFill="1" applyBorder="1" applyAlignment="1">
      <alignment horizontal="center" vertical="center"/>
    </xf>
    <xf numFmtId="0" fontId="60" fillId="17" borderId="0" xfId="0" applyFont="1" applyFill="1" applyAlignment="1">
      <alignment horizontal="center" vertical="center"/>
    </xf>
    <xf numFmtId="0" fontId="33" fillId="18" borderId="20" xfId="0" applyFont="1" applyFill="1" applyBorder="1"/>
    <xf numFmtId="0" fontId="61" fillId="64" borderId="69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5" xfId="0" applyBorder="1"/>
    <xf numFmtId="0" fontId="33" fillId="18" borderId="19" xfId="0" applyFont="1" applyFill="1" applyBorder="1"/>
    <xf numFmtId="0" fontId="0" fillId="17" borderId="0" xfId="0" applyFill="1" applyBorder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 wrapText="1"/>
    </xf>
    <xf numFmtId="175" fontId="2" fillId="0" borderId="19" xfId="0" applyNumberFormat="1" applyFont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43" fontId="2" fillId="0" borderId="17" xfId="0" applyNumberFormat="1" applyFont="1" applyBorder="1" applyAlignment="1">
      <alignment horizontal="center" vertical="center"/>
    </xf>
    <xf numFmtId="0" fontId="2" fillId="64" borderId="17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53" fillId="3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43" fillId="38" borderId="0" xfId="0" applyFont="1" applyFill="1" applyAlignment="1">
      <alignment horizontal="center" vertical="center"/>
    </xf>
    <xf numFmtId="0" fontId="43" fillId="38" borderId="22" xfId="0" applyFont="1" applyFill="1" applyBorder="1" applyAlignment="1">
      <alignment horizontal="center" vertical="center"/>
    </xf>
    <xf numFmtId="0" fontId="44" fillId="39" borderId="22" xfId="0" applyFont="1" applyFill="1" applyBorder="1" applyAlignment="1">
      <alignment horizontal="center" wrapText="1"/>
    </xf>
    <xf numFmtId="0" fontId="32" fillId="2" borderId="19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4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43" fontId="0" fillId="0" borderId="31" xfId="2" applyNumberFormat="1" applyFont="1" applyBorder="1" applyAlignment="1">
      <alignment horizontal="center" vertical="center"/>
    </xf>
    <xf numFmtId="43" fontId="2" fillId="0" borderId="42" xfId="0" applyNumberFormat="1" applyFont="1" applyBorder="1" applyAlignment="1">
      <alignment horizontal="center" vertical="center"/>
    </xf>
    <xf numFmtId="43" fontId="0" fillId="17" borderId="0" xfId="0" applyNumberForma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43" fontId="2" fillId="0" borderId="43" xfId="0" applyNumberFormat="1" applyFont="1" applyBorder="1" applyAlignment="1">
      <alignment horizontal="center" vertical="center"/>
    </xf>
    <xf numFmtId="168" fontId="2" fillId="4" borderId="20" xfId="1" applyNumberFormat="1" applyFont="1" applyFill="1" applyBorder="1" applyAlignment="1">
      <alignment horizontal="center" vertical="center"/>
    </xf>
    <xf numFmtId="168" fontId="2" fillId="4" borderId="17" xfId="1" applyNumberFormat="1" applyFont="1" applyFill="1" applyBorder="1" applyAlignment="1">
      <alignment horizontal="center" vertical="center"/>
    </xf>
    <xf numFmtId="167" fontId="0" fillId="12" borderId="17" xfId="1" applyNumberFormat="1" applyFont="1" applyFill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167" fontId="0" fillId="12" borderId="1" xfId="1" applyNumberFormat="1" applyFont="1" applyFill="1" applyBorder="1" applyAlignment="1">
      <alignment horizontal="center" vertical="center"/>
    </xf>
    <xf numFmtId="44" fontId="4" fillId="0" borderId="1" xfId="2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3" xfId="0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0" fillId="32" borderId="11" xfId="0" applyFill="1" applyBorder="1" applyAlignment="1">
      <alignment horizontal="center"/>
    </xf>
    <xf numFmtId="0" fontId="0" fillId="32" borderId="0" xfId="0" applyFill="1" applyAlignment="1">
      <alignment horizontal="center"/>
    </xf>
    <xf numFmtId="43" fontId="2" fillId="9" borderId="2" xfId="1" applyFont="1" applyFill="1" applyBorder="1" applyAlignment="1">
      <alignment horizontal="center" vertical="center"/>
    </xf>
    <xf numFmtId="43" fontId="2" fillId="9" borderId="3" xfId="1" applyFont="1" applyFill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18" fillId="25" borderId="24" xfId="0" applyFont="1" applyFill="1" applyBorder="1" applyAlignment="1">
      <alignment horizontal="center" vertical="center" wrapText="1"/>
    </xf>
    <xf numFmtId="0" fontId="18" fillId="25" borderId="20" xfId="0" applyFont="1" applyFill="1" applyBorder="1" applyAlignment="1">
      <alignment horizontal="center" vertical="center" wrapText="1"/>
    </xf>
    <xf numFmtId="0" fontId="17" fillId="26" borderId="25" xfId="0" applyFont="1" applyFill="1" applyBorder="1" applyAlignment="1">
      <alignment horizontal="center" vertical="center" wrapText="1"/>
    </xf>
    <xf numFmtId="0" fontId="17" fillId="26" borderId="27" xfId="0" applyFont="1" applyFill="1" applyBorder="1" applyAlignment="1">
      <alignment horizontal="center" vertical="center" wrapText="1"/>
    </xf>
    <xf numFmtId="0" fontId="17" fillId="26" borderId="30" xfId="0" applyFont="1" applyFill="1" applyBorder="1" applyAlignment="1">
      <alignment horizontal="center" vertical="center" wrapText="1"/>
    </xf>
    <xf numFmtId="0" fontId="17" fillId="26" borderId="23" xfId="0" applyFont="1" applyFill="1" applyBorder="1" applyAlignment="1">
      <alignment horizontal="center" vertical="center" wrapText="1"/>
    </xf>
    <xf numFmtId="0" fontId="14" fillId="23" borderId="0" xfId="0" applyFont="1" applyFill="1" applyAlignment="1">
      <alignment horizontal="center" wrapText="1"/>
    </xf>
    <xf numFmtId="0" fontId="14" fillId="23" borderId="21" xfId="0" applyFont="1" applyFill="1" applyBorder="1" applyAlignment="1">
      <alignment horizontal="center" wrapText="1"/>
    </xf>
    <xf numFmtId="0" fontId="14" fillId="23" borderId="22" xfId="0" applyFont="1" applyFill="1" applyBorder="1" applyAlignment="1">
      <alignment horizontal="center" wrapText="1"/>
    </xf>
    <xf numFmtId="0" fontId="14" fillId="23" borderId="23" xfId="0" applyFont="1" applyFill="1" applyBorder="1" applyAlignment="1">
      <alignment horizontal="center" wrapText="1"/>
    </xf>
    <xf numFmtId="0" fontId="16" fillId="24" borderId="24" xfId="0" applyFont="1" applyFill="1" applyBorder="1" applyAlignment="1">
      <alignment horizontal="center" vertical="center" wrapText="1"/>
    </xf>
    <xf numFmtId="0" fontId="16" fillId="24" borderId="20" xfId="0" applyFont="1" applyFill="1" applyBorder="1" applyAlignment="1">
      <alignment horizontal="center" vertical="center" wrapText="1"/>
    </xf>
    <xf numFmtId="0" fontId="16" fillId="24" borderId="26" xfId="0" applyFont="1" applyFill="1" applyBorder="1" applyAlignment="1">
      <alignment horizontal="center" vertical="center" wrapText="1"/>
    </xf>
    <xf numFmtId="0" fontId="17" fillId="25" borderId="19" xfId="0" applyFont="1" applyFill="1" applyBorder="1" applyAlignment="1">
      <alignment horizontal="center" vertical="center" wrapText="1"/>
    </xf>
    <xf numFmtId="0" fontId="17" fillId="25" borderId="20" xfId="0" applyFont="1" applyFill="1" applyBorder="1" applyAlignment="1">
      <alignment horizontal="center" vertical="center" wrapText="1"/>
    </xf>
    <xf numFmtId="0" fontId="19" fillId="24" borderId="24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17" fillId="25" borderId="24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/>
    </xf>
    <xf numFmtId="0" fontId="32" fillId="31" borderId="17" xfId="0" applyFont="1" applyFill="1" applyBorder="1" applyAlignment="1">
      <alignment horizontal="center"/>
    </xf>
    <xf numFmtId="0" fontId="31" fillId="30" borderId="28" xfId="0" applyFont="1" applyFill="1" applyBorder="1" applyAlignment="1">
      <alignment horizontal="center"/>
    </xf>
    <xf numFmtId="0" fontId="31" fillId="30" borderId="29" xfId="0" applyFont="1" applyFill="1" applyBorder="1" applyAlignment="1">
      <alignment horizontal="center"/>
    </xf>
    <xf numFmtId="175" fontId="0" fillId="0" borderId="19" xfId="0" applyNumberFormat="1" applyBorder="1" applyAlignment="1">
      <alignment horizontal="center"/>
    </xf>
    <xf numFmtId="175" fontId="0" fillId="0" borderId="24" xfId="0" applyNumberFormat="1" applyBorder="1" applyAlignment="1">
      <alignment horizontal="center"/>
    </xf>
    <xf numFmtId="175" fontId="0" fillId="0" borderId="20" xfId="0" applyNumberFormat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7" fillId="35" borderId="45" xfId="0" applyFont="1" applyFill="1" applyBorder="1" applyAlignment="1">
      <alignment horizontal="center" vertical="center" wrapText="1"/>
    </xf>
    <xf numFmtId="0" fontId="7" fillId="35" borderId="46" xfId="0" applyFont="1" applyFill="1" applyBorder="1" applyAlignment="1">
      <alignment horizontal="center" vertical="center" wrapText="1"/>
    </xf>
    <xf numFmtId="43" fontId="59" fillId="21" borderId="45" xfId="0" applyNumberFormat="1" applyFont="1" applyFill="1" applyBorder="1" applyAlignment="1">
      <alignment horizontal="center" vertical="center"/>
    </xf>
    <xf numFmtId="43" fontId="59" fillId="21" borderId="46" xfId="0" applyNumberFormat="1" applyFont="1" applyFill="1" applyBorder="1" applyAlignment="1">
      <alignment horizontal="center" vertical="center"/>
    </xf>
    <xf numFmtId="43" fontId="59" fillId="21" borderId="47" xfId="0" applyNumberFormat="1" applyFont="1" applyFill="1" applyBorder="1" applyAlignment="1">
      <alignment horizontal="center" vertical="center"/>
    </xf>
    <xf numFmtId="43" fontId="59" fillId="21" borderId="48" xfId="0" applyNumberFormat="1" applyFont="1" applyFill="1" applyBorder="1" applyAlignment="1">
      <alignment horizontal="center" vertical="center"/>
    </xf>
    <xf numFmtId="43" fontId="59" fillId="21" borderId="49" xfId="0" applyNumberFormat="1" applyFont="1" applyFill="1" applyBorder="1" applyAlignment="1">
      <alignment horizontal="center" vertical="center"/>
    </xf>
    <xf numFmtId="43" fontId="59" fillId="21" borderId="50" xfId="0" applyNumberFormat="1" applyFont="1" applyFill="1" applyBorder="1" applyAlignment="1">
      <alignment horizontal="center" vertical="center"/>
    </xf>
    <xf numFmtId="43" fontId="6" fillId="0" borderId="15" xfId="0" applyNumberFormat="1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8" fillId="16" borderId="17" xfId="0" applyFont="1" applyFill="1" applyBorder="1" applyAlignment="1">
      <alignment horizontal="center" vertical="center"/>
    </xf>
    <xf numFmtId="175" fontId="6" fillId="0" borderId="51" xfId="0" applyNumberFormat="1" applyFont="1" applyBorder="1" applyAlignment="1">
      <alignment horizontal="center" vertical="center" wrapText="1"/>
    </xf>
    <xf numFmtId="0" fontId="34" fillId="3" borderId="0" xfId="0" applyFont="1" applyFill="1" applyAlignment="1">
      <alignment horizontal="center" vertical="center"/>
    </xf>
    <xf numFmtId="0" fontId="34" fillId="53" borderId="22" xfId="0" applyFont="1" applyFill="1" applyBorder="1" applyAlignment="1">
      <alignment horizontal="center" vertical="center"/>
    </xf>
    <xf numFmtId="175" fontId="2" fillId="0" borderId="19" xfId="0" applyNumberFormat="1" applyFont="1" applyBorder="1" applyAlignment="1">
      <alignment horizontal="center" vertical="center"/>
    </xf>
    <xf numFmtId="175" fontId="2" fillId="0" borderId="24" xfId="0" applyNumberFormat="1" applyFont="1" applyBorder="1" applyAlignment="1">
      <alignment horizontal="center" vertical="center"/>
    </xf>
    <xf numFmtId="175" fontId="2" fillId="0" borderId="20" xfId="0" applyNumberFormat="1" applyFont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54" xfId="0" applyNumberFormat="1" applyFont="1" applyFill="1" applyBorder="1" applyAlignment="1">
      <alignment horizontal="center" vertical="center"/>
    </xf>
    <xf numFmtId="175" fontId="2" fillId="17" borderId="28" xfId="0" applyNumberFormat="1" applyFont="1" applyFill="1" applyBorder="1" applyAlignment="1">
      <alignment horizontal="center" vertical="center"/>
    </xf>
    <xf numFmtId="175" fontId="2" fillId="17" borderId="25" xfId="0" applyNumberFormat="1" applyFont="1" applyFill="1" applyBorder="1" applyAlignment="1">
      <alignment horizontal="center" vertical="center"/>
    </xf>
    <xf numFmtId="0" fontId="34" fillId="35" borderId="25" xfId="0" applyFont="1" applyFill="1" applyBorder="1" applyAlignment="1">
      <alignment horizontal="center" vertical="center"/>
    </xf>
    <xf numFmtId="0" fontId="34" fillId="35" borderId="30" xfId="0" applyFont="1" applyFill="1" applyBorder="1" applyAlignment="1">
      <alignment horizontal="center" vertical="center"/>
    </xf>
    <xf numFmtId="0" fontId="34" fillId="35" borderId="32" xfId="0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54" xfId="0" applyNumberFormat="1" applyFont="1" applyFill="1" applyBorder="1" applyAlignment="1">
      <alignment horizontal="center" vertical="center"/>
    </xf>
    <xf numFmtId="175" fontId="2" fillId="19" borderId="28" xfId="0" applyNumberFormat="1" applyFont="1" applyFill="1" applyBorder="1" applyAlignment="1">
      <alignment horizontal="center" vertical="center"/>
    </xf>
    <xf numFmtId="175" fontId="2" fillId="19" borderId="25" xfId="0" applyNumberFormat="1" applyFont="1" applyFill="1" applyBorder="1" applyAlignment="1">
      <alignment horizontal="center" vertical="center"/>
    </xf>
    <xf numFmtId="0" fontId="34" fillId="40" borderId="42" xfId="0" applyFont="1" applyFill="1" applyBorder="1" applyAlignment="1">
      <alignment horizontal="center" vertical="center"/>
    </xf>
    <xf numFmtId="0" fontId="34" fillId="40" borderId="29" xfId="0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175" fontId="2" fillId="19" borderId="55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7" borderId="55" xfId="0" applyNumberFormat="1" applyFont="1" applyFill="1" applyBorder="1" applyAlignment="1">
      <alignment horizontal="center" vertical="center"/>
    </xf>
    <xf numFmtId="175" fontId="2" fillId="19" borderId="35" xfId="0" applyNumberFormat="1" applyFont="1" applyFill="1" applyBorder="1" applyAlignment="1">
      <alignment horizontal="center" vertical="center"/>
    </xf>
    <xf numFmtId="175" fontId="2" fillId="19" borderId="37" xfId="0" applyNumberFormat="1" applyFont="1" applyFill="1" applyBorder="1" applyAlignment="1">
      <alignment horizontal="center" vertical="center"/>
    </xf>
    <xf numFmtId="175" fontId="2" fillId="19" borderId="53" xfId="0" applyNumberFormat="1" applyFont="1" applyFill="1" applyBorder="1" applyAlignment="1">
      <alignment horizontal="center" vertical="center"/>
    </xf>
    <xf numFmtId="175" fontId="2" fillId="17" borderId="35" xfId="0" applyNumberFormat="1" applyFont="1" applyFill="1" applyBorder="1" applyAlignment="1">
      <alignment horizontal="center" vertical="center"/>
    </xf>
    <xf numFmtId="175" fontId="2" fillId="17" borderId="37" xfId="0" applyNumberFormat="1" applyFont="1" applyFill="1" applyBorder="1" applyAlignment="1">
      <alignment horizontal="center" vertical="center"/>
    </xf>
    <xf numFmtId="175" fontId="2" fillId="17" borderId="53" xfId="0" applyNumberFormat="1" applyFont="1" applyFill="1" applyBorder="1" applyAlignment="1">
      <alignment horizontal="center" vertical="center"/>
    </xf>
    <xf numFmtId="175" fontId="2" fillId="17" borderId="40" xfId="0" applyNumberFormat="1" applyFont="1" applyFill="1" applyBorder="1" applyAlignment="1">
      <alignment horizontal="center" vertical="center"/>
    </xf>
    <xf numFmtId="175" fontId="2" fillId="19" borderId="40" xfId="0" applyNumberFormat="1" applyFont="1" applyFill="1" applyBorder="1" applyAlignment="1">
      <alignment horizontal="center" vertical="center"/>
    </xf>
    <xf numFmtId="0" fontId="34" fillId="35" borderId="45" xfId="0" applyFont="1" applyFill="1" applyBorder="1" applyAlignment="1">
      <alignment horizontal="center"/>
    </xf>
    <xf numFmtId="0" fontId="34" fillId="35" borderId="78" xfId="0" applyFont="1" applyFill="1" applyBorder="1" applyAlignment="1">
      <alignment horizontal="center"/>
    </xf>
    <xf numFmtId="0" fontId="34" fillId="35" borderId="74" xfId="0" applyFont="1" applyFill="1" applyBorder="1" applyAlignment="1">
      <alignment horizontal="center"/>
    </xf>
    <xf numFmtId="0" fontId="34" fillId="35" borderId="76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34" borderId="77" xfId="0" applyFont="1" applyFill="1" applyBorder="1" applyAlignment="1">
      <alignment horizontal="center" vertical="center"/>
    </xf>
    <xf numFmtId="0" fontId="2" fillId="34" borderId="65" xfId="0" applyFont="1" applyFill="1" applyBorder="1" applyAlignment="1">
      <alignment horizontal="center" vertical="center"/>
    </xf>
    <xf numFmtId="175" fontId="2" fillId="62" borderId="65" xfId="0" applyNumberFormat="1" applyFont="1" applyFill="1" applyBorder="1" applyAlignment="1">
      <alignment horizontal="center" vertical="center"/>
    </xf>
    <xf numFmtId="175" fontId="2" fillId="62" borderId="66" xfId="0" applyNumberFormat="1" applyFont="1" applyFill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175" fontId="2" fillId="61" borderId="20" xfId="0" applyNumberFormat="1" applyFont="1" applyFill="1" applyBorder="1" applyAlignment="1">
      <alignment horizontal="center" vertical="center"/>
    </xf>
    <xf numFmtId="175" fontId="2" fillId="61" borderId="17" xfId="0" applyNumberFormat="1" applyFont="1" applyFill="1" applyBorder="1" applyAlignment="1">
      <alignment horizontal="center" vertical="center"/>
    </xf>
    <xf numFmtId="176" fontId="33" fillId="52" borderId="72" xfId="0" applyNumberFormat="1" applyFont="1" applyFill="1" applyBorder="1" applyAlignment="1">
      <alignment horizontal="center" vertical="center"/>
    </xf>
    <xf numFmtId="176" fontId="33" fillId="52" borderId="74" xfId="0" applyNumberFormat="1" applyFont="1" applyFill="1" applyBorder="1" applyAlignment="1">
      <alignment horizontal="center" vertical="center"/>
    </xf>
    <xf numFmtId="176" fontId="33" fillId="52" borderId="76" xfId="0" applyNumberFormat="1" applyFont="1" applyFill="1" applyBorder="1" applyAlignment="1">
      <alignment horizontal="center" vertical="center"/>
    </xf>
    <xf numFmtId="0" fontId="31" fillId="30" borderId="25" xfId="0" applyFont="1" applyFill="1" applyBorder="1" applyAlignment="1">
      <alignment horizontal="center"/>
    </xf>
    <xf numFmtId="0" fontId="31" fillId="30" borderId="30" xfId="0" applyFont="1" applyFill="1" applyBorder="1" applyAlignment="1">
      <alignment horizontal="center"/>
    </xf>
    <xf numFmtId="175" fontId="0" fillId="0" borderId="32" xfId="0" applyNumberFormat="1" applyBorder="1" applyAlignment="1">
      <alignment horizontal="center"/>
    </xf>
    <xf numFmtId="175" fontId="0" fillId="0" borderId="21" xfId="0" applyNumberFormat="1" applyBorder="1" applyAlignment="1">
      <alignment horizontal="center"/>
    </xf>
    <xf numFmtId="175" fontId="0" fillId="0" borderId="23" xfId="0" applyNumberFormat="1" applyBorder="1" applyAlignment="1">
      <alignment horizontal="center"/>
    </xf>
    <xf numFmtId="175" fontId="0" fillId="0" borderId="17" xfId="0" applyNumberFormat="1" applyBorder="1" applyAlignment="1">
      <alignment horizontal="center" vertical="center"/>
    </xf>
    <xf numFmtId="175" fontId="31" fillId="60" borderId="74" xfId="0" applyNumberFormat="1" applyFont="1" applyFill="1" applyBorder="1" applyAlignment="1">
      <alignment horizontal="center" vertical="center"/>
    </xf>
    <xf numFmtId="175" fontId="31" fillId="60" borderId="76" xfId="0" applyNumberFormat="1" applyFont="1" applyFill="1" applyBorder="1" applyAlignment="1">
      <alignment horizontal="center" vertical="center"/>
    </xf>
    <xf numFmtId="175" fontId="0" fillId="0" borderId="19" xfId="0" applyNumberFormat="1" applyBorder="1" applyAlignment="1">
      <alignment horizontal="center" vertical="center"/>
    </xf>
    <xf numFmtId="175" fontId="0" fillId="0" borderId="24" xfId="0" applyNumberFormat="1" applyBorder="1" applyAlignment="1">
      <alignment horizontal="center" vertical="center"/>
    </xf>
    <xf numFmtId="175" fontId="0" fillId="0" borderId="20" xfId="0" applyNumberFormat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3CF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'GERAÇÃO DE ENERGIA'!$D$5</c:f>
              <c:strCache>
                <c:ptCount val="1"/>
                <c:pt idx="0">
                  <c:v>CONSUMO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ENERGIA'!$D$6:$D$18</c:f>
              <c:numCache>
                <c:formatCode>_(* #,##0.00_);_(* \(#,##0.00\);_(* "-"??_);_(@_)</c:formatCode>
                <c:ptCount val="13"/>
                <c:pt idx="0">
                  <c:v>9619.2000000000007</c:v>
                </c:pt>
                <c:pt idx="1">
                  <c:v>9619.2000000000007</c:v>
                </c:pt>
                <c:pt idx="2">
                  <c:v>9619.2000000000007</c:v>
                </c:pt>
                <c:pt idx="3">
                  <c:v>9619.2000000000007</c:v>
                </c:pt>
                <c:pt idx="4">
                  <c:v>9619.2000000000007</c:v>
                </c:pt>
                <c:pt idx="5">
                  <c:v>9619.2000000000007</c:v>
                </c:pt>
                <c:pt idx="6">
                  <c:v>9619.2000000000007</c:v>
                </c:pt>
                <c:pt idx="7">
                  <c:v>9619.2000000000007</c:v>
                </c:pt>
                <c:pt idx="8">
                  <c:v>9619.2000000000007</c:v>
                </c:pt>
                <c:pt idx="9">
                  <c:v>9619.2000000000007</c:v>
                </c:pt>
                <c:pt idx="10">
                  <c:v>9619.2000000000007</c:v>
                </c:pt>
                <c:pt idx="11">
                  <c:v>9619.2000000000007</c:v>
                </c:pt>
                <c:pt idx="12">
                  <c:v>9619.2000000000007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5-46AE-848A-107245DAEDD7}"/>
            </c:ext>
          </c:extLst>
        </c:ser>
        <c:ser>
          <c:idx val="1"/>
          <c:order val="1"/>
          <c:tx>
            <c:strRef>
              <c:f>'GERAÇÃO DE ENERGIA'!$E$5</c:f>
              <c:strCache>
                <c:ptCount val="1"/>
                <c:pt idx="0">
                  <c:v>GERAÇÃO (kWh)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ENERGIA'!$E$6:$E$18</c:f>
              <c:numCache>
                <c:formatCode>#,##0.00</c:formatCode>
                <c:ptCount val="13"/>
                <c:pt idx="0">
                  <c:v>9619.2000000000007</c:v>
                </c:pt>
                <c:pt idx="1">
                  <c:v>9619.2000000000007</c:v>
                </c:pt>
                <c:pt idx="2">
                  <c:v>9619.2000000000007</c:v>
                </c:pt>
                <c:pt idx="3">
                  <c:v>9619.2000000000007</c:v>
                </c:pt>
                <c:pt idx="4">
                  <c:v>9619.2000000000007</c:v>
                </c:pt>
                <c:pt idx="5">
                  <c:v>9619.2000000000007</c:v>
                </c:pt>
                <c:pt idx="6">
                  <c:v>9619.2000000000007</c:v>
                </c:pt>
                <c:pt idx="7">
                  <c:v>9619.2000000000007</c:v>
                </c:pt>
                <c:pt idx="8">
                  <c:v>9619.2000000000007</c:v>
                </c:pt>
                <c:pt idx="9">
                  <c:v>9619.2000000000007</c:v>
                </c:pt>
                <c:pt idx="10">
                  <c:v>9619.2000000000007</c:v>
                </c:pt>
                <c:pt idx="11">
                  <c:v>9619.2000000000007</c:v>
                </c:pt>
                <c:pt idx="12">
                  <c:v>9619.2000000000007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5-46AE-848A-107245DA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3303"/>
        <c:axId val="400550280"/>
      </c:barChart>
      <c:dateAx>
        <c:axId val="1440033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0280"/>
        <c:crosses val="autoZero"/>
        <c:auto val="1"/>
        <c:lblOffset val="100"/>
        <c:baseTimeUnit val="months"/>
      </c:dateAx>
      <c:valAx>
        <c:axId val="40055028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MENCINAMENTO DE PLACA'!A1"/><Relationship Id="rId2" Type="http://schemas.openxmlformats.org/officeDocument/2006/relationships/hyperlink" Target="http://www.cresesb.cepel.br/index.php#localidade_5727" TargetMode="External"/><Relationship Id="rId1" Type="http://schemas.openxmlformats.org/officeDocument/2006/relationships/hyperlink" Target="http://www.cresesb.cepel.br/index.php?section=sundata&amp;" TargetMode="External"/><Relationship Id="rId4" Type="http://schemas.openxmlformats.org/officeDocument/2006/relationships/hyperlink" Target="#VALOR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lanilha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ilha1!A1"/><Relationship Id="rId1" Type="http://schemas.openxmlformats.org/officeDocument/2006/relationships/hyperlink" Target="#'PLANINHA CENTRAL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LANINHA CENTR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7</xdr:row>
      <xdr:rowOff>57150</xdr:rowOff>
    </xdr:from>
    <xdr:to>
      <xdr:col>14</xdr:col>
      <xdr:colOff>781050</xdr:colOff>
      <xdr:row>8</xdr:row>
      <xdr:rowOff>142875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D5D611-2B82-4C6E-AFE4-D76E019335A0}"/>
            </a:ext>
          </a:extLst>
        </xdr:cNvPr>
        <xdr:cNvSpPr/>
      </xdr:nvSpPr>
      <xdr:spPr>
        <a:xfrm>
          <a:off x="13011150" y="1485900"/>
          <a:ext cx="685800" cy="2762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CRESE</a:t>
          </a:r>
        </a:p>
      </xdr:txBody>
    </xdr:sp>
    <xdr:clientData/>
  </xdr:twoCellAnchor>
  <xdr:twoCellAnchor>
    <xdr:from>
      <xdr:col>14</xdr:col>
      <xdr:colOff>107156</xdr:colOff>
      <xdr:row>9</xdr:row>
      <xdr:rowOff>33813</xdr:rowOff>
    </xdr:from>
    <xdr:to>
      <xdr:col>14</xdr:col>
      <xdr:colOff>599122</xdr:colOff>
      <xdr:row>10</xdr:row>
      <xdr:rowOff>101440</xdr:rowOff>
    </xdr:to>
    <xdr:sp macro="" textlink="">
      <xdr:nvSpPr>
        <xdr:cNvPr id="3" name="Elips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CFBF42-15AD-4090-BD29-E269F04D1134}"/>
            </a:ext>
            <a:ext uri="{147F2762-F138-4A5C-976F-8EAC2B608ADB}">
              <a16:predDERef xmlns:a16="http://schemas.microsoft.com/office/drawing/2014/main" pred="{86D5D611-2B82-4C6E-AFE4-D76E019335A0}"/>
            </a:ext>
          </a:extLst>
        </xdr:cNvPr>
        <xdr:cNvSpPr/>
      </xdr:nvSpPr>
      <xdr:spPr>
        <a:xfrm>
          <a:off x="7358062" y="1641157"/>
          <a:ext cx="491966" cy="24622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SP</a:t>
          </a:r>
        </a:p>
      </xdr:txBody>
    </xdr:sp>
    <xdr:clientData/>
  </xdr:twoCellAnchor>
  <xdr:twoCellAnchor>
    <xdr:from>
      <xdr:col>16</xdr:col>
      <xdr:colOff>95250</xdr:colOff>
      <xdr:row>7</xdr:row>
      <xdr:rowOff>171450</xdr:rowOff>
    </xdr:from>
    <xdr:to>
      <xdr:col>16</xdr:col>
      <xdr:colOff>676275</xdr:colOff>
      <xdr:row>9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375497-7AD7-422D-88C5-487B5D3C5B7A}"/>
            </a:ext>
            <a:ext uri="{147F2762-F138-4A5C-976F-8EAC2B608ADB}">
              <a16:predDERef xmlns:a16="http://schemas.microsoft.com/office/drawing/2014/main" pred="{F2CFBF42-15AD-4090-BD29-E269F04D1134}"/>
            </a:ext>
          </a:extLst>
        </xdr:cNvPr>
        <xdr:cNvSpPr/>
      </xdr:nvSpPr>
      <xdr:spPr>
        <a:xfrm>
          <a:off x="10334625" y="1438275"/>
          <a:ext cx="5810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D.P.</a:t>
          </a:r>
        </a:p>
      </xdr:txBody>
    </xdr:sp>
    <xdr:clientData/>
  </xdr:twoCellAnchor>
  <xdr:twoCellAnchor>
    <xdr:from>
      <xdr:col>38</xdr:col>
      <xdr:colOff>438151</xdr:colOff>
      <xdr:row>15</xdr:row>
      <xdr:rowOff>104774</xdr:rowOff>
    </xdr:from>
    <xdr:to>
      <xdr:col>38</xdr:col>
      <xdr:colOff>1238251</xdr:colOff>
      <xdr:row>17</xdr:row>
      <xdr:rowOff>57149</xdr:rowOff>
    </xdr:to>
    <xdr:sp macro="" textlink="">
      <xdr:nvSpPr>
        <xdr:cNvPr id="32" name="Retângulo: Cantos Arredondados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7E9940-85BE-46C3-B08D-94BA1561DA60}"/>
            </a:ext>
            <a:ext uri="{147F2762-F138-4A5C-976F-8EAC2B608ADB}">
              <a16:predDERef xmlns:a16="http://schemas.microsoft.com/office/drawing/2014/main" pred="{C2A7A19E-FA02-421E-9B62-1B12C9A06FB8}"/>
            </a:ext>
          </a:extLst>
        </xdr:cNvPr>
        <xdr:cNvSpPr/>
      </xdr:nvSpPr>
      <xdr:spPr>
        <a:xfrm>
          <a:off x="14801851" y="866774"/>
          <a:ext cx="8001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VALORES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156209</xdr:colOff>
      <xdr:row>5</xdr:row>
      <xdr:rowOff>173356</xdr:rowOff>
    </xdr:from>
    <xdr:to>
      <xdr:col>5</xdr:col>
      <xdr:colOff>880109</xdr:colOff>
      <xdr:row>7</xdr:row>
      <xdr:rowOff>140971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72484-5BF1-4770-8E3D-5893CB0C1F33}"/>
            </a:ext>
          </a:extLst>
        </xdr:cNvPr>
        <xdr:cNvSpPr/>
      </xdr:nvSpPr>
      <xdr:spPr>
        <a:xfrm>
          <a:off x="5452109" y="1078231"/>
          <a:ext cx="723900" cy="3295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14</xdr:row>
      <xdr:rowOff>173356</xdr:rowOff>
    </xdr:from>
    <xdr:to>
      <xdr:col>5</xdr:col>
      <xdr:colOff>880109</xdr:colOff>
      <xdr:row>16</xdr:row>
      <xdr:rowOff>140971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31F7F-7A9F-4E36-B720-6D62CD8AF7E3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23</xdr:row>
      <xdr:rowOff>173356</xdr:rowOff>
    </xdr:from>
    <xdr:to>
      <xdr:col>5</xdr:col>
      <xdr:colOff>880109</xdr:colOff>
      <xdr:row>25</xdr:row>
      <xdr:rowOff>140971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90C25-9814-471E-A76A-D07E2A4AB3C6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32</xdr:row>
      <xdr:rowOff>173356</xdr:rowOff>
    </xdr:from>
    <xdr:to>
      <xdr:col>5</xdr:col>
      <xdr:colOff>880109</xdr:colOff>
      <xdr:row>34</xdr:row>
      <xdr:rowOff>140971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6902EC-B024-48AA-9DE1-3D6626227A49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41</xdr:row>
      <xdr:rowOff>173356</xdr:rowOff>
    </xdr:from>
    <xdr:to>
      <xdr:col>5</xdr:col>
      <xdr:colOff>880109</xdr:colOff>
      <xdr:row>43</xdr:row>
      <xdr:rowOff>140971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C3E90-62CE-4A66-AF4F-D431DD7468BD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18</xdr:row>
      <xdr:rowOff>0</xdr:rowOff>
    </xdr:from>
    <xdr:to>
      <xdr:col>8</xdr:col>
      <xdr:colOff>175260</xdr:colOff>
      <xdr:row>20</xdr:row>
      <xdr:rowOff>22860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8177E-B114-475E-AA67-8324F30ACE40}"/>
            </a:ext>
          </a:extLst>
        </xdr:cNvPr>
        <xdr:cNvSpPr/>
      </xdr:nvSpPr>
      <xdr:spPr>
        <a:xfrm>
          <a:off x="8122920" y="362712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91440</xdr:colOff>
      <xdr:row>2</xdr:row>
      <xdr:rowOff>0</xdr:rowOff>
    </xdr:from>
    <xdr:to>
      <xdr:col>8</xdr:col>
      <xdr:colOff>213360</xdr:colOff>
      <xdr:row>4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D40511-EFDF-4B0F-AB1B-510BC15D2085}"/>
            </a:ext>
          </a:extLst>
        </xdr:cNvPr>
        <xdr:cNvSpPr/>
      </xdr:nvSpPr>
      <xdr:spPr>
        <a:xfrm>
          <a:off x="8161020" y="5334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38100</xdr:colOff>
      <xdr:row>49</xdr:row>
      <xdr:rowOff>243840</xdr:rowOff>
    </xdr:from>
    <xdr:to>
      <xdr:col>8</xdr:col>
      <xdr:colOff>160020</xdr:colOff>
      <xdr:row>52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F88F97-698D-443A-AD96-2C514A4B7AA2}"/>
            </a:ext>
          </a:extLst>
        </xdr:cNvPr>
        <xdr:cNvSpPr/>
      </xdr:nvSpPr>
      <xdr:spPr>
        <a:xfrm>
          <a:off x="8107680" y="97917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121920</xdr:colOff>
      <xdr:row>39</xdr:row>
      <xdr:rowOff>91440</xdr:rowOff>
    </xdr:from>
    <xdr:to>
      <xdr:col>8</xdr:col>
      <xdr:colOff>243840</xdr:colOff>
      <xdr:row>41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AB184-C371-4CC1-A8BE-0BC656A58654}"/>
            </a:ext>
          </a:extLst>
        </xdr:cNvPr>
        <xdr:cNvSpPr/>
      </xdr:nvSpPr>
      <xdr:spPr>
        <a:xfrm>
          <a:off x="8191500" y="772668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68580</xdr:colOff>
      <xdr:row>65</xdr:row>
      <xdr:rowOff>236220</xdr:rowOff>
    </xdr:from>
    <xdr:to>
      <xdr:col>8</xdr:col>
      <xdr:colOff>190500</xdr:colOff>
      <xdr:row>67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49A90-C7F3-4925-8837-E5D3ACF55BB5}"/>
            </a:ext>
            <a:ext uri="{147F2762-F138-4A5C-976F-8EAC2B608ADB}">
              <a16:predDERef xmlns:a16="http://schemas.microsoft.com/office/drawing/2014/main" pred="{99DAB184-C371-4CC1-A8BE-0BC656A58654}"/>
            </a:ext>
          </a:extLst>
        </xdr:cNvPr>
        <xdr:cNvSpPr/>
      </xdr:nvSpPr>
      <xdr:spPr>
        <a:xfrm>
          <a:off x="8138160" y="128778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28575</xdr:rowOff>
    </xdr:from>
    <xdr:to>
      <xdr:col>22</xdr:col>
      <xdr:colOff>428625</xdr:colOff>
      <xdr:row>20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276EC8-4355-48ED-83EC-F061DBDF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432435</xdr:colOff>
      <xdr:row>1</xdr:row>
      <xdr:rowOff>28575</xdr:rowOff>
    </xdr:from>
    <xdr:to>
      <xdr:col>12</xdr:col>
      <xdr:colOff>501015</xdr:colOff>
      <xdr:row>2</xdr:row>
      <xdr:rowOff>87630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09895-C336-4E5F-B925-00BF0356B70F}"/>
            </a:ext>
          </a:extLst>
        </xdr:cNvPr>
        <xdr:cNvSpPr/>
      </xdr:nvSpPr>
      <xdr:spPr>
        <a:xfrm>
          <a:off x="16539210" y="295275"/>
          <a:ext cx="678180" cy="2590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31C4-DB06-476D-970E-7D449B58D2AB}">
  <dimension ref="A1:R4"/>
  <sheetViews>
    <sheetView workbookViewId="0">
      <selection activeCell="G6" sqref="G6"/>
    </sheetView>
  </sheetViews>
  <sheetFormatPr defaultRowHeight="15"/>
  <cols>
    <col min="1" max="1" width="9.140625" style="176"/>
    <col min="2" max="2" width="12" style="176" customWidth="1"/>
    <col min="3" max="3" width="13.5703125" style="176" customWidth="1"/>
    <col min="4" max="4" width="18.28515625" style="176" customWidth="1"/>
    <col min="5" max="7" width="9.140625" style="176"/>
    <col min="8" max="8" width="16.85546875" style="176" customWidth="1"/>
    <col min="9" max="9" width="16.28515625" style="176" customWidth="1"/>
    <col min="10" max="10" width="9.140625" style="176"/>
    <col min="11" max="11" width="11.42578125" style="176" customWidth="1"/>
    <col min="12" max="12" width="14.28515625" style="176" customWidth="1"/>
    <col min="13" max="13" width="11.28515625" style="176" customWidth="1"/>
    <col min="14" max="16" width="9.140625" style="176"/>
    <col min="17" max="17" width="16.85546875" style="176" customWidth="1"/>
    <col min="18" max="18" width="13.42578125" style="176" customWidth="1"/>
    <col min="19" max="16384" width="9.140625" style="176"/>
  </cols>
  <sheetData>
    <row r="1" spans="1:18">
      <c r="A1" s="392" t="s">
        <v>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</row>
    <row r="2" spans="1:18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</row>
    <row r="3" spans="1:18" ht="18.75">
      <c r="A3" s="393" t="s">
        <v>1</v>
      </c>
      <c r="B3" s="393"/>
      <c r="C3" s="393"/>
      <c r="D3" s="393"/>
      <c r="E3" s="393"/>
      <c r="F3" s="393"/>
      <c r="G3" s="393"/>
      <c r="H3" s="393"/>
      <c r="I3" s="393"/>
      <c r="J3" s="394" t="s">
        <v>2</v>
      </c>
      <c r="K3" s="394"/>
      <c r="L3" s="394"/>
      <c r="M3" s="394"/>
      <c r="N3" s="394"/>
      <c r="O3" s="394"/>
      <c r="P3" s="394"/>
      <c r="Q3" s="394"/>
      <c r="R3" s="394"/>
    </row>
    <row r="4" spans="1:18" s="177" customFormat="1" ht="90">
      <c r="A4" s="178" t="s">
        <v>3</v>
      </c>
      <c r="B4" s="178" t="s">
        <v>4</v>
      </c>
      <c r="C4" s="178" t="s">
        <v>5</v>
      </c>
      <c r="D4" s="178" t="s">
        <v>6</v>
      </c>
      <c r="E4" s="178" t="s">
        <v>7</v>
      </c>
      <c r="F4" s="178" t="s">
        <v>8</v>
      </c>
      <c r="G4" s="178" t="s">
        <v>9</v>
      </c>
      <c r="H4" s="178" t="s">
        <v>10</v>
      </c>
      <c r="I4" s="178" t="s">
        <v>11</v>
      </c>
      <c r="J4" s="178" t="s">
        <v>3</v>
      </c>
      <c r="K4" s="178" t="s">
        <v>4</v>
      </c>
      <c r="L4" s="178" t="s">
        <v>5</v>
      </c>
      <c r="M4" s="178" t="s">
        <v>6</v>
      </c>
      <c r="N4" s="178" t="s">
        <v>7</v>
      </c>
      <c r="O4" s="178" t="s">
        <v>8</v>
      </c>
      <c r="P4" s="178" t="s">
        <v>9</v>
      </c>
      <c r="Q4" s="178" t="s">
        <v>10</v>
      </c>
      <c r="R4" s="178" t="s">
        <v>11</v>
      </c>
    </row>
  </sheetData>
  <mergeCells count="3">
    <mergeCell ref="A1:R2"/>
    <mergeCell ref="A3:I3"/>
    <mergeCell ref="J3:R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2A00-9517-439A-860F-F57032D8043E}">
  <dimension ref="A1:K21"/>
  <sheetViews>
    <sheetView workbookViewId="0">
      <selection activeCell="A7" sqref="A7"/>
    </sheetView>
  </sheetViews>
  <sheetFormatPr defaultRowHeight="14.45"/>
  <cols>
    <col min="1" max="1" width="15.140625" bestFit="1" customWidth="1"/>
    <col min="2" max="4" width="27.28515625" customWidth="1"/>
    <col min="5" max="5" width="21.7109375" bestFit="1" customWidth="1"/>
    <col min="6" max="6" width="16.42578125" bestFit="1" customWidth="1"/>
    <col min="7" max="7" width="22.85546875" bestFit="1" customWidth="1"/>
    <col min="8" max="8" width="24.28515625" bestFit="1" customWidth="1"/>
    <col min="9" max="9" width="15.140625" bestFit="1" customWidth="1"/>
    <col min="10" max="10" width="24.7109375" customWidth="1"/>
    <col min="11" max="11" width="20.7109375" bestFit="1" customWidth="1"/>
  </cols>
  <sheetData>
    <row r="1" spans="1:11" ht="21">
      <c r="A1" s="484" t="s">
        <v>292</v>
      </c>
      <c r="B1" s="484"/>
      <c r="C1" s="484"/>
      <c r="D1" s="484"/>
      <c r="E1" s="484"/>
      <c r="F1" s="484"/>
      <c r="G1" s="484"/>
      <c r="H1" s="484"/>
      <c r="I1" s="484"/>
      <c r="J1" s="484"/>
      <c r="K1" s="484"/>
    </row>
    <row r="2" spans="1:11" ht="15.75">
      <c r="A2" s="94" t="s">
        <v>293</v>
      </c>
      <c r="B2" s="95" t="s">
        <v>294</v>
      </c>
      <c r="C2" s="95" t="s">
        <v>295</v>
      </c>
      <c r="D2" s="95" t="s">
        <v>296</v>
      </c>
      <c r="E2" s="94" t="s">
        <v>92</v>
      </c>
      <c r="F2" s="94" t="s">
        <v>93</v>
      </c>
      <c r="G2" s="94" t="s">
        <v>94</v>
      </c>
      <c r="H2" s="94" t="s">
        <v>297</v>
      </c>
      <c r="I2" s="94" t="s">
        <v>130</v>
      </c>
      <c r="J2" s="96" t="s">
        <v>90</v>
      </c>
      <c r="K2" s="97" t="s">
        <v>298</v>
      </c>
    </row>
    <row r="3" spans="1:11" ht="15.75">
      <c r="A3" s="46">
        <f>'DIMENCINAMENTO DE PLACA'!G12</f>
        <v>210716.84170447994</v>
      </c>
      <c r="B3" s="46">
        <v>28000</v>
      </c>
      <c r="C3" s="46">
        <v>0</v>
      </c>
      <c r="D3" s="46">
        <f>'PLANINHA CENTRAL'!W9</f>
        <v>0</v>
      </c>
      <c r="E3" s="46">
        <f>'GASTO COM INSTALAÇÕES'!H4</f>
        <v>58700</v>
      </c>
      <c r="F3" s="87">
        <v>8000</v>
      </c>
      <c r="G3" s="46">
        <f>'CONTROLE DE ESTOQUE '!M5</f>
        <v>5247.2199999999993</v>
      </c>
      <c r="H3" s="45">
        <f>('PLANINHA CENTRAL'!N11)*47</f>
        <v>452102.39999999997</v>
      </c>
      <c r="I3" s="144">
        <f>SUM(A3:G3)</f>
        <v>310664.06170447991</v>
      </c>
      <c r="J3" s="98">
        <f>((I3*30)/100)+I3</f>
        <v>403863.28021582391</v>
      </c>
      <c r="K3" s="103">
        <f>-((J3*10)/100)+J3</f>
        <v>363476.95219424152</v>
      </c>
    </row>
    <row r="4" spans="1:11" ht="14.45" customHeight="1">
      <c r="A4" s="92"/>
      <c r="B4" s="88"/>
      <c r="C4" s="88"/>
      <c r="D4" s="88"/>
      <c r="E4" s="88"/>
      <c r="F4" s="93"/>
      <c r="G4" s="88"/>
      <c r="H4" s="88"/>
      <c r="I4" s="88"/>
      <c r="J4" s="88"/>
      <c r="K4" s="88"/>
    </row>
    <row r="5" spans="1:11" ht="15"/>
    <row r="6" spans="1:11" ht="15"/>
    <row r="7" spans="1:11" ht="15"/>
    <row r="8" spans="1:11" ht="15"/>
    <row r="9" spans="1:11" ht="15"/>
    <row r="10" spans="1:11" ht="15"/>
    <row r="11" spans="1:11" ht="15"/>
    <row r="12" spans="1:11" ht="15"/>
    <row r="13" spans="1:11" ht="24" customHeight="1"/>
    <row r="14" spans="1:11" ht="15" hidden="1"/>
    <row r="15" spans="1:11" ht="15"/>
    <row r="16" spans="1:11" ht="15"/>
    <row r="17" ht="15"/>
    <row r="18" ht="15"/>
    <row r="19" ht="15"/>
    <row r="20" ht="15"/>
    <row r="21" ht="15"/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B9AE-482F-46EF-A2F5-921D702FEEC1}">
  <dimension ref="A1:F17"/>
  <sheetViews>
    <sheetView workbookViewId="0">
      <selection activeCell="F3" sqref="F3:F9"/>
    </sheetView>
  </sheetViews>
  <sheetFormatPr defaultRowHeight="15"/>
  <cols>
    <col min="1" max="1" width="41.42578125" bestFit="1" customWidth="1"/>
    <col min="2" max="2" width="12.5703125" customWidth="1"/>
    <col min="3" max="3" width="12" bestFit="1" customWidth="1"/>
    <col min="4" max="4" width="17.140625" bestFit="1" customWidth="1"/>
    <col min="5" max="5" width="16.140625" bestFit="1" customWidth="1"/>
    <col min="6" max="6" width="17.7109375" bestFit="1" customWidth="1"/>
  </cols>
  <sheetData>
    <row r="1" spans="1:6" ht="21">
      <c r="A1" s="485" t="s">
        <v>299</v>
      </c>
      <c r="B1" s="485"/>
      <c r="C1" s="485"/>
      <c r="D1" s="485"/>
      <c r="E1" s="485"/>
      <c r="F1" s="485"/>
    </row>
    <row r="2" spans="1:6" ht="36.75" customHeight="1">
      <c r="A2" s="188" t="s">
        <v>300</v>
      </c>
      <c r="B2" s="188" t="s">
        <v>301</v>
      </c>
      <c r="C2" s="189" t="s">
        <v>248</v>
      </c>
      <c r="D2" s="189" t="s">
        <v>302</v>
      </c>
      <c r="E2" s="189" t="s">
        <v>303</v>
      </c>
      <c r="F2" s="189" t="s">
        <v>304</v>
      </c>
    </row>
    <row r="3" spans="1:6" ht="15.75">
      <c r="A3" s="191" t="s">
        <v>305</v>
      </c>
      <c r="B3" s="190">
        <v>1</v>
      </c>
      <c r="C3" s="334">
        <v>1</v>
      </c>
      <c r="D3" s="335">
        <v>400</v>
      </c>
      <c r="E3" s="335">
        <f>C3*D3</f>
        <v>400</v>
      </c>
      <c r="F3" s="486">
        <f>SUM(E3:E16)</f>
        <v>6141.49</v>
      </c>
    </row>
    <row r="4" spans="1:6" ht="15.75">
      <c r="A4" s="191" t="s">
        <v>306</v>
      </c>
      <c r="B4" s="190">
        <v>2</v>
      </c>
      <c r="C4" s="334">
        <v>1</v>
      </c>
      <c r="D4" s="335">
        <v>400</v>
      </c>
      <c r="E4" s="335">
        <f t="shared" ref="E4:E7" si="0">C4*D4</f>
        <v>400</v>
      </c>
      <c r="F4" s="487"/>
    </row>
    <row r="5" spans="1:6" ht="15.75">
      <c r="A5" s="203" t="s">
        <v>307</v>
      </c>
      <c r="B5" s="190">
        <v>3</v>
      </c>
      <c r="C5" s="334">
        <v>1</v>
      </c>
      <c r="D5" s="335">
        <v>400</v>
      </c>
      <c r="E5" s="335">
        <f t="shared" si="0"/>
        <v>400</v>
      </c>
      <c r="F5" s="487"/>
    </row>
    <row r="6" spans="1:6" ht="15.75">
      <c r="A6" s="203" t="s">
        <v>308</v>
      </c>
      <c r="B6" s="190">
        <v>4</v>
      </c>
      <c r="C6" s="334">
        <v>1</v>
      </c>
      <c r="D6" s="335">
        <v>400</v>
      </c>
      <c r="E6" s="335">
        <f t="shared" ref="E6" si="1">C6*D6</f>
        <v>400</v>
      </c>
      <c r="F6" s="487"/>
    </row>
    <row r="7" spans="1:6" ht="15.75">
      <c r="A7" s="192" t="s">
        <v>309</v>
      </c>
      <c r="B7" s="190">
        <v>5</v>
      </c>
      <c r="C7" s="334">
        <v>7</v>
      </c>
      <c r="D7" s="335">
        <v>46</v>
      </c>
      <c r="E7" s="335">
        <f t="shared" si="0"/>
        <v>322</v>
      </c>
      <c r="F7" s="487"/>
    </row>
    <row r="8" spans="1:6" ht="31.5">
      <c r="A8" s="204" t="s">
        <v>310</v>
      </c>
      <c r="B8" s="190">
        <v>6</v>
      </c>
      <c r="C8" s="334">
        <v>7</v>
      </c>
      <c r="D8" s="335">
        <v>70</v>
      </c>
      <c r="E8" s="335">
        <f>C8*D8</f>
        <v>490</v>
      </c>
      <c r="F8" s="487"/>
    </row>
    <row r="9" spans="1:6" ht="31.5">
      <c r="A9" s="192" t="s">
        <v>311</v>
      </c>
      <c r="B9" s="190">
        <v>7</v>
      </c>
      <c r="C9" s="334">
        <v>1</v>
      </c>
      <c r="D9" s="335">
        <v>35</v>
      </c>
      <c r="E9" s="335">
        <f t="shared" ref="E9:E11" si="2">C9*D9</f>
        <v>35</v>
      </c>
      <c r="F9" s="488"/>
    </row>
    <row r="10" spans="1:6" ht="31.5">
      <c r="A10" s="192" t="s">
        <v>312</v>
      </c>
      <c r="B10" s="190">
        <v>8</v>
      </c>
      <c r="C10" s="334">
        <v>7</v>
      </c>
      <c r="D10" s="335">
        <v>8.5</v>
      </c>
      <c r="E10" s="335">
        <f t="shared" si="2"/>
        <v>59.5</v>
      </c>
    </row>
    <row r="11" spans="1:6" ht="31.5">
      <c r="A11" s="193" t="s">
        <v>313</v>
      </c>
      <c r="B11" s="190">
        <v>9</v>
      </c>
      <c r="C11" s="334">
        <v>1</v>
      </c>
      <c r="D11" s="335">
        <v>470</v>
      </c>
      <c r="E11" s="335">
        <f t="shared" si="2"/>
        <v>470</v>
      </c>
    </row>
    <row r="12" spans="1:6" ht="31.5">
      <c r="A12" s="194" t="s">
        <v>314</v>
      </c>
      <c r="B12" s="190">
        <v>10</v>
      </c>
      <c r="C12" s="334">
        <v>1</v>
      </c>
      <c r="D12" s="335">
        <v>30</v>
      </c>
      <c r="E12" s="335">
        <f t="shared" ref="E12:E16" si="3">C12*D12</f>
        <v>30</v>
      </c>
    </row>
    <row r="13" spans="1:6" ht="31.5">
      <c r="A13" s="192" t="s">
        <v>315</v>
      </c>
      <c r="B13" s="190">
        <v>11</v>
      </c>
      <c r="C13" s="388">
        <v>1</v>
      </c>
      <c r="D13" s="379">
        <v>407</v>
      </c>
      <c r="E13" s="379">
        <f t="shared" si="3"/>
        <v>407</v>
      </c>
    </row>
    <row r="14" spans="1:6" ht="15.75">
      <c r="A14" s="191" t="s">
        <v>316</v>
      </c>
      <c r="B14" s="190">
        <v>12</v>
      </c>
      <c r="C14" s="334">
        <v>1</v>
      </c>
      <c r="D14" s="335">
        <v>147.99</v>
      </c>
      <c r="E14" s="335">
        <f t="shared" si="3"/>
        <v>147.99</v>
      </c>
    </row>
    <row r="15" spans="1:6" ht="63">
      <c r="A15" s="195" t="s">
        <v>317</v>
      </c>
      <c r="B15" s="190">
        <v>13</v>
      </c>
      <c r="C15" s="388">
        <v>1</v>
      </c>
      <c r="D15" s="379">
        <v>180</v>
      </c>
      <c r="E15" s="379">
        <f t="shared" si="3"/>
        <v>180</v>
      </c>
    </row>
    <row r="16" spans="1:6" ht="47.25">
      <c r="A16" s="191" t="s">
        <v>318</v>
      </c>
      <c r="B16" s="190">
        <v>14</v>
      </c>
      <c r="C16" s="388">
        <v>1</v>
      </c>
      <c r="D16" s="379">
        <v>2400</v>
      </c>
      <c r="E16" s="379">
        <f t="shared" ref="E16" si="4">C16*D16</f>
        <v>2400</v>
      </c>
    </row>
    <row r="17" spans="1:5">
      <c r="A17" s="196"/>
      <c r="B17" s="80"/>
      <c r="C17" s="187"/>
      <c r="D17" s="334"/>
      <c r="E17" s="334"/>
    </row>
  </sheetData>
  <mergeCells count="2">
    <mergeCell ref="A1:F1"/>
    <mergeCell ref="F3:F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D2C4-0D95-493C-A8A2-DAF29DB0D51C}">
  <dimension ref="A1:S66"/>
  <sheetViews>
    <sheetView topLeftCell="J28" workbookViewId="0">
      <selection activeCell="K28" sqref="K28"/>
    </sheetView>
  </sheetViews>
  <sheetFormatPr defaultRowHeight="15"/>
  <cols>
    <col min="1" max="1" width="41.42578125" style="186" bestFit="1" customWidth="1"/>
    <col min="2" max="2" width="41.42578125" style="186" customWidth="1"/>
    <col min="3" max="3" width="12" style="186" bestFit="1" customWidth="1"/>
    <col min="4" max="4" width="17.140625" style="186" bestFit="1" customWidth="1"/>
    <col min="5" max="5" width="16.140625" style="186" bestFit="1" customWidth="1"/>
    <col min="6" max="6" width="16.140625" style="186" customWidth="1"/>
    <col min="7" max="7" width="22.85546875" style="186" bestFit="1" customWidth="1"/>
    <col min="8" max="8" width="25.42578125" style="186" bestFit="1" customWidth="1"/>
    <col min="9" max="9" width="31.28515625" style="186" bestFit="1" customWidth="1"/>
    <col min="10" max="10" width="15.42578125" style="186" bestFit="1" customWidth="1"/>
    <col min="11" max="11" width="34.28515625" style="186" bestFit="1" customWidth="1"/>
    <col min="12" max="12" width="17.28515625" style="186" customWidth="1"/>
    <col min="13" max="13" width="43" style="186" bestFit="1" customWidth="1"/>
    <col min="14" max="14" width="18" style="186" customWidth="1"/>
    <col min="15" max="15" width="34.85546875" style="186" bestFit="1" customWidth="1"/>
    <col min="16" max="17" width="28.140625" style="186" bestFit="1" customWidth="1"/>
    <col min="18" max="16384" width="9.140625" style="186"/>
  </cols>
  <sheetData>
    <row r="1" spans="1:19" ht="21">
      <c r="A1" s="495" t="s">
        <v>319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7"/>
      <c r="Q1"/>
      <c r="R1" s="199"/>
      <c r="S1" s="199"/>
    </row>
    <row r="2" spans="1:19" ht="21">
      <c r="A2" s="504" t="s">
        <v>320</v>
      </c>
      <c r="B2" s="505"/>
      <c r="C2" s="505"/>
      <c r="D2" s="505"/>
      <c r="E2" s="505"/>
      <c r="F2" s="505"/>
      <c r="G2" s="505"/>
      <c r="H2" s="337" t="s">
        <v>321</v>
      </c>
      <c r="P2"/>
      <c r="Q2"/>
      <c r="R2" s="199"/>
      <c r="S2" s="199"/>
    </row>
    <row r="3" spans="1:19" ht="37.5">
      <c r="A3" s="188" t="s">
        <v>300</v>
      </c>
      <c r="B3" s="188" t="s">
        <v>301</v>
      </c>
      <c r="C3" s="189" t="s">
        <v>248</v>
      </c>
      <c r="D3" s="189" t="s">
        <v>302</v>
      </c>
      <c r="E3" s="189" t="s">
        <v>303</v>
      </c>
      <c r="F3" s="189" t="s">
        <v>253</v>
      </c>
      <c r="G3" s="277" t="s">
        <v>322</v>
      </c>
      <c r="H3" s="296">
        <f>'CALCULO DA MAQUINAS '!Q8</f>
        <v>6.3</v>
      </c>
      <c r="N3" s="297"/>
      <c r="P3"/>
      <c r="Q3"/>
      <c r="R3" s="200"/>
      <c r="S3" s="200"/>
    </row>
    <row r="4" spans="1:19">
      <c r="A4" s="272" t="str">
        <f>'CALCULO DA MAQUINAS '!A4</f>
        <v>Innosilicon A6+ LTC Master</v>
      </c>
      <c r="B4" s="273">
        <v>1</v>
      </c>
      <c r="C4" s="273">
        <v>1</v>
      </c>
      <c r="D4" s="384">
        <f>'CALCULO DA MAQUINAS '!H4</f>
        <v>286200</v>
      </c>
      <c r="E4" s="384">
        <f>C4*D4</f>
        <v>286200</v>
      </c>
      <c r="F4" s="498">
        <f>E4+E6+E7+E8</f>
        <v>298341.49</v>
      </c>
      <c r="G4" s="501">
        <f>SUM(E4:E8)</f>
        <v>584541.49</v>
      </c>
      <c r="H4" s="292" t="str">
        <f>F3</f>
        <v>VALOR TOTAL</v>
      </c>
      <c r="I4" s="292" t="s">
        <v>323</v>
      </c>
      <c r="J4" s="309" t="s">
        <v>324</v>
      </c>
      <c r="K4" s="293" t="s">
        <v>325</v>
      </c>
      <c r="L4" s="309" t="s">
        <v>324</v>
      </c>
      <c r="M4" s="293" t="s">
        <v>326</v>
      </c>
      <c r="N4" s="311" t="s">
        <v>324</v>
      </c>
      <c r="O4"/>
      <c r="P4"/>
      <c r="Q4"/>
      <c r="R4" s="200"/>
      <c r="S4" s="200"/>
    </row>
    <row r="5" spans="1:19">
      <c r="A5" s="274" t="s">
        <v>327</v>
      </c>
      <c r="B5" s="271">
        <v>2</v>
      </c>
      <c r="C5" s="271">
        <v>1</v>
      </c>
      <c r="D5" s="385">
        <f>D4</f>
        <v>286200</v>
      </c>
      <c r="E5" s="385">
        <f t="shared" ref="E5:E9" si="0">C5*D5</f>
        <v>286200</v>
      </c>
      <c r="F5" s="499"/>
      <c r="G5" s="502"/>
      <c r="H5" s="294">
        <f>F4</f>
        <v>298341.49</v>
      </c>
      <c r="I5" s="290">
        <f>I7-('CALCULO DA MAQUINAS '!N4/'CALCULO DA MAQUINAS '!Q8)</f>
        <v>1929.6000000000001</v>
      </c>
      <c r="J5" s="291">
        <f>I5*$H$3</f>
        <v>12156.480000000001</v>
      </c>
      <c r="K5" s="290">
        <f>I5*12</f>
        <v>23155.200000000001</v>
      </c>
      <c r="L5" s="291">
        <f>K5*$H$3</f>
        <v>145877.76000000001</v>
      </c>
      <c r="M5" s="290">
        <f>I5*36</f>
        <v>69465.600000000006</v>
      </c>
      <c r="N5" s="295">
        <f>M5*$H$3</f>
        <v>437633.28000000003</v>
      </c>
      <c r="O5"/>
      <c r="P5"/>
      <c r="Q5"/>
      <c r="R5" s="200"/>
      <c r="S5" s="200"/>
    </row>
    <row r="6" spans="1:19">
      <c r="A6" s="274" t="s">
        <v>328</v>
      </c>
      <c r="B6" s="271">
        <v>3</v>
      </c>
      <c r="C6" s="271">
        <v>1</v>
      </c>
      <c r="D6" s="385">
        <f>'SISTEMA ELETRICO '!F3</f>
        <v>6141.49</v>
      </c>
      <c r="E6" s="385">
        <f t="shared" si="0"/>
        <v>6141.49</v>
      </c>
      <c r="F6" s="499"/>
      <c r="G6" s="502"/>
      <c r="H6" s="288" t="str">
        <f>G3</f>
        <v>VALOR+ SOLAR</v>
      </c>
      <c r="I6" s="288" t="s">
        <v>329</v>
      </c>
      <c r="J6" s="310" t="s">
        <v>324</v>
      </c>
      <c r="K6" s="289" t="s">
        <v>330</v>
      </c>
      <c r="L6" s="310" t="s">
        <v>324</v>
      </c>
      <c r="M6" s="289" t="s">
        <v>331</v>
      </c>
      <c r="N6" s="312" t="s">
        <v>324</v>
      </c>
      <c r="O6"/>
      <c r="P6"/>
      <c r="Q6"/>
      <c r="R6" s="200"/>
      <c r="S6" s="200"/>
    </row>
    <row r="7" spans="1:19">
      <c r="A7" s="274" t="s">
        <v>332</v>
      </c>
      <c r="B7" s="271">
        <v>4</v>
      </c>
      <c r="C7" s="271">
        <v>1</v>
      </c>
      <c r="D7" s="385">
        <v>5000</v>
      </c>
      <c r="E7" s="385">
        <f t="shared" si="0"/>
        <v>5000</v>
      </c>
      <c r="F7" s="499"/>
      <c r="G7" s="502"/>
      <c r="H7" s="294">
        <f>G4</f>
        <v>584541.49</v>
      </c>
      <c r="I7" s="290">
        <f>'CALCULO DA MAQUINAS '!K4</f>
        <v>3600</v>
      </c>
      <c r="J7" s="291">
        <f>I7*$H$3</f>
        <v>22680</v>
      </c>
      <c r="K7" s="290">
        <f>I7*12</f>
        <v>43200</v>
      </c>
      <c r="L7" s="291">
        <f>K7*$H$3</f>
        <v>272160</v>
      </c>
      <c r="M7" s="290">
        <f>I7*36</f>
        <v>129600</v>
      </c>
      <c r="N7" s="295">
        <f>M7*$H$3</f>
        <v>816480</v>
      </c>
      <c r="O7"/>
      <c r="P7"/>
      <c r="Q7"/>
      <c r="R7" s="200"/>
      <c r="S7" s="200"/>
    </row>
    <row r="8" spans="1:19">
      <c r="A8" s="278" t="s">
        <v>333</v>
      </c>
      <c r="B8" s="279">
        <v>5</v>
      </c>
      <c r="C8" s="279">
        <v>1</v>
      </c>
      <c r="D8" s="386">
        <v>1000</v>
      </c>
      <c r="E8" s="386">
        <f t="shared" si="0"/>
        <v>1000</v>
      </c>
      <c r="F8" s="500"/>
      <c r="G8" s="503"/>
      <c r="H8" s="280"/>
      <c r="I8" s="280"/>
      <c r="J8" s="280"/>
      <c r="K8" s="280"/>
      <c r="L8" s="280"/>
      <c r="M8" s="280"/>
      <c r="N8" s="280"/>
      <c r="O8"/>
      <c r="P8"/>
      <c r="Q8"/>
      <c r="R8" s="200"/>
      <c r="S8" s="200"/>
    </row>
    <row r="9" spans="1:19">
      <c r="A9" s="272" t="str">
        <f>'CALCULO DA MAQUINAS '!A9</f>
        <v>Antminer L7 (9.5Gh)</v>
      </c>
      <c r="B9" s="273">
        <v>1</v>
      </c>
      <c r="C9" s="273">
        <v>1</v>
      </c>
      <c r="D9" s="384">
        <f>'CALCULO DA MAQUINAS '!H5</f>
        <v>238500</v>
      </c>
      <c r="E9" s="384">
        <f>C9*D9</f>
        <v>238500</v>
      </c>
      <c r="F9" s="498">
        <f t="shared" ref="F9" si="1">E9+E11+E12+E13</f>
        <v>250641.49</v>
      </c>
      <c r="G9" s="501">
        <f>SUM(E9:E13)</f>
        <v>489141.49</v>
      </c>
      <c r="H9" s="292" t="str">
        <f>H4</f>
        <v>VALOR TOTAL</v>
      </c>
      <c r="I9" s="292" t="s">
        <v>323</v>
      </c>
      <c r="J9" s="309" t="s">
        <v>324</v>
      </c>
      <c r="K9" s="293" t="s">
        <v>325</v>
      </c>
      <c r="L9" s="309" t="s">
        <v>324</v>
      </c>
      <c r="M9" s="293" t="s">
        <v>326</v>
      </c>
      <c r="N9" s="311" t="s">
        <v>324</v>
      </c>
      <c r="O9"/>
      <c r="P9"/>
      <c r="Q9"/>
    </row>
    <row r="10" spans="1:19">
      <c r="A10" s="274" t="s">
        <v>327</v>
      </c>
      <c r="B10" s="271">
        <v>2</v>
      </c>
      <c r="C10" s="271">
        <v>1</v>
      </c>
      <c r="D10" s="385">
        <f>D9</f>
        <v>238500</v>
      </c>
      <c r="E10" s="385">
        <f t="shared" ref="E10:E13" si="2">C10*D10</f>
        <v>238500</v>
      </c>
      <c r="F10" s="499"/>
      <c r="G10" s="502"/>
      <c r="H10" s="294">
        <f>F9</f>
        <v>250641.49</v>
      </c>
      <c r="I10" s="290">
        <f>I12-('CALCULO DA MAQUINAS '!N5/'CUSTO TOTAL '!H3)</f>
        <v>1308.0000000000002</v>
      </c>
      <c r="J10" s="291">
        <f>I10*$H$3</f>
        <v>8240.4000000000015</v>
      </c>
      <c r="K10" s="290">
        <f>I10*12</f>
        <v>15696.000000000004</v>
      </c>
      <c r="L10" s="291">
        <f>K10*$H$3</f>
        <v>98884.800000000017</v>
      </c>
      <c r="M10" s="290">
        <f>I10*36</f>
        <v>47088.000000000007</v>
      </c>
      <c r="N10" s="295">
        <f>M10*$H$3</f>
        <v>296654.40000000002</v>
      </c>
      <c r="O10"/>
      <c r="P10"/>
      <c r="Q10"/>
    </row>
    <row r="11" spans="1:19">
      <c r="A11" s="274" t="s">
        <v>328</v>
      </c>
      <c r="B11" s="271">
        <v>3</v>
      </c>
      <c r="C11" s="271">
        <v>1</v>
      </c>
      <c r="D11" s="385">
        <f>D6</f>
        <v>6141.49</v>
      </c>
      <c r="E11" s="385">
        <f t="shared" si="2"/>
        <v>6141.49</v>
      </c>
      <c r="F11" s="499"/>
      <c r="G11" s="502"/>
      <c r="H11" s="288" t="str">
        <f>H6</f>
        <v>VALOR+ SOLAR</v>
      </c>
      <c r="I11" s="288" t="s">
        <v>329</v>
      </c>
      <c r="J11" s="310" t="s">
        <v>324</v>
      </c>
      <c r="K11" s="289" t="s">
        <v>330</v>
      </c>
      <c r="L11" s="310" t="s">
        <v>324</v>
      </c>
      <c r="M11" s="289" t="s">
        <v>331</v>
      </c>
      <c r="N11" s="312" t="s">
        <v>324</v>
      </c>
      <c r="O11"/>
      <c r="P11"/>
      <c r="Q11"/>
    </row>
    <row r="12" spans="1:19">
      <c r="A12" s="274" t="s">
        <v>332</v>
      </c>
      <c r="B12" s="271">
        <v>4</v>
      </c>
      <c r="C12" s="271">
        <v>1</v>
      </c>
      <c r="D12" s="385">
        <v>5000</v>
      </c>
      <c r="E12" s="385">
        <f t="shared" si="2"/>
        <v>5000</v>
      </c>
      <c r="F12" s="499"/>
      <c r="G12" s="502"/>
      <c r="H12" s="294">
        <f>G9</f>
        <v>489141.49</v>
      </c>
      <c r="I12" s="290">
        <f>'CALCULO DA MAQUINAS '!K5</f>
        <v>2700</v>
      </c>
      <c r="J12" s="291">
        <f>I12*$H$3</f>
        <v>17010</v>
      </c>
      <c r="K12" s="290">
        <f>I12*12</f>
        <v>32400</v>
      </c>
      <c r="L12" s="291">
        <f>K12*$H$3</f>
        <v>204120</v>
      </c>
      <c r="M12" s="290">
        <f>I12*36</f>
        <v>97200</v>
      </c>
      <c r="N12" s="295">
        <f>M12*$H$3</f>
        <v>612360</v>
      </c>
      <c r="O12"/>
      <c r="P12"/>
      <c r="Q12"/>
    </row>
    <row r="13" spans="1:19">
      <c r="A13" s="278" t="s">
        <v>333</v>
      </c>
      <c r="B13" s="279">
        <v>5</v>
      </c>
      <c r="C13" s="279">
        <v>1</v>
      </c>
      <c r="D13" s="386">
        <v>1000</v>
      </c>
      <c r="E13" s="386">
        <f t="shared" si="2"/>
        <v>1000</v>
      </c>
      <c r="F13" s="500"/>
      <c r="G13" s="503"/>
      <c r="H13" s="280"/>
      <c r="I13" s="280"/>
      <c r="J13" s="280"/>
      <c r="K13" s="280"/>
      <c r="L13" s="280"/>
      <c r="M13" s="280"/>
      <c r="N13" s="280"/>
      <c r="O13"/>
      <c r="P13"/>
      <c r="Q13"/>
    </row>
    <row r="14" spans="1:19">
      <c r="A14" s="272" t="str">
        <f>A4</f>
        <v>Innosilicon A6+ LTC Master</v>
      </c>
      <c r="B14" s="273">
        <v>1</v>
      </c>
      <c r="C14" s="273">
        <v>1</v>
      </c>
      <c r="D14" s="384">
        <f>'CALCULO DA MAQUINAS '!H6</f>
        <v>190800</v>
      </c>
      <c r="E14" s="384">
        <f>C14*D14</f>
        <v>190800</v>
      </c>
      <c r="F14" s="498">
        <f t="shared" ref="F14" si="3">E14+E16+E17+E18</f>
        <v>202941.49</v>
      </c>
      <c r="G14" s="501">
        <f>SUM(E14:E18)</f>
        <v>393741.49</v>
      </c>
      <c r="H14" s="292" t="str">
        <f>H9</f>
        <v>VALOR TOTAL</v>
      </c>
      <c r="I14" s="292" t="s">
        <v>323</v>
      </c>
      <c r="J14" s="309" t="s">
        <v>324</v>
      </c>
      <c r="K14" s="293" t="s">
        <v>325</v>
      </c>
      <c r="L14" s="309" t="s">
        <v>324</v>
      </c>
      <c r="M14" s="293" t="s">
        <v>326</v>
      </c>
      <c r="N14" s="311" t="s">
        <v>324</v>
      </c>
      <c r="O14"/>
      <c r="P14"/>
      <c r="Q14"/>
    </row>
    <row r="15" spans="1:19">
      <c r="A15" s="274" t="s">
        <v>327</v>
      </c>
      <c r="B15" s="271">
        <v>2</v>
      </c>
      <c r="C15" s="271">
        <v>1</v>
      </c>
      <c r="D15" s="385">
        <f>D14</f>
        <v>190800</v>
      </c>
      <c r="E15" s="385">
        <f t="shared" ref="E15:E18" si="4">C15*D15</f>
        <v>190800</v>
      </c>
      <c r="F15" s="499"/>
      <c r="G15" s="502"/>
      <c r="H15" s="294">
        <f>F14</f>
        <v>202941.49</v>
      </c>
      <c r="I15" s="290">
        <f>I17-('CALCULO DA MAQUINAS '!N6/'CALCULO DA MAQUINAS '!Q8)</f>
        <v>686.40000000000009</v>
      </c>
      <c r="J15" s="291">
        <f>I15*$H$3</f>
        <v>4324.3200000000006</v>
      </c>
      <c r="K15" s="290">
        <f>I15*12</f>
        <v>8236.8000000000011</v>
      </c>
      <c r="L15" s="291">
        <f>K15*$H$3</f>
        <v>51891.840000000004</v>
      </c>
      <c r="M15" s="290">
        <f>I15*36</f>
        <v>24710.400000000001</v>
      </c>
      <c r="N15" s="295">
        <f>M15*$H$3</f>
        <v>155675.52000000002</v>
      </c>
      <c r="O15"/>
      <c r="P15"/>
      <c r="Q15"/>
    </row>
    <row r="16" spans="1:19">
      <c r="A16" s="274" t="s">
        <v>328</v>
      </c>
      <c r="B16" s="271">
        <v>3</v>
      </c>
      <c r="C16" s="271">
        <v>1</v>
      </c>
      <c r="D16" s="385">
        <f>D6</f>
        <v>6141.49</v>
      </c>
      <c r="E16" s="385">
        <f t="shared" si="4"/>
        <v>6141.49</v>
      </c>
      <c r="F16" s="499"/>
      <c r="G16" s="502"/>
      <c r="H16" s="288" t="str">
        <f>H11</f>
        <v>VALOR+ SOLAR</v>
      </c>
      <c r="I16" s="288" t="s">
        <v>329</v>
      </c>
      <c r="J16" s="310" t="s">
        <v>324</v>
      </c>
      <c r="K16" s="289" t="s">
        <v>330</v>
      </c>
      <c r="L16" s="310" t="s">
        <v>324</v>
      </c>
      <c r="M16" s="289" t="s">
        <v>331</v>
      </c>
      <c r="N16" s="312" t="s">
        <v>324</v>
      </c>
      <c r="O16"/>
      <c r="P16"/>
      <c r="Q16"/>
    </row>
    <row r="17" spans="1:14">
      <c r="A17" s="274" t="s">
        <v>332</v>
      </c>
      <c r="B17" s="271">
        <v>4</v>
      </c>
      <c r="C17" s="271">
        <v>1</v>
      </c>
      <c r="D17" s="385">
        <v>5000</v>
      </c>
      <c r="E17" s="385">
        <f t="shared" si="4"/>
        <v>5000</v>
      </c>
      <c r="F17" s="499"/>
      <c r="G17" s="502"/>
      <c r="H17" s="294">
        <f>G14</f>
        <v>393741.49</v>
      </c>
      <c r="I17" s="290">
        <f>'CALCULO DA MAQUINAS '!K6</f>
        <v>1800</v>
      </c>
      <c r="J17" s="291">
        <f>I17*$H$3</f>
        <v>11340</v>
      </c>
      <c r="K17" s="290">
        <f>I17*12</f>
        <v>21600</v>
      </c>
      <c r="L17" s="291">
        <f>K17*$H$3</f>
        <v>136080</v>
      </c>
      <c r="M17" s="290">
        <f>I17*36</f>
        <v>64800</v>
      </c>
      <c r="N17" s="295">
        <f>M17*$H$3</f>
        <v>408240</v>
      </c>
    </row>
    <row r="18" spans="1:14">
      <c r="A18" s="275" t="s">
        <v>333</v>
      </c>
      <c r="B18" s="276">
        <v>5</v>
      </c>
      <c r="C18" s="276">
        <v>1</v>
      </c>
      <c r="D18" s="387">
        <v>1000</v>
      </c>
      <c r="E18" s="387">
        <f t="shared" si="4"/>
        <v>1000</v>
      </c>
      <c r="F18" s="506"/>
      <c r="G18" s="507"/>
      <c r="H18" s="280"/>
      <c r="I18" s="280"/>
      <c r="J18" s="280"/>
      <c r="K18" s="280"/>
      <c r="L18" s="280"/>
      <c r="M18" s="280"/>
      <c r="N18" s="280"/>
    </row>
    <row r="19" spans="1:14" s="306" customFormat="1">
      <c r="A19" s="298"/>
      <c r="B19" s="299"/>
      <c r="C19" s="299"/>
      <c r="D19" s="300"/>
      <c r="E19" s="300"/>
      <c r="F19" s="300"/>
      <c r="G19" s="301"/>
      <c r="H19" s="302"/>
      <c r="I19" s="303"/>
      <c r="J19" s="302"/>
      <c r="K19" s="304"/>
      <c r="L19" s="302"/>
      <c r="M19" s="304"/>
      <c r="N19" s="305"/>
    </row>
    <row r="20" spans="1:14">
      <c r="A20" s="281" t="str">
        <f>'CALCULO DA MAQUINAS '!A7</f>
        <v>Antminer L7 (9.5Gh)</v>
      </c>
      <c r="B20" s="282">
        <v>1</v>
      </c>
      <c r="C20" s="282">
        <v>1</v>
      </c>
      <c r="D20" s="380">
        <f>'CALCULO DA MAQUINAS '!H7</f>
        <v>5392750</v>
      </c>
      <c r="E20" s="380">
        <f>C20*D20</f>
        <v>5392750</v>
      </c>
      <c r="F20" s="489">
        <f>E20+E22+E23+E24</f>
        <v>5408891.4900000002</v>
      </c>
      <c r="G20" s="492">
        <f>SUM(E20:E24)</f>
        <v>10801641.49</v>
      </c>
      <c r="H20" s="292" t="str">
        <f>H4</f>
        <v>VALOR TOTAL</v>
      </c>
      <c r="I20" s="292" t="s">
        <v>323</v>
      </c>
      <c r="J20" s="309" t="s">
        <v>324</v>
      </c>
      <c r="K20" s="293" t="s">
        <v>325</v>
      </c>
      <c r="L20" s="309" t="s">
        <v>324</v>
      </c>
      <c r="M20" s="293" t="s">
        <v>326</v>
      </c>
      <c r="N20" s="311" t="s">
        <v>324</v>
      </c>
    </row>
    <row r="21" spans="1:14">
      <c r="A21" s="283" t="s">
        <v>327</v>
      </c>
      <c r="B21" s="248">
        <v>2</v>
      </c>
      <c r="C21" s="248">
        <v>1</v>
      </c>
      <c r="D21" s="381">
        <f>D20</f>
        <v>5392750</v>
      </c>
      <c r="E21" s="381">
        <f t="shared" ref="E21:E25" si="5">C21*D21</f>
        <v>5392750</v>
      </c>
      <c r="F21" s="490"/>
      <c r="G21" s="493"/>
      <c r="H21" s="294">
        <f>F20</f>
        <v>5408891.4900000002</v>
      </c>
      <c r="I21" s="290">
        <f>'CALCULO DA MAQUINAS '!O7/'CALCULO DA MAQUINAS '!Q8</f>
        <v>107026.85714285714</v>
      </c>
      <c r="J21" s="291">
        <f>I21*$H$3</f>
        <v>674269.2</v>
      </c>
      <c r="K21" s="290">
        <f>I21*12</f>
        <v>1284322.2857142857</v>
      </c>
      <c r="L21" s="291">
        <f>K21*$H$3</f>
        <v>8091230.3999999994</v>
      </c>
      <c r="M21" s="290">
        <f>I21*36</f>
        <v>3852966.8571428573</v>
      </c>
      <c r="N21" s="295">
        <f>M21*$H$3</f>
        <v>24273691.199999999</v>
      </c>
    </row>
    <row r="22" spans="1:14">
      <c r="A22" s="283" t="s">
        <v>328</v>
      </c>
      <c r="B22" s="248">
        <v>3</v>
      </c>
      <c r="C22" s="248">
        <v>1</v>
      </c>
      <c r="D22" s="381">
        <f>D6+4000</f>
        <v>10141.49</v>
      </c>
      <c r="E22" s="381">
        <f t="shared" si="5"/>
        <v>10141.49</v>
      </c>
      <c r="F22" s="490"/>
      <c r="G22" s="493"/>
      <c r="H22" s="288" t="str">
        <f>H16</f>
        <v>VALOR+ SOLAR</v>
      </c>
      <c r="I22" s="288" t="s">
        <v>329</v>
      </c>
      <c r="J22" s="310" t="s">
        <v>324</v>
      </c>
      <c r="K22" s="289" t="s">
        <v>330</v>
      </c>
      <c r="L22" s="310" t="s">
        <v>324</v>
      </c>
      <c r="M22" s="289" t="s">
        <v>331</v>
      </c>
      <c r="N22" s="312" t="s">
        <v>324</v>
      </c>
    </row>
    <row r="23" spans="1:14">
      <c r="A23" s="283" t="s">
        <v>332</v>
      </c>
      <c r="B23" s="248">
        <v>4</v>
      </c>
      <c r="C23" s="248">
        <v>1</v>
      </c>
      <c r="D23" s="381">
        <v>5000</v>
      </c>
      <c r="E23" s="381">
        <f t="shared" si="5"/>
        <v>5000</v>
      </c>
      <c r="F23" s="490"/>
      <c r="G23" s="493"/>
      <c r="H23" s="294">
        <f>G20</f>
        <v>10801641.49</v>
      </c>
      <c r="I23" s="290">
        <f>'CALCULO DA MAQUINAS '!K7</f>
        <v>132000</v>
      </c>
      <c r="J23" s="291">
        <f>I23*$H$3</f>
        <v>831600</v>
      </c>
      <c r="K23" s="290">
        <f>I23*12</f>
        <v>1584000</v>
      </c>
      <c r="L23" s="291">
        <f>K23*$H$3</f>
        <v>9979200</v>
      </c>
      <c r="M23" s="290">
        <f>I23*36</f>
        <v>4752000</v>
      </c>
      <c r="N23" s="295">
        <f>M23*$H$3</f>
        <v>29937600</v>
      </c>
    </row>
    <row r="24" spans="1:14">
      <c r="A24" s="284" t="s">
        <v>333</v>
      </c>
      <c r="B24" s="285">
        <v>5</v>
      </c>
      <c r="C24" s="285">
        <v>1</v>
      </c>
      <c r="D24" s="382">
        <v>1000</v>
      </c>
      <c r="E24" s="382">
        <f t="shared" si="5"/>
        <v>1000</v>
      </c>
      <c r="F24" s="491"/>
      <c r="G24" s="494"/>
      <c r="H24" s="280"/>
      <c r="I24" s="280"/>
      <c r="J24" s="280"/>
      <c r="K24" s="280"/>
      <c r="L24" s="280"/>
      <c r="M24" s="280"/>
      <c r="N24" s="280"/>
    </row>
    <row r="25" spans="1:14">
      <c r="A25" s="281" t="str">
        <f>A20</f>
        <v>Antminer L7 (9.5Gh)</v>
      </c>
      <c r="B25" s="282">
        <v>1</v>
      </c>
      <c r="C25" s="282">
        <v>1</v>
      </c>
      <c r="D25" s="380">
        <f>'CALCULO DA MAQUINAS '!H8</f>
        <v>572400</v>
      </c>
      <c r="E25" s="380">
        <f>C25*D25</f>
        <v>572400</v>
      </c>
      <c r="F25" s="489">
        <f t="shared" ref="F25" si="6">E25+E27+E28+E29</f>
        <v>588541.49</v>
      </c>
      <c r="G25" s="492">
        <f>SUM(E25:E29)</f>
        <v>1160941.49</v>
      </c>
      <c r="H25" s="292" t="str">
        <f>H20</f>
        <v>VALOR TOTAL</v>
      </c>
      <c r="I25" s="292" t="s">
        <v>323</v>
      </c>
      <c r="J25" s="309" t="s">
        <v>324</v>
      </c>
      <c r="K25" s="293" t="s">
        <v>325</v>
      </c>
      <c r="L25" s="309" t="s">
        <v>324</v>
      </c>
      <c r="M25" s="293" t="s">
        <v>326</v>
      </c>
      <c r="N25" s="311" t="s">
        <v>324</v>
      </c>
    </row>
    <row r="26" spans="1:14">
      <c r="A26" s="283" t="s">
        <v>327</v>
      </c>
      <c r="B26" s="248">
        <v>2</v>
      </c>
      <c r="C26" s="248">
        <v>1</v>
      </c>
      <c r="D26" s="381">
        <f>D25</f>
        <v>572400</v>
      </c>
      <c r="E26" s="381">
        <f t="shared" ref="E26:E29" si="7">C26*D26</f>
        <v>572400</v>
      </c>
      <c r="F26" s="490"/>
      <c r="G26" s="493"/>
      <c r="H26" s="294">
        <f>F25</f>
        <v>588541.49</v>
      </c>
      <c r="I26" s="290">
        <f>'CALCULO DA MAQUINAS '!O8/'CALCULO DA MAQUINAS '!Q8</f>
        <v>11675.657142857142</v>
      </c>
      <c r="J26" s="291">
        <f>I26*$H$3</f>
        <v>73556.639999999999</v>
      </c>
      <c r="K26" s="290">
        <f>I26*12</f>
        <v>140107.88571428572</v>
      </c>
      <c r="L26" s="291">
        <f>K26*$H$3</f>
        <v>882679.67999999993</v>
      </c>
      <c r="M26" s="290">
        <f>I26*36</f>
        <v>420323.65714285715</v>
      </c>
      <c r="N26" s="295">
        <f>M26*$H$3</f>
        <v>2648039.04</v>
      </c>
    </row>
    <row r="27" spans="1:14">
      <c r="A27" s="283" t="s">
        <v>328</v>
      </c>
      <c r="B27" s="248">
        <v>3</v>
      </c>
      <c r="C27" s="248">
        <v>1</v>
      </c>
      <c r="D27" s="381">
        <f>D22</f>
        <v>10141.49</v>
      </c>
      <c r="E27" s="381">
        <f t="shared" si="7"/>
        <v>10141.49</v>
      </c>
      <c r="F27" s="490"/>
      <c r="G27" s="493"/>
      <c r="H27" s="288" t="str">
        <f>H22</f>
        <v>VALOR+ SOLAR</v>
      </c>
      <c r="I27" s="288" t="s">
        <v>329</v>
      </c>
      <c r="J27" s="310" t="s">
        <v>324</v>
      </c>
      <c r="K27" s="289" t="s">
        <v>330</v>
      </c>
      <c r="L27" s="310" t="s">
        <v>324</v>
      </c>
      <c r="M27" s="289" t="s">
        <v>331</v>
      </c>
      <c r="N27" s="312" t="s">
        <v>324</v>
      </c>
    </row>
    <row r="28" spans="1:14">
      <c r="A28" s="283" t="s">
        <v>332</v>
      </c>
      <c r="B28" s="248">
        <v>4</v>
      </c>
      <c r="C28" s="248">
        <v>1</v>
      </c>
      <c r="D28" s="381">
        <v>5000</v>
      </c>
      <c r="E28" s="381">
        <f t="shared" si="7"/>
        <v>5000</v>
      </c>
      <c r="F28" s="490"/>
      <c r="G28" s="493"/>
      <c r="H28" s="294">
        <f>G25</f>
        <v>1160941.49</v>
      </c>
      <c r="I28" s="290">
        <f>'CALCULO DA MAQUINAS '!K8</f>
        <v>14400</v>
      </c>
      <c r="J28" s="291">
        <f>I28*$H$3</f>
        <v>90720</v>
      </c>
      <c r="K28" s="290">
        <f>I28*12</f>
        <v>172800</v>
      </c>
      <c r="L28" s="291">
        <f>K28*$H$3</f>
        <v>1088640</v>
      </c>
      <c r="M28" s="290">
        <f>I28*36</f>
        <v>518400</v>
      </c>
      <c r="N28" s="295">
        <f>M28*$H$3</f>
        <v>3265920</v>
      </c>
    </row>
    <row r="29" spans="1:14">
      <c r="A29" s="284" t="s">
        <v>333</v>
      </c>
      <c r="B29" s="285">
        <v>5</v>
      </c>
      <c r="C29" s="285">
        <v>1</v>
      </c>
      <c r="D29" s="382">
        <v>1000</v>
      </c>
      <c r="E29" s="382">
        <f t="shared" si="7"/>
        <v>1000</v>
      </c>
      <c r="F29" s="491"/>
      <c r="G29" s="494"/>
      <c r="H29" s="280"/>
      <c r="I29" s="280"/>
      <c r="J29" s="280"/>
      <c r="K29" s="280"/>
      <c r="L29" s="280"/>
      <c r="M29" s="280"/>
      <c r="N29" s="280"/>
    </row>
    <row r="30" spans="1:14">
      <c r="A30" s="281" t="str">
        <f>A20</f>
        <v>Antminer L7 (9.5Gh)</v>
      </c>
      <c r="B30" s="282">
        <v>1</v>
      </c>
      <c r="C30" s="282">
        <v>1</v>
      </c>
      <c r="D30" s="380">
        <f>'CALCULO DA MAQUINAS '!H9</f>
        <v>482300</v>
      </c>
      <c r="E30" s="380">
        <f>C30*D30</f>
        <v>482300</v>
      </c>
      <c r="F30" s="489">
        <f t="shared" ref="F30" si="8">E30+E32+E33+E34</f>
        <v>498441.49</v>
      </c>
      <c r="G30" s="492">
        <f>SUM(E30:E34)</f>
        <v>980741.49</v>
      </c>
      <c r="H30" s="292" t="str">
        <f>H25</f>
        <v>VALOR TOTAL</v>
      </c>
      <c r="I30" s="292" t="s">
        <v>323</v>
      </c>
      <c r="J30" s="309" t="s">
        <v>324</v>
      </c>
      <c r="K30" s="293" t="s">
        <v>325</v>
      </c>
      <c r="L30" s="309" t="s">
        <v>324</v>
      </c>
      <c r="M30" s="293" t="s">
        <v>326</v>
      </c>
      <c r="N30" s="311" t="s">
        <v>324</v>
      </c>
    </row>
    <row r="31" spans="1:14">
      <c r="A31" s="283" t="s">
        <v>327</v>
      </c>
      <c r="B31" s="248">
        <v>2</v>
      </c>
      <c r="C31" s="248">
        <v>1</v>
      </c>
      <c r="D31" s="381">
        <f>D30</f>
        <v>482300</v>
      </c>
      <c r="E31" s="381">
        <f t="shared" ref="E31:E34" si="9">C31*D31</f>
        <v>482300</v>
      </c>
      <c r="F31" s="490"/>
      <c r="G31" s="493"/>
      <c r="H31" s="294">
        <f>F30</f>
        <v>498441.49</v>
      </c>
      <c r="I31" s="290">
        <f>'CALCULO DA MAQUINAS '!O9/'CALCULO DA MAQUINAS '!Q8</f>
        <v>7479.7142857142853</v>
      </c>
      <c r="J31" s="291">
        <f>I31*$H$3</f>
        <v>47122.2</v>
      </c>
      <c r="K31" s="290">
        <f>I31*12</f>
        <v>89756.57142857142</v>
      </c>
      <c r="L31" s="291">
        <f>K31*$H$3</f>
        <v>565466.39999999991</v>
      </c>
      <c r="M31" s="290">
        <f>I31*36</f>
        <v>269269.71428571426</v>
      </c>
      <c r="N31" s="295">
        <f>M31*$H$3</f>
        <v>1696399.1999999997</v>
      </c>
    </row>
    <row r="32" spans="1:14">
      <c r="A32" s="283" t="s">
        <v>328</v>
      </c>
      <c r="B32" s="248">
        <v>3</v>
      </c>
      <c r="C32" s="248">
        <v>1</v>
      </c>
      <c r="D32" s="381">
        <f>D22</f>
        <v>10141.49</v>
      </c>
      <c r="E32" s="381">
        <f t="shared" si="9"/>
        <v>10141.49</v>
      </c>
      <c r="F32" s="490"/>
      <c r="G32" s="493"/>
      <c r="H32" s="288" t="str">
        <f>H27</f>
        <v>VALOR+ SOLAR</v>
      </c>
      <c r="I32" s="288" t="s">
        <v>329</v>
      </c>
      <c r="J32" s="310" t="s">
        <v>324</v>
      </c>
      <c r="K32" s="289" t="s">
        <v>330</v>
      </c>
      <c r="L32" s="310" t="s">
        <v>324</v>
      </c>
      <c r="M32" s="289" t="s">
        <v>331</v>
      </c>
      <c r="N32" s="312" t="s">
        <v>324</v>
      </c>
    </row>
    <row r="33" spans="1:14">
      <c r="A33" s="283" t="s">
        <v>332</v>
      </c>
      <c r="B33" s="248">
        <v>4</v>
      </c>
      <c r="C33" s="248">
        <v>1</v>
      </c>
      <c r="D33" s="381">
        <v>5000</v>
      </c>
      <c r="E33" s="381">
        <f t="shared" si="9"/>
        <v>5000</v>
      </c>
      <c r="F33" s="490"/>
      <c r="G33" s="493"/>
      <c r="H33" s="294">
        <f>G30</f>
        <v>980741.49</v>
      </c>
      <c r="I33" s="290">
        <f>'CALCULO DA MAQUINAS '!K9</f>
        <v>9750</v>
      </c>
      <c r="J33" s="291">
        <f>I33*$H$3</f>
        <v>61425</v>
      </c>
      <c r="K33" s="290">
        <f>I33*12</f>
        <v>117000</v>
      </c>
      <c r="L33" s="291">
        <f>K33*$H$3</f>
        <v>737100</v>
      </c>
      <c r="M33" s="290">
        <f>I33*36</f>
        <v>351000</v>
      </c>
      <c r="N33" s="295">
        <f>M33*$H$3</f>
        <v>2211300</v>
      </c>
    </row>
    <row r="34" spans="1:14">
      <c r="A34" s="286" t="s">
        <v>333</v>
      </c>
      <c r="B34" s="287">
        <v>5</v>
      </c>
      <c r="C34" s="287">
        <v>1</v>
      </c>
      <c r="D34" s="383">
        <v>1000</v>
      </c>
      <c r="E34" s="383">
        <f t="shared" si="9"/>
        <v>1000</v>
      </c>
      <c r="F34" s="508"/>
      <c r="G34" s="509"/>
      <c r="H34" s="280"/>
      <c r="I34" s="280"/>
      <c r="J34" s="280"/>
      <c r="K34" s="280"/>
      <c r="L34" s="280"/>
      <c r="M34" s="280"/>
      <c r="N34" s="280"/>
    </row>
    <row r="35" spans="1:14" s="306" customFormat="1">
      <c r="A35" s="298"/>
      <c r="B35" s="299"/>
      <c r="C35" s="299"/>
      <c r="D35" s="300"/>
      <c r="E35" s="300"/>
      <c r="F35" s="300"/>
      <c r="G35" s="307"/>
      <c r="H35" s="308"/>
      <c r="I35" s="303"/>
      <c r="J35" s="302"/>
      <c r="K35" s="304"/>
      <c r="L35" s="302"/>
      <c r="M35" s="304"/>
      <c r="N35" s="302"/>
    </row>
    <row r="36" spans="1:14">
      <c r="A36" s="272" t="str">
        <f>'CALCULO DA MAQUINAS '!A10</f>
        <v>Bitmain Antminer L3+ 504 Mh/s</v>
      </c>
      <c r="B36" s="273">
        <v>1</v>
      </c>
      <c r="C36" s="273">
        <v>1</v>
      </c>
      <c r="D36" s="384">
        <f>'CALCULO DA MAQUINAS '!H10</f>
        <v>205426.41</v>
      </c>
      <c r="E36" s="384">
        <f>C36*D36</f>
        <v>205426.41</v>
      </c>
      <c r="F36" s="498">
        <f>E36+E38+E39+E40</f>
        <v>217567.9</v>
      </c>
      <c r="G36" s="510">
        <f>SUM(E36:E40)</f>
        <v>422994.31</v>
      </c>
      <c r="H36" s="292" t="str">
        <f>H30</f>
        <v>VALOR TOTAL</v>
      </c>
      <c r="I36" s="292" t="s">
        <v>323</v>
      </c>
      <c r="J36" s="310" t="s">
        <v>324</v>
      </c>
      <c r="K36" s="293" t="s">
        <v>325</v>
      </c>
      <c r="L36" s="309" t="s">
        <v>324</v>
      </c>
      <c r="M36" s="293" t="s">
        <v>326</v>
      </c>
      <c r="N36" s="311" t="s">
        <v>324</v>
      </c>
    </row>
    <row r="37" spans="1:14">
      <c r="A37" s="274" t="s">
        <v>327</v>
      </c>
      <c r="B37" s="271">
        <v>2</v>
      </c>
      <c r="C37" s="271">
        <v>1</v>
      </c>
      <c r="D37" s="385">
        <f>D36</f>
        <v>205426.41</v>
      </c>
      <c r="E37" s="385">
        <f t="shared" ref="E37:E41" si="10">C37*D37</f>
        <v>205426.41</v>
      </c>
      <c r="F37" s="499"/>
      <c r="G37" s="511"/>
      <c r="H37" s="294">
        <f>F36</f>
        <v>217567.9</v>
      </c>
      <c r="I37" s="290">
        <f>'CALCULO DA MAQUINAS '!O10/'CALCULO DA MAQUINAS '!Q8</f>
        <v>439.4285714285715</v>
      </c>
      <c r="J37" s="291">
        <f>I37*$H$3</f>
        <v>2768.4000000000005</v>
      </c>
      <c r="K37" s="290">
        <f>I37*12</f>
        <v>5273.1428571428578</v>
      </c>
      <c r="L37" s="291">
        <f>K37*$H$3</f>
        <v>33220.800000000003</v>
      </c>
      <c r="M37" s="290">
        <f>I37*36</f>
        <v>15819.428571428574</v>
      </c>
      <c r="N37" s="295">
        <f>M37*$H$3</f>
        <v>99662.400000000009</v>
      </c>
    </row>
    <row r="38" spans="1:14">
      <c r="A38" s="274" t="s">
        <v>328</v>
      </c>
      <c r="B38" s="271">
        <v>3</v>
      </c>
      <c r="C38" s="271">
        <v>1</v>
      </c>
      <c r="D38" s="385">
        <f>D6</f>
        <v>6141.49</v>
      </c>
      <c r="E38" s="385">
        <f t="shared" si="10"/>
        <v>6141.49</v>
      </c>
      <c r="F38" s="499"/>
      <c r="G38" s="511"/>
      <c r="H38" s="288" t="str">
        <f>H32</f>
        <v>VALOR+ SOLAR</v>
      </c>
      <c r="I38" s="288" t="s">
        <v>329</v>
      </c>
      <c r="J38" s="310" t="s">
        <v>324</v>
      </c>
      <c r="K38" s="289" t="s">
        <v>330</v>
      </c>
      <c r="L38" s="310" t="s">
        <v>324</v>
      </c>
      <c r="M38" s="289" t="s">
        <v>331</v>
      </c>
      <c r="N38" s="312" t="s">
        <v>324</v>
      </c>
    </row>
    <row r="39" spans="1:14">
      <c r="A39" s="274" t="s">
        <v>332</v>
      </c>
      <c r="B39" s="271">
        <v>4</v>
      </c>
      <c r="C39" s="271">
        <v>1</v>
      </c>
      <c r="D39" s="385">
        <v>5000</v>
      </c>
      <c r="E39" s="385">
        <f t="shared" si="10"/>
        <v>5000</v>
      </c>
      <c r="F39" s="499"/>
      <c r="G39" s="511"/>
      <c r="H39" s="294">
        <f>G36</f>
        <v>422994.31</v>
      </c>
      <c r="I39" s="290">
        <f>'CALCULO DA MAQUINAS '!K10</f>
        <v>1500</v>
      </c>
      <c r="J39" s="291">
        <f>I39*$H$3</f>
        <v>9450</v>
      </c>
      <c r="K39" s="290">
        <f>I39*12</f>
        <v>18000</v>
      </c>
      <c r="L39" s="291">
        <f>K39*$H$3</f>
        <v>113400</v>
      </c>
      <c r="M39" s="290">
        <f>I39*36</f>
        <v>54000</v>
      </c>
      <c r="N39" s="295">
        <f>M39*$H$3</f>
        <v>340200</v>
      </c>
    </row>
    <row r="40" spans="1:14">
      <c r="A40" s="278" t="s">
        <v>333</v>
      </c>
      <c r="B40" s="279">
        <v>5</v>
      </c>
      <c r="C40" s="279">
        <v>1</v>
      </c>
      <c r="D40" s="386">
        <v>1000</v>
      </c>
      <c r="E40" s="386">
        <f t="shared" si="10"/>
        <v>1000</v>
      </c>
      <c r="F40" s="500"/>
      <c r="G40" s="512"/>
      <c r="H40" s="280"/>
      <c r="I40" s="280"/>
      <c r="J40" s="280"/>
      <c r="K40" s="280"/>
      <c r="L40" s="280"/>
      <c r="M40" s="280"/>
      <c r="N40" s="280"/>
    </row>
    <row r="41" spans="1:14">
      <c r="A41" s="272" t="str">
        <f>A36</f>
        <v>Bitmain Antminer L3+ 504 Mh/s</v>
      </c>
      <c r="B41" s="273">
        <v>1</v>
      </c>
      <c r="C41" s="273">
        <v>1</v>
      </c>
      <c r="D41" s="384">
        <f>D36</f>
        <v>205426.41</v>
      </c>
      <c r="E41" s="384">
        <f>C41*D41</f>
        <v>205426.41</v>
      </c>
      <c r="F41" s="498">
        <f t="shared" ref="F41" si="11">E41+E43+E44+E45</f>
        <v>217567.9</v>
      </c>
      <c r="G41" s="510">
        <f>SUM(E41:E45)</f>
        <v>422994.31</v>
      </c>
      <c r="H41" s="292" t="str">
        <f>H36</f>
        <v>VALOR TOTAL</v>
      </c>
      <c r="I41" s="292" t="s">
        <v>323</v>
      </c>
      <c r="J41" s="310" t="s">
        <v>324</v>
      </c>
      <c r="K41" s="293" t="s">
        <v>325</v>
      </c>
      <c r="L41" s="309" t="s">
        <v>324</v>
      </c>
      <c r="M41" s="293" t="s">
        <v>326</v>
      </c>
      <c r="N41" s="311" t="s">
        <v>324</v>
      </c>
    </row>
    <row r="42" spans="1:14">
      <c r="A42" s="274" t="s">
        <v>327</v>
      </c>
      <c r="B42" s="271">
        <v>2</v>
      </c>
      <c r="C42" s="271">
        <v>1</v>
      </c>
      <c r="D42" s="385">
        <f>D41</f>
        <v>205426.41</v>
      </c>
      <c r="E42" s="385">
        <f t="shared" ref="E42:E45" si="12">C42*D42</f>
        <v>205426.41</v>
      </c>
      <c r="F42" s="499"/>
      <c r="G42" s="511"/>
      <c r="H42" s="294">
        <f>F41</f>
        <v>217567.9</v>
      </c>
      <c r="I42" s="290">
        <f>'CALCULO DA MAQUINAS '!O11/'CALCULO DA MAQUINAS '!Q8</f>
        <v>289.4285714285715</v>
      </c>
      <c r="J42" s="291">
        <f>I42*$H$3</f>
        <v>1823.4000000000003</v>
      </c>
      <c r="K42" s="290">
        <f>I42*12</f>
        <v>3473.1428571428578</v>
      </c>
      <c r="L42" s="291">
        <f>K42*$H$3</f>
        <v>21880.800000000003</v>
      </c>
      <c r="M42" s="290">
        <f>I42*36</f>
        <v>10419.428571428574</v>
      </c>
      <c r="N42" s="295">
        <f>M42*$H$3</f>
        <v>65642.400000000023</v>
      </c>
    </row>
    <row r="43" spans="1:14">
      <c r="A43" s="274" t="s">
        <v>328</v>
      </c>
      <c r="B43" s="271">
        <v>3</v>
      </c>
      <c r="C43" s="271">
        <v>1</v>
      </c>
      <c r="D43" s="385">
        <f>D38</f>
        <v>6141.49</v>
      </c>
      <c r="E43" s="385">
        <f t="shared" si="12"/>
        <v>6141.49</v>
      </c>
      <c r="F43" s="499"/>
      <c r="G43" s="511"/>
      <c r="H43" s="288" t="str">
        <f>H38</f>
        <v>VALOR+ SOLAR</v>
      </c>
      <c r="I43" s="288" t="s">
        <v>329</v>
      </c>
      <c r="J43" s="310" t="s">
        <v>324</v>
      </c>
      <c r="K43" s="289" t="s">
        <v>330</v>
      </c>
      <c r="L43" s="310" t="s">
        <v>324</v>
      </c>
      <c r="M43" s="289" t="s">
        <v>331</v>
      </c>
      <c r="N43" s="312" t="s">
        <v>324</v>
      </c>
    </row>
    <row r="44" spans="1:14">
      <c r="A44" s="274" t="s">
        <v>332</v>
      </c>
      <c r="B44" s="271">
        <v>4</v>
      </c>
      <c r="C44" s="271">
        <v>1</v>
      </c>
      <c r="D44" s="385">
        <v>5000</v>
      </c>
      <c r="E44" s="385">
        <f t="shared" si="12"/>
        <v>5000</v>
      </c>
      <c r="F44" s="499"/>
      <c r="G44" s="511"/>
      <c r="H44" s="294">
        <f>G41</f>
        <v>422994.31</v>
      </c>
      <c r="I44" s="290">
        <f>'CALCULO DA MAQUINAS '!K11</f>
        <v>1350</v>
      </c>
      <c r="J44" s="291">
        <f>I44*$H$3</f>
        <v>8505</v>
      </c>
      <c r="K44" s="290">
        <f>I44*12</f>
        <v>16200</v>
      </c>
      <c r="L44" s="291">
        <f>K44*$H$3</f>
        <v>102060</v>
      </c>
      <c r="M44" s="290">
        <f>I44*36</f>
        <v>48600</v>
      </c>
      <c r="N44" s="295">
        <f>M44*$H$3</f>
        <v>306180</v>
      </c>
    </row>
    <row r="45" spans="1:14">
      <c r="A45" s="278" t="s">
        <v>333</v>
      </c>
      <c r="B45" s="279">
        <v>5</v>
      </c>
      <c r="C45" s="279">
        <v>1</v>
      </c>
      <c r="D45" s="386">
        <v>1000</v>
      </c>
      <c r="E45" s="386">
        <f t="shared" si="12"/>
        <v>1000</v>
      </c>
      <c r="F45" s="500"/>
      <c r="G45" s="512"/>
      <c r="H45" s="280"/>
      <c r="I45" s="280"/>
      <c r="J45" s="280"/>
      <c r="K45" s="280"/>
      <c r="L45" s="280"/>
      <c r="M45" s="280"/>
      <c r="N45" s="280"/>
    </row>
    <row r="46" spans="1:14">
      <c r="A46" s="272" t="str">
        <f>A36</f>
        <v>Bitmain Antminer L3+ 504 Mh/s</v>
      </c>
      <c r="B46" s="273">
        <v>1</v>
      </c>
      <c r="C46" s="273">
        <v>1</v>
      </c>
      <c r="D46" s="384">
        <f>D41</f>
        <v>205426.41</v>
      </c>
      <c r="E46" s="384">
        <f>C46*D46</f>
        <v>205426.41</v>
      </c>
      <c r="F46" s="498">
        <f t="shared" ref="F46" si="13">E46+E48+E49+E50</f>
        <v>217567.9</v>
      </c>
      <c r="G46" s="510">
        <f>SUM(E46:E50)</f>
        <v>422994.31</v>
      </c>
      <c r="H46" s="292" t="str">
        <f>H41</f>
        <v>VALOR TOTAL</v>
      </c>
      <c r="I46" s="292" t="s">
        <v>323</v>
      </c>
      <c r="J46" s="309" t="s">
        <v>324</v>
      </c>
      <c r="K46" s="293" t="s">
        <v>325</v>
      </c>
      <c r="L46" s="309" t="s">
        <v>324</v>
      </c>
      <c r="M46" s="293" t="s">
        <v>326</v>
      </c>
      <c r="N46" s="311" t="s">
        <v>324</v>
      </c>
    </row>
    <row r="47" spans="1:14">
      <c r="A47" s="274" t="s">
        <v>327</v>
      </c>
      <c r="B47" s="271">
        <v>2</v>
      </c>
      <c r="C47" s="271">
        <v>1</v>
      </c>
      <c r="D47" s="385">
        <f>D46</f>
        <v>205426.41</v>
      </c>
      <c r="E47" s="385">
        <f t="shared" ref="E47:E50" si="14">C47*D47</f>
        <v>205426.41</v>
      </c>
      <c r="F47" s="499"/>
      <c r="G47" s="511"/>
      <c r="H47" s="294">
        <f>F46</f>
        <v>217567.9</v>
      </c>
      <c r="I47" s="290">
        <f>'CALCULO DA MAQUINAS '!O12/'CALCULO DA MAQUINAS '!Q8</f>
        <v>139.42857142857153</v>
      </c>
      <c r="J47" s="291">
        <f>I47*$H$3</f>
        <v>878.40000000000066</v>
      </c>
      <c r="K47" s="290">
        <f>I47*12</f>
        <v>1673.1428571428582</v>
      </c>
      <c r="L47" s="291">
        <f>K47*$H$3</f>
        <v>10540.800000000007</v>
      </c>
      <c r="M47" s="290">
        <f>I47*36</f>
        <v>5019.4285714285752</v>
      </c>
      <c r="N47" s="295">
        <f>M47*$H$3</f>
        <v>31622.400000000023</v>
      </c>
    </row>
    <row r="48" spans="1:14">
      <c r="A48" s="274" t="s">
        <v>328</v>
      </c>
      <c r="B48" s="271">
        <v>3</v>
      </c>
      <c r="C48" s="271">
        <v>1</v>
      </c>
      <c r="D48" s="385">
        <f>D38</f>
        <v>6141.49</v>
      </c>
      <c r="E48" s="385">
        <f t="shared" si="14"/>
        <v>6141.49</v>
      </c>
      <c r="F48" s="499"/>
      <c r="G48" s="511"/>
      <c r="H48" s="288" t="str">
        <f>H43</f>
        <v>VALOR+ SOLAR</v>
      </c>
      <c r="I48" s="288" t="s">
        <v>329</v>
      </c>
      <c r="J48" s="310" t="s">
        <v>324</v>
      </c>
      <c r="K48" s="289" t="s">
        <v>330</v>
      </c>
      <c r="L48" s="310" t="s">
        <v>324</v>
      </c>
      <c r="M48" s="289" t="s">
        <v>331</v>
      </c>
      <c r="N48" s="312" t="s">
        <v>324</v>
      </c>
    </row>
    <row r="49" spans="1:14">
      <c r="A49" s="274" t="s">
        <v>332</v>
      </c>
      <c r="B49" s="271">
        <v>4</v>
      </c>
      <c r="C49" s="271">
        <v>1</v>
      </c>
      <c r="D49" s="385">
        <v>5000</v>
      </c>
      <c r="E49" s="385">
        <f t="shared" si="14"/>
        <v>5000</v>
      </c>
      <c r="F49" s="499"/>
      <c r="G49" s="511"/>
      <c r="H49" s="294">
        <f>G46</f>
        <v>422994.31</v>
      </c>
      <c r="I49" s="290">
        <f>'CALCULO DA MAQUINAS '!K12</f>
        <v>1200</v>
      </c>
      <c r="J49" s="291">
        <f>I49*$H$3</f>
        <v>7560</v>
      </c>
      <c r="K49" s="290">
        <f>I49*12</f>
        <v>14400</v>
      </c>
      <c r="L49" s="291">
        <f>K49*$H$3</f>
        <v>90720</v>
      </c>
      <c r="M49" s="290">
        <f>I49*36</f>
        <v>43200</v>
      </c>
      <c r="N49" s="295">
        <f>M49*$H$3</f>
        <v>272160</v>
      </c>
    </row>
    <row r="50" spans="1:14">
      <c r="A50" s="275" t="s">
        <v>333</v>
      </c>
      <c r="B50" s="276">
        <v>5</v>
      </c>
      <c r="C50" s="276">
        <v>1</v>
      </c>
      <c r="D50" s="387">
        <v>1000</v>
      </c>
      <c r="E50" s="387">
        <f t="shared" si="14"/>
        <v>1000</v>
      </c>
      <c r="F50" s="506"/>
      <c r="G50" s="517"/>
      <c r="H50" s="280"/>
      <c r="I50" s="280"/>
      <c r="J50" s="280"/>
      <c r="K50" s="280"/>
      <c r="L50" s="280"/>
      <c r="M50" s="280"/>
      <c r="N50" s="280"/>
    </row>
    <row r="51" spans="1:14" s="306" customFormat="1">
      <c r="A51" s="298"/>
      <c r="B51" s="299"/>
      <c r="C51" s="299"/>
      <c r="D51" s="300"/>
      <c r="E51" s="300"/>
      <c r="F51" s="300"/>
      <c r="G51" s="307"/>
      <c r="H51" s="308"/>
      <c r="I51" s="303"/>
      <c r="J51" s="302"/>
      <c r="K51" s="304"/>
      <c r="L51" s="302"/>
      <c r="M51" s="304"/>
      <c r="N51" s="302"/>
    </row>
    <row r="52" spans="1:14">
      <c r="A52" s="281" t="str">
        <f>'CALCULO DA MAQUINAS '!A13</f>
        <v>Bitmain Antminer L3++ 580 Mh/s</v>
      </c>
      <c r="B52" s="282">
        <v>1</v>
      </c>
      <c r="C52" s="282">
        <v>1</v>
      </c>
      <c r="D52" s="380">
        <f>'CALCULO DA MAQUINAS '!H13</f>
        <v>87450</v>
      </c>
      <c r="E52" s="380">
        <f>C52*D52</f>
        <v>87450</v>
      </c>
      <c r="F52" s="489">
        <f>E52+E54+E55+E56</f>
        <v>100591.49</v>
      </c>
      <c r="G52" s="513">
        <f>SUM(E52:E56)</f>
        <v>188041.49</v>
      </c>
      <c r="H52" s="292" t="str">
        <f>H46</f>
        <v>VALOR TOTAL</v>
      </c>
      <c r="I52" s="292" t="s">
        <v>323</v>
      </c>
      <c r="J52" s="310" t="s">
        <v>324</v>
      </c>
      <c r="K52" s="293" t="s">
        <v>325</v>
      </c>
      <c r="L52" s="309" t="s">
        <v>324</v>
      </c>
      <c r="M52" s="293" t="s">
        <v>326</v>
      </c>
      <c r="N52" s="311" t="s">
        <v>324</v>
      </c>
    </row>
    <row r="53" spans="1:14">
      <c r="A53" s="283" t="s">
        <v>327</v>
      </c>
      <c r="B53" s="248">
        <v>2</v>
      </c>
      <c r="C53" s="248">
        <v>1</v>
      </c>
      <c r="D53" s="381">
        <f>D52</f>
        <v>87450</v>
      </c>
      <c r="E53" s="381">
        <f t="shared" ref="E53:E57" si="15">C53*D53</f>
        <v>87450</v>
      </c>
      <c r="F53" s="490"/>
      <c r="G53" s="514"/>
      <c r="H53" s="294">
        <f>F52</f>
        <v>100591.49</v>
      </c>
      <c r="I53" s="290">
        <f>'CALCULO DA MAQUINAS '!O13/'CALCULO DA MAQUINAS '!Q8</f>
        <v>439.4285714285715</v>
      </c>
      <c r="J53" s="291">
        <f>I53*$H$3</f>
        <v>2768.4000000000005</v>
      </c>
      <c r="K53" s="290">
        <f>I53*12</f>
        <v>5273.1428571428578</v>
      </c>
      <c r="L53" s="291">
        <f>K53*$H$3</f>
        <v>33220.800000000003</v>
      </c>
      <c r="M53" s="290">
        <f>I53*36</f>
        <v>15819.428571428574</v>
      </c>
      <c r="N53" s="295">
        <f>M53*$H$3</f>
        <v>99662.400000000009</v>
      </c>
    </row>
    <row r="54" spans="1:14">
      <c r="A54" s="283" t="s">
        <v>328</v>
      </c>
      <c r="B54" s="248">
        <v>3</v>
      </c>
      <c r="C54" s="248">
        <v>1</v>
      </c>
      <c r="D54" s="381">
        <f>D48+1000</f>
        <v>7141.49</v>
      </c>
      <c r="E54" s="381">
        <f t="shared" si="15"/>
        <v>7141.49</v>
      </c>
      <c r="F54" s="490"/>
      <c r="G54" s="514"/>
      <c r="H54" s="288" t="str">
        <f>H48</f>
        <v>VALOR+ SOLAR</v>
      </c>
      <c r="I54" s="288" t="s">
        <v>329</v>
      </c>
      <c r="J54" s="310" t="s">
        <v>324</v>
      </c>
      <c r="K54" s="289" t="s">
        <v>330</v>
      </c>
      <c r="L54" s="310" t="s">
        <v>324</v>
      </c>
      <c r="M54" s="289" t="s">
        <v>331</v>
      </c>
      <c r="N54" s="312" t="s">
        <v>324</v>
      </c>
    </row>
    <row r="55" spans="1:14">
      <c r="A55" s="283" t="s">
        <v>332</v>
      </c>
      <c r="B55" s="248">
        <v>4</v>
      </c>
      <c r="C55" s="248">
        <v>1</v>
      </c>
      <c r="D55" s="381">
        <v>5000</v>
      </c>
      <c r="E55" s="381">
        <f t="shared" si="15"/>
        <v>5000</v>
      </c>
      <c r="F55" s="490"/>
      <c r="G55" s="514"/>
      <c r="H55" s="294">
        <f>G52</f>
        <v>188041.49</v>
      </c>
      <c r="I55" s="290">
        <f>'CALCULO DA MAQUINAS '!K13</f>
        <v>1500</v>
      </c>
      <c r="J55" s="291">
        <f>I55*$H$3</f>
        <v>9450</v>
      </c>
      <c r="K55" s="290">
        <f>I55*12</f>
        <v>18000</v>
      </c>
      <c r="L55" s="291">
        <f>K55*$H$3</f>
        <v>113400</v>
      </c>
      <c r="M55" s="290">
        <f>I55*36</f>
        <v>54000</v>
      </c>
      <c r="N55" s="295">
        <f>M55*$H$3</f>
        <v>340200</v>
      </c>
    </row>
    <row r="56" spans="1:14">
      <c r="A56" s="284" t="s">
        <v>333</v>
      </c>
      <c r="B56" s="285">
        <v>5</v>
      </c>
      <c r="C56" s="285">
        <v>1</v>
      </c>
      <c r="D56" s="382">
        <v>1000</v>
      </c>
      <c r="E56" s="382">
        <f t="shared" si="15"/>
        <v>1000</v>
      </c>
      <c r="F56" s="491"/>
      <c r="G56" s="515"/>
      <c r="H56" s="280"/>
      <c r="I56" s="280"/>
      <c r="J56" s="280"/>
      <c r="K56" s="280"/>
      <c r="L56" s="280"/>
      <c r="M56" s="280"/>
      <c r="N56" s="280"/>
    </row>
    <row r="57" spans="1:14">
      <c r="A57" s="281" t="str">
        <f>A52</f>
        <v>Bitmain Antminer L3++ 580 Mh/s</v>
      </c>
      <c r="B57" s="282">
        <v>1</v>
      </c>
      <c r="C57" s="282">
        <v>1</v>
      </c>
      <c r="D57" s="380">
        <f>D52</f>
        <v>87450</v>
      </c>
      <c r="E57" s="380">
        <f>C57*D57</f>
        <v>87450</v>
      </c>
      <c r="F57" s="489">
        <f t="shared" ref="F57" si="16">E57+E59+E60+E61</f>
        <v>100591.49</v>
      </c>
      <c r="G57" s="513">
        <f>SUM(E57:E61)</f>
        <v>188041.49</v>
      </c>
      <c r="H57" s="292" t="str">
        <f>H52</f>
        <v>VALOR TOTAL</v>
      </c>
      <c r="I57" s="292" t="s">
        <v>323</v>
      </c>
      <c r="J57" s="310" t="s">
        <v>324</v>
      </c>
      <c r="K57" s="293" t="s">
        <v>325</v>
      </c>
      <c r="L57" s="309" t="s">
        <v>324</v>
      </c>
      <c r="M57" s="293" t="s">
        <v>326</v>
      </c>
      <c r="N57" s="311" t="s">
        <v>324</v>
      </c>
    </row>
    <row r="58" spans="1:14">
      <c r="A58" s="283" t="s">
        <v>327</v>
      </c>
      <c r="B58" s="248">
        <v>2</v>
      </c>
      <c r="C58" s="248">
        <v>1</v>
      </c>
      <c r="D58" s="381">
        <f>D57</f>
        <v>87450</v>
      </c>
      <c r="E58" s="381">
        <f t="shared" ref="E58:E61" si="17">C58*D58</f>
        <v>87450</v>
      </c>
      <c r="F58" s="490"/>
      <c r="G58" s="514"/>
      <c r="H58" s="294">
        <f>F57</f>
        <v>100591.49</v>
      </c>
      <c r="I58" s="290">
        <f>'CALCULO DA MAQUINAS '!O14/'CALCULO DA MAQUINAS '!Q8</f>
        <v>439.4285714285715</v>
      </c>
      <c r="J58" s="291">
        <f>I58*$H$3</f>
        <v>2768.4000000000005</v>
      </c>
      <c r="K58" s="290">
        <f>I58*12</f>
        <v>5273.1428571428578</v>
      </c>
      <c r="L58" s="291">
        <f>K58*$H$3</f>
        <v>33220.800000000003</v>
      </c>
      <c r="M58" s="290">
        <f>I58*36</f>
        <v>15819.428571428574</v>
      </c>
      <c r="N58" s="295">
        <f>M58*$H$3</f>
        <v>99662.400000000009</v>
      </c>
    </row>
    <row r="59" spans="1:14">
      <c r="A59" s="283" t="s">
        <v>328</v>
      </c>
      <c r="B59" s="248">
        <v>3</v>
      </c>
      <c r="C59" s="248">
        <v>1</v>
      </c>
      <c r="D59" s="381">
        <f>D54</f>
        <v>7141.49</v>
      </c>
      <c r="E59" s="381">
        <f t="shared" si="17"/>
        <v>7141.49</v>
      </c>
      <c r="F59" s="490"/>
      <c r="G59" s="514"/>
      <c r="H59" s="288" t="str">
        <f>H54</f>
        <v>VALOR+ SOLAR</v>
      </c>
      <c r="I59" s="288" t="s">
        <v>329</v>
      </c>
      <c r="J59" s="310" t="s">
        <v>324</v>
      </c>
      <c r="K59" s="289" t="s">
        <v>330</v>
      </c>
      <c r="L59" s="310" t="s">
        <v>324</v>
      </c>
      <c r="M59" s="289" t="s">
        <v>331</v>
      </c>
      <c r="N59" s="312" t="s">
        <v>324</v>
      </c>
    </row>
    <row r="60" spans="1:14">
      <c r="A60" s="283" t="s">
        <v>332</v>
      </c>
      <c r="B60" s="248">
        <v>4</v>
      </c>
      <c r="C60" s="248">
        <v>1</v>
      </c>
      <c r="D60" s="381">
        <v>5000</v>
      </c>
      <c r="E60" s="381">
        <f t="shared" si="17"/>
        <v>5000</v>
      </c>
      <c r="F60" s="490"/>
      <c r="G60" s="514"/>
      <c r="H60" s="294">
        <f>G57</f>
        <v>188041.49</v>
      </c>
      <c r="I60" s="290">
        <f>'CALCULO DA MAQUINAS '!K14</f>
        <v>1500</v>
      </c>
      <c r="J60" s="291">
        <f>I60*$H$3</f>
        <v>9450</v>
      </c>
      <c r="K60" s="290">
        <f>I60*12</f>
        <v>18000</v>
      </c>
      <c r="L60" s="291">
        <f>K60*$H$3</f>
        <v>113400</v>
      </c>
      <c r="M60" s="290">
        <f>I60*36</f>
        <v>54000</v>
      </c>
      <c r="N60" s="295">
        <f>M60*$H$3</f>
        <v>340200</v>
      </c>
    </row>
    <row r="61" spans="1:14">
      <c r="A61" s="284" t="s">
        <v>333</v>
      </c>
      <c r="B61" s="285">
        <v>5</v>
      </c>
      <c r="C61" s="285">
        <v>1</v>
      </c>
      <c r="D61" s="382">
        <v>1000</v>
      </c>
      <c r="E61" s="382">
        <f t="shared" si="17"/>
        <v>1000</v>
      </c>
      <c r="F61" s="491"/>
      <c r="G61" s="515"/>
      <c r="H61" s="280"/>
      <c r="I61" s="280"/>
      <c r="J61" s="280"/>
      <c r="K61" s="280"/>
      <c r="L61" s="280"/>
      <c r="M61" s="280"/>
      <c r="N61" s="280"/>
    </row>
    <row r="62" spans="1:14">
      <c r="A62" s="281" t="str">
        <f>A52</f>
        <v>Bitmain Antminer L3++ 580 Mh/s</v>
      </c>
      <c r="B62" s="282">
        <v>1</v>
      </c>
      <c r="C62" s="282">
        <v>1</v>
      </c>
      <c r="D62" s="380">
        <f>D52</f>
        <v>87450</v>
      </c>
      <c r="E62" s="380">
        <f>C62*D62</f>
        <v>87450</v>
      </c>
      <c r="F62" s="489">
        <f t="shared" ref="F62" si="18">E62+E64+E65+E66</f>
        <v>100591.49</v>
      </c>
      <c r="G62" s="513">
        <f>SUM(E62:E66)</f>
        <v>188041.49</v>
      </c>
      <c r="H62" s="292" t="str">
        <f>H57</f>
        <v>VALOR TOTAL</v>
      </c>
      <c r="I62" s="292" t="s">
        <v>323</v>
      </c>
      <c r="J62" s="309" t="s">
        <v>324</v>
      </c>
      <c r="K62" s="293" t="s">
        <v>325</v>
      </c>
      <c r="L62" s="309" t="s">
        <v>324</v>
      </c>
      <c r="M62" s="293" t="s">
        <v>326</v>
      </c>
      <c r="N62" s="311" t="s">
        <v>324</v>
      </c>
    </row>
    <row r="63" spans="1:14">
      <c r="A63" s="283" t="s">
        <v>327</v>
      </c>
      <c r="B63" s="248">
        <v>2</v>
      </c>
      <c r="C63" s="248">
        <v>1</v>
      </c>
      <c r="D63" s="381">
        <f>D62</f>
        <v>87450</v>
      </c>
      <c r="E63" s="381">
        <f t="shared" ref="E63:E66" si="19">C63*D63</f>
        <v>87450</v>
      </c>
      <c r="F63" s="490"/>
      <c r="G63" s="514"/>
      <c r="H63" s="294">
        <f>F62</f>
        <v>100591.49</v>
      </c>
      <c r="I63" s="290">
        <f>'CALCULO DA MAQUINAS '!O15/'CALCULO DA MAQUINAS '!Q8</f>
        <v>439.4285714285715</v>
      </c>
      <c r="J63" s="291">
        <f>I63*$H$3</f>
        <v>2768.4000000000005</v>
      </c>
      <c r="K63" s="290">
        <f>I63*12</f>
        <v>5273.1428571428578</v>
      </c>
      <c r="L63" s="291">
        <f>K63*$H$3</f>
        <v>33220.800000000003</v>
      </c>
      <c r="M63" s="290">
        <f>I63*36</f>
        <v>15819.428571428574</v>
      </c>
      <c r="N63" s="295">
        <f>M63*$H$3</f>
        <v>99662.400000000009</v>
      </c>
    </row>
    <row r="64" spans="1:14">
      <c r="A64" s="283" t="s">
        <v>328</v>
      </c>
      <c r="B64" s="248">
        <v>3</v>
      </c>
      <c r="C64" s="248">
        <v>1</v>
      </c>
      <c r="D64" s="381">
        <f>D54</f>
        <v>7141.49</v>
      </c>
      <c r="E64" s="381">
        <f t="shared" si="19"/>
        <v>7141.49</v>
      </c>
      <c r="F64" s="490"/>
      <c r="G64" s="514"/>
      <c r="H64" s="288" t="str">
        <f>H59</f>
        <v>VALOR+ SOLAR</v>
      </c>
      <c r="I64" s="288" t="s">
        <v>329</v>
      </c>
      <c r="J64" s="310" t="s">
        <v>324</v>
      </c>
      <c r="K64" s="289" t="s">
        <v>330</v>
      </c>
      <c r="L64" s="310" t="s">
        <v>324</v>
      </c>
      <c r="M64" s="289" t="s">
        <v>331</v>
      </c>
      <c r="N64" s="312" t="s">
        <v>324</v>
      </c>
    </row>
    <row r="65" spans="1:14">
      <c r="A65" s="283" t="s">
        <v>332</v>
      </c>
      <c r="B65" s="248">
        <v>4</v>
      </c>
      <c r="C65" s="248">
        <v>1</v>
      </c>
      <c r="D65" s="381">
        <v>5000</v>
      </c>
      <c r="E65" s="381">
        <f t="shared" si="19"/>
        <v>5000</v>
      </c>
      <c r="F65" s="490"/>
      <c r="G65" s="514"/>
      <c r="H65" s="294">
        <f>G62</f>
        <v>188041.49</v>
      </c>
      <c r="I65" s="290">
        <f>'CALCULO DA MAQUINAS '!K15</f>
        <v>1500</v>
      </c>
      <c r="J65" s="291">
        <f>I65*$H$3</f>
        <v>9450</v>
      </c>
      <c r="K65" s="290">
        <f>I65*12</f>
        <v>18000</v>
      </c>
      <c r="L65" s="291">
        <f>K65*$H$3</f>
        <v>113400</v>
      </c>
      <c r="M65" s="290">
        <f>I65*36</f>
        <v>54000</v>
      </c>
      <c r="N65" s="295">
        <f>M65*$H$3</f>
        <v>340200</v>
      </c>
    </row>
    <row r="66" spans="1:14">
      <c r="A66" s="286" t="s">
        <v>333</v>
      </c>
      <c r="B66" s="287">
        <v>5</v>
      </c>
      <c r="C66" s="287">
        <v>1</v>
      </c>
      <c r="D66" s="383">
        <v>1000</v>
      </c>
      <c r="E66" s="383">
        <f t="shared" si="19"/>
        <v>1000</v>
      </c>
      <c r="F66" s="508"/>
      <c r="G66" s="516"/>
      <c r="H66" s="280"/>
      <c r="I66" s="280"/>
      <c r="J66" s="280"/>
      <c r="K66" s="280"/>
      <c r="L66" s="280"/>
      <c r="M66" s="280"/>
      <c r="N66" s="280"/>
    </row>
  </sheetData>
  <mergeCells count="26">
    <mergeCell ref="F57:F61"/>
    <mergeCell ref="G57:G61"/>
    <mergeCell ref="F62:F66"/>
    <mergeCell ref="G62:G66"/>
    <mergeCell ref="F41:F45"/>
    <mergeCell ref="G41:G45"/>
    <mergeCell ref="F46:F50"/>
    <mergeCell ref="G46:G50"/>
    <mergeCell ref="F52:F56"/>
    <mergeCell ref="G52:G56"/>
    <mergeCell ref="F25:F29"/>
    <mergeCell ref="G25:G29"/>
    <mergeCell ref="F30:F34"/>
    <mergeCell ref="G30:G34"/>
    <mergeCell ref="F36:F40"/>
    <mergeCell ref="G36:G40"/>
    <mergeCell ref="F20:F24"/>
    <mergeCell ref="G20:G24"/>
    <mergeCell ref="A1:P1"/>
    <mergeCell ref="F4:F8"/>
    <mergeCell ref="G4:G8"/>
    <mergeCell ref="A2:G2"/>
    <mergeCell ref="F9:F13"/>
    <mergeCell ref="G9:G13"/>
    <mergeCell ref="F14:F18"/>
    <mergeCell ref="G14:G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7378-FB28-4B7C-9A52-C6F55049AC7B}">
  <dimension ref="A1:Q56"/>
  <sheetViews>
    <sheetView topLeftCell="D1" workbookViewId="0">
      <selection activeCell="A20" sqref="A20:E20"/>
    </sheetView>
  </sheetViews>
  <sheetFormatPr defaultRowHeight="15"/>
  <cols>
    <col min="1" max="1" width="41.42578125" style="186" bestFit="1" customWidth="1"/>
    <col min="2" max="2" width="41.42578125" style="186" customWidth="1"/>
    <col min="3" max="3" width="18.42578125" style="186" bestFit="1" customWidth="1"/>
    <col min="4" max="4" width="27.85546875" style="186" bestFit="1" customWidth="1"/>
    <col min="5" max="5" width="17.5703125" style="186" customWidth="1"/>
    <col min="6" max="6" width="31.5703125" style="186" hidden="1" customWidth="1"/>
    <col min="7" max="7" width="0.42578125" style="186" customWidth="1"/>
    <col min="8" max="8" width="29.85546875" style="186" bestFit="1" customWidth="1"/>
    <col min="9" max="9" width="34.140625" style="186" customWidth="1"/>
    <col min="10" max="10" width="21.85546875" style="186" customWidth="1"/>
    <col min="11" max="11" width="34.28515625" style="186" bestFit="1" customWidth="1"/>
    <col min="12" max="12" width="23.42578125" style="186" customWidth="1"/>
    <col min="13" max="13" width="43" style="186" bestFit="1" customWidth="1"/>
    <col min="14" max="14" width="18" style="186" customWidth="1"/>
    <col min="15" max="15" width="34.85546875" style="186" bestFit="1" customWidth="1"/>
    <col min="16" max="17" width="28.140625" style="186" bestFit="1" customWidth="1"/>
    <col min="18" max="16384" width="9.140625" style="186"/>
  </cols>
  <sheetData>
    <row r="1" spans="1:17" customFormat="1" ht="21">
      <c r="A1" s="518" t="s">
        <v>334</v>
      </c>
      <c r="B1" s="519"/>
      <c r="C1" s="519"/>
      <c r="D1" s="519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3" t="s">
        <v>321</v>
      </c>
      <c r="P1" s="186"/>
    </row>
    <row r="2" spans="1:17" s="333" customFormat="1" ht="15.75">
      <c r="A2" s="358" t="s">
        <v>335</v>
      </c>
      <c r="B2" s="359" t="s">
        <v>336</v>
      </c>
      <c r="C2" s="360" t="s">
        <v>337</v>
      </c>
      <c r="D2" s="361" t="s">
        <v>338</v>
      </c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524"/>
    </row>
    <row r="3" spans="1:17">
      <c r="A3" s="367" t="s">
        <v>339</v>
      </c>
      <c r="B3" s="368">
        <v>0.3</v>
      </c>
      <c r="C3" s="369">
        <f>Planilha1!H4</f>
        <v>1000000</v>
      </c>
      <c r="D3" s="488">
        <f>H7</f>
        <v>6239310</v>
      </c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338">
        <f ca="1">TODAY()</f>
        <v>44466</v>
      </c>
    </row>
    <row r="4" spans="1:17">
      <c r="A4" s="388" t="s">
        <v>340</v>
      </c>
      <c r="B4" s="345">
        <v>0.4</v>
      </c>
      <c r="C4" s="346">
        <f>C3</f>
        <v>1000000</v>
      </c>
      <c r="D4" s="522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525">
        <f>'CALCULO DA MAQUINAS '!Q8</f>
        <v>6.3</v>
      </c>
      <c r="Q4" s="371">
        <v>30</v>
      </c>
    </row>
    <row r="5" spans="1:17" ht="15.75">
      <c r="A5" s="349" t="s">
        <v>341</v>
      </c>
      <c r="B5" s="350" t="s">
        <v>342</v>
      </c>
      <c r="C5" s="350" t="s">
        <v>343</v>
      </c>
      <c r="D5" s="351" t="str">
        <f>B2</f>
        <v>PORCENTAGEM</v>
      </c>
      <c r="E5" s="352" t="s">
        <v>344</v>
      </c>
      <c r="F5" s="357" t="s">
        <v>345</v>
      </c>
      <c r="G5" s="357" t="s">
        <v>345</v>
      </c>
      <c r="H5" s="353" t="s">
        <v>345</v>
      </c>
      <c r="I5" s="530" t="s">
        <v>346</v>
      </c>
      <c r="J5" s="531"/>
      <c r="K5" s="530" t="s">
        <v>346</v>
      </c>
      <c r="L5" s="532"/>
      <c r="M5" s="530" t="s">
        <v>346</v>
      </c>
      <c r="N5" s="532"/>
      <c r="O5" s="526"/>
    </row>
    <row r="6" spans="1:17">
      <c r="A6" s="347" t="str">
        <f>'CALCULO DA MAQUINAS '!A7</f>
        <v>Antminer L7 (9.5Gh)</v>
      </c>
      <c r="B6" s="348">
        <v>1</v>
      </c>
      <c r="C6" s="348">
        <v>1</v>
      </c>
      <c r="D6" s="389">
        <f>'CALCULO DA MAQUINAS '!H7</f>
        <v>5392750</v>
      </c>
      <c r="E6" s="389">
        <f>C6*D6</f>
        <v>5392750</v>
      </c>
      <c r="F6" s="527">
        <f>E6+E8+E9+E10+E11</f>
        <v>6239310</v>
      </c>
      <c r="G6" s="528">
        <f>SUM(E6:E10)</f>
        <v>11285500</v>
      </c>
      <c r="H6" s="341" t="s">
        <v>338</v>
      </c>
      <c r="I6" s="342" t="s">
        <v>347</v>
      </c>
      <c r="J6" s="343" t="s">
        <v>324</v>
      </c>
      <c r="K6" s="340" t="s">
        <v>325</v>
      </c>
      <c r="L6" s="343" t="s">
        <v>324</v>
      </c>
      <c r="M6" s="340" t="s">
        <v>326</v>
      </c>
      <c r="N6" s="344" t="s">
        <v>324</v>
      </c>
      <c r="O6" s="370"/>
    </row>
    <row r="7" spans="1:17">
      <c r="A7" s="316" t="s">
        <v>327</v>
      </c>
      <c r="B7" s="248">
        <v>2</v>
      </c>
      <c r="C7" s="248">
        <v>1</v>
      </c>
      <c r="D7" s="381">
        <f>D6</f>
        <v>5392750</v>
      </c>
      <c r="E7" s="381">
        <f t="shared" ref="E7:E10" si="0">C7*D7</f>
        <v>5392750</v>
      </c>
      <c r="F7" s="490"/>
      <c r="G7" s="529"/>
      <c r="H7" s="320">
        <f>F6</f>
        <v>6239310</v>
      </c>
      <c r="I7" s="290">
        <f>'CALCULO DA MAQUINAS '!O7/'CALCULO DA MAQUINAS '!Q8</f>
        <v>107026.85714285714</v>
      </c>
      <c r="J7" s="291">
        <f>I7*$O$4</f>
        <v>674269.2</v>
      </c>
      <c r="K7" s="290">
        <f>I7*12</f>
        <v>1284322.2857142857</v>
      </c>
      <c r="L7" s="291">
        <f>K7*$O$4</f>
        <v>8091230.3999999994</v>
      </c>
      <c r="M7" s="290">
        <f>I7*36</f>
        <v>3852966.8571428573</v>
      </c>
      <c r="N7" s="291">
        <f>M7*$O$4</f>
        <v>24273691.199999999</v>
      </c>
      <c r="O7" s="126"/>
    </row>
    <row r="8" spans="1:17">
      <c r="A8" s="316" t="s">
        <v>328</v>
      </c>
      <c r="B8" s="248">
        <v>3</v>
      </c>
      <c r="C8" s="248">
        <v>1</v>
      </c>
      <c r="D8" s="381">
        <v>150000</v>
      </c>
      <c r="E8" s="381">
        <f t="shared" si="0"/>
        <v>150000</v>
      </c>
      <c r="F8" s="490"/>
      <c r="G8" s="529"/>
      <c r="H8" s="317" t="s">
        <v>338</v>
      </c>
      <c r="I8" s="339" t="s">
        <v>347</v>
      </c>
      <c r="J8" s="318" t="s">
        <v>324</v>
      </c>
      <c r="K8" s="340" t="s">
        <v>325</v>
      </c>
      <c r="L8" s="318" t="s">
        <v>324</v>
      </c>
      <c r="M8" s="319" t="s">
        <v>331</v>
      </c>
      <c r="N8" s="336" t="s">
        <v>324</v>
      </c>
      <c r="O8"/>
    </row>
    <row r="9" spans="1:17">
      <c r="A9" s="316" t="s">
        <v>332</v>
      </c>
      <c r="B9" s="248">
        <v>4</v>
      </c>
      <c r="C9" s="248">
        <v>1</v>
      </c>
      <c r="D9" s="381">
        <v>50000</v>
      </c>
      <c r="E9" s="381">
        <f t="shared" si="0"/>
        <v>50000</v>
      </c>
      <c r="F9" s="490"/>
      <c r="G9" s="529"/>
      <c r="H9" s="320">
        <f>G6</f>
        <v>11285500</v>
      </c>
      <c r="I9" s="290">
        <f>'CALCULO DA MAQUINAS '!K7</f>
        <v>132000</v>
      </c>
      <c r="J9" s="291">
        <f>I9*$O$4</f>
        <v>831600</v>
      </c>
      <c r="K9" s="290">
        <f>I9*12</f>
        <v>1584000</v>
      </c>
      <c r="L9" s="291">
        <f>K9*$O$4</f>
        <v>9979200</v>
      </c>
      <c r="M9" s="290">
        <f>I9*36</f>
        <v>4752000</v>
      </c>
      <c r="N9" s="291">
        <f>M9*$O$4</f>
        <v>29937600</v>
      </c>
      <c r="O9"/>
    </row>
    <row r="10" spans="1:17">
      <c r="A10" s="321" t="s">
        <v>333</v>
      </c>
      <c r="B10" s="248">
        <v>5</v>
      </c>
      <c r="C10" s="248">
        <v>12</v>
      </c>
      <c r="D10" s="381">
        <v>25000</v>
      </c>
      <c r="E10" s="381">
        <f t="shared" si="0"/>
        <v>300000</v>
      </c>
      <c r="F10" s="490"/>
      <c r="G10" s="529"/>
      <c r="H10" s="322"/>
      <c r="I10" s="322"/>
      <c r="J10" s="322"/>
      <c r="K10" s="322"/>
      <c r="L10" s="322"/>
      <c r="M10" s="322"/>
      <c r="N10" s="322"/>
      <c r="O10"/>
    </row>
    <row r="11" spans="1:17">
      <c r="A11" s="321" t="s">
        <v>348</v>
      </c>
      <c r="B11" s="248">
        <v>6</v>
      </c>
      <c r="C11" s="248">
        <v>12</v>
      </c>
      <c r="D11" s="381">
        <v>28880</v>
      </c>
      <c r="E11" s="381">
        <f t="shared" ref="E11" si="1">C11*D11</f>
        <v>346560</v>
      </c>
    </row>
    <row r="14" spans="1:17">
      <c r="A14" s="391" t="s">
        <v>349</v>
      </c>
      <c r="B14" s="391" t="s">
        <v>350</v>
      </c>
      <c r="C14" s="391" t="s">
        <v>337</v>
      </c>
    </row>
    <row r="15" spans="1:17">
      <c r="A15" s="334" t="s">
        <v>351</v>
      </c>
      <c r="B15" s="390">
        <v>10</v>
      </c>
      <c r="C15" s="335">
        <f>(D3+C4)/4</f>
        <v>1809827.5</v>
      </c>
    </row>
    <row r="25" spans="1:14" customFormat="1"/>
    <row r="26" spans="1:14" customFormat="1"/>
    <row r="27" spans="1:14" customFormat="1">
      <c r="A27" s="186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</row>
    <row r="28" spans="1:14" customFormat="1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</row>
    <row r="29" spans="1:14" customFormat="1">
      <c r="A29" s="186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</row>
    <row r="30" spans="1:14" customForma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</row>
    <row r="31" spans="1:14" customForma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</row>
    <row r="32" spans="1:14" customFormat="1">
      <c r="A32" s="186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</row>
    <row r="33" spans="1:14" customFormat="1">
      <c r="A33" s="186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</row>
    <row r="50" customFormat="1"/>
    <row r="51" customFormat="1"/>
    <row r="52" customFormat="1"/>
    <row r="53" customFormat="1"/>
    <row r="54" customFormat="1"/>
    <row r="55" customFormat="1"/>
    <row r="56" customFormat="1"/>
  </sheetData>
  <mergeCells count="9">
    <mergeCell ref="A1:N1"/>
    <mergeCell ref="D3:D4"/>
    <mergeCell ref="O1:O2"/>
    <mergeCell ref="O4:O5"/>
    <mergeCell ref="F6:F10"/>
    <mergeCell ref="G6:G10"/>
    <mergeCell ref="I5:J5"/>
    <mergeCell ref="K5:L5"/>
    <mergeCell ref="M5:N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7B53-0659-4468-B0B8-B2403E487D43}">
  <dimension ref="A1:J32"/>
  <sheetViews>
    <sheetView topLeftCell="A20" workbookViewId="0">
      <selection activeCell="F30" sqref="F30"/>
    </sheetView>
  </sheetViews>
  <sheetFormatPr defaultRowHeight="15"/>
  <cols>
    <col min="1" max="1" width="29.28515625" bestFit="1" customWidth="1"/>
    <col min="2" max="2" width="26" bestFit="1" customWidth="1"/>
    <col min="3" max="3" width="11.7109375" bestFit="1" customWidth="1"/>
    <col min="4" max="4" width="22" bestFit="1" customWidth="1"/>
    <col min="5" max="5" width="18" bestFit="1" customWidth="1"/>
    <col min="6" max="6" width="16.7109375" bestFit="1" customWidth="1"/>
    <col min="7" max="7" width="22.7109375" bestFit="1" customWidth="1"/>
    <col min="8" max="8" width="16.85546875" bestFit="1" customWidth="1"/>
  </cols>
  <sheetData>
    <row r="1" spans="1:10" ht="18.75">
      <c r="A1" s="460" t="s">
        <v>244</v>
      </c>
      <c r="B1" s="460"/>
      <c r="C1" s="460"/>
      <c r="D1" s="460"/>
      <c r="E1" s="460"/>
      <c r="F1" s="461"/>
      <c r="G1" s="461"/>
      <c r="H1" s="461"/>
      <c r="I1" s="461"/>
      <c r="J1" s="461"/>
    </row>
    <row r="2" spans="1:10" ht="18.75">
      <c r="A2" s="462" t="s">
        <v>245</v>
      </c>
      <c r="B2" s="463"/>
      <c r="C2" s="463"/>
      <c r="D2" s="463"/>
      <c r="E2" s="463"/>
      <c r="F2" s="463"/>
      <c r="G2" s="463"/>
      <c r="H2" s="463"/>
    </row>
    <row r="3" spans="1:10" ht="18.75">
      <c r="A3" s="81" t="s">
        <v>246</v>
      </c>
      <c r="B3" s="81" t="s">
        <v>247</v>
      </c>
      <c r="C3" s="81" t="s">
        <v>248</v>
      </c>
      <c r="D3" s="81" t="s">
        <v>249</v>
      </c>
      <c r="E3" s="82" t="s">
        <v>250</v>
      </c>
      <c r="F3" s="83" t="s">
        <v>251</v>
      </c>
      <c r="G3" s="82" t="s">
        <v>252</v>
      </c>
      <c r="H3" s="84" t="s">
        <v>253</v>
      </c>
    </row>
    <row r="4" spans="1:10">
      <c r="A4" s="80" t="s">
        <v>254</v>
      </c>
      <c r="B4" s="80">
        <v>0</v>
      </c>
      <c r="C4" s="80">
        <v>10</v>
      </c>
      <c r="D4" s="80">
        <v>60</v>
      </c>
      <c r="E4" s="240">
        <f>F4/C4</f>
        <v>0</v>
      </c>
      <c r="F4" s="240">
        <f>B4*C4*D4</f>
        <v>0</v>
      </c>
      <c r="G4" s="464">
        <f>SUM(F4:F6)</f>
        <v>0</v>
      </c>
      <c r="H4" s="85">
        <f>G4+F8</f>
        <v>1000000</v>
      </c>
    </row>
    <row r="5" spans="1:10">
      <c r="A5" s="80" t="s">
        <v>255</v>
      </c>
      <c r="B5" s="80">
        <v>0</v>
      </c>
      <c r="C5" s="80">
        <v>10</v>
      </c>
      <c r="D5" s="80">
        <v>60</v>
      </c>
      <c r="E5" s="240">
        <f t="shared" ref="E5:E6" si="0">F5/C5</f>
        <v>0</v>
      </c>
      <c r="F5" s="238">
        <f t="shared" ref="F5:F6" si="1">B5*C5*D5</f>
        <v>0</v>
      </c>
      <c r="G5" s="465"/>
    </row>
    <row r="6" spans="1:10">
      <c r="A6" s="80" t="s">
        <v>256</v>
      </c>
      <c r="B6" s="80">
        <v>0</v>
      </c>
      <c r="C6" s="80">
        <v>10</v>
      </c>
      <c r="D6" s="80">
        <v>60</v>
      </c>
      <c r="E6" s="240">
        <f t="shared" si="0"/>
        <v>0</v>
      </c>
      <c r="F6" s="238">
        <f t="shared" si="1"/>
        <v>0</v>
      </c>
      <c r="G6" s="465"/>
    </row>
    <row r="7" spans="1:10" ht="15.75">
      <c r="A7" s="82" t="s">
        <v>257</v>
      </c>
      <c r="B7" s="82" t="s">
        <v>258</v>
      </c>
      <c r="C7" s="82" t="s">
        <v>248</v>
      </c>
      <c r="D7" s="82" t="s">
        <v>259</v>
      </c>
      <c r="E7" s="82" t="s">
        <v>260</v>
      </c>
      <c r="F7" s="82" t="s">
        <v>252</v>
      </c>
      <c r="G7" s="466"/>
    </row>
    <row r="8" spans="1:10">
      <c r="A8" s="80" t="s">
        <v>352</v>
      </c>
      <c r="B8" s="238">
        <v>6000</v>
      </c>
      <c r="C8" s="80">
        <v>7</v>
      </c>
      <c r="D8" s="80">
        <v>12</v>
      </c>
      <c r="E8" s="238">
        <f>B8*C8*D8</f>
        <v>504000</v>
      </c>
      <c r="F8" s="541">
        <f>SUM(E8:E16)</f>
        <v>1000000</v>
      </c>
    </row>
    <row r="9" spans="1:10">
      <c r="A9" s="80" t="s">
        <v>353</v>
      </c>
      <c r="B9" s="239">
        <v>12000</v>
      </c>
      <c r="C9" s="86">
        <v>1</v>
      </c>
      <c r="D9" s="80">
        <v>1</v>
      </c>
      <c r="E9" s="238">
        <f>B9*C9*D9</f>
        <v>12000</v>
      </c>
      <c r="F9" s="542"/>
    </row>
    <row r="10" spans="1:10">
      <c r="A10" s="80" t="s">
        <v>354</v>
      </c>
      <c r="B10" s="239">
        <v>10000</v>
      </c>
      <c r="C10" s="86">
        <v>7</v>
      </c>
      <c r="D10" s="80">
        <v>1</v>
      </c>
      <c r="E10" s="239">
        <f>B10*C10*D10</f>
        <v>70000</v>
      </c>
      <c r="F10" s="542"/>
    </row>
    <row r="11" spans="1:10">
      <c r="A11" s="80" t="s">
        <v>355</v>
      </c>
      <c r="B11" s="239">
        <v>6000</v>
      </c>
      <c r="C11" s="86">
        <v>7</v>
      </c>
      <c r="D11" s="80">
        <v>1</v>
      </c>
      <c r="E11" s="239">
        <f>B11*C11*D11</f>
        <v>42000</v>
      </c>
      <c r="F11" s="542"/>
    </row>
    <row r="12" spans="1:10">
      <c r="A12" s="80" t="s">
        <v>356</v>
      </c>
      <c r="B12" s="238">
        <v>35000</v>
      </c>
      <c r="C12" s="80">
        <v>1</v>
      </c>
      <c r="D12" s="80">
        <v>2</v>
      </c>
      <c r="E12" s="239">
        <f t="shared" ref="E12:E15" si="2">B12*C12*D12</f>
        <v>70000</v>
      </c>
      <c r="F12" s="543"/>
    </row>
    <row r="13" spans="1:10">
      <c r="A13" s="86" t="s">
        <v>357</v>
      </c>
      <c r="B13" s="239">
        <v>4500</v>
      </c>
      <c r="C13" s="86">
        <v>1</v>
      </c>
      <c r="D13" s="86">
        <v>12</v>
      </c>
      <c r="E13" s="239">
        <f t="shared" si="2"/>
        <v>54000</v>
      </c>
    </row>
    <row r="14" spans="1:10">
      <c r="A14" s="86" t="s">
        <v>358</v>
      </c>
      <c r="B14" s="239">
        <v>4000</v>
      </c>
      <c r="C14" s="86">
        <v>2</v>
      </c>
      <c r="D14" s="86">
        <v>12</v>
      </c>
      <c r="E14" s="239">
        <f t="shared" si="2"/>
        <v>96000</v>
      </c>
    </row>
    <row r="15" spans="1:10">
      <c r="A15" s="80" t="s">
        <v>359</v>
      </c>
      <c r="B15" s="238">
        <v>80000</v>
      </c>
      <c r="C15" s="80">
        <v>1</v>
      </c>
      <c r="D15" s="80">
        <v>1</v>
      </c>
      <c r="E15" s="238">
        <f t="shared" si="2"/>
        <v>80000</v>
      </c>
    </row>
    <row r="16" spans="1:10">
      <c r="A16" s="80" t="s">
        <v>360</v>
      </c>
      <c r="B16" s="238">
        <v>72000</v>
      </c>
      <c r="C16" s="80">
        <v>1</v>
      </c>
      <c r="D16" s="80">
        <v>1</v>
      </c>
      <c r="E16" s="238">
        <f t="shared" ref="E16" si="3">B16*C16*D16</f>
        <v>72000</v>
      </c>
    </row>
    <row r="21" spans="1:10" ht="18.75">
      <c r="A21" s="460" t="s">
        <v>361</v>
      </c>
      <c r="B21" s="460"/>
      <c r="C21" s="460"/>
      <c r="D21" s="460"/>
      <c r="E21" s="460"/>
      <c r="F21" s="461"/>
      <c r="G21" s="461"/>
      <c r="H21" s="461"/>
      <c r="I21" s="461"/>
      <c r="J21" s="461"/>
    </row>
    <row r="22" spans="1:10" ht="18.75">
      <c r="A22" s="533" t="s">
        <v>245</v>
      </c>
      <c r="B22" s="534"/>
      <c r="C22" s="534"/>
      <c r="D22" s="534"/>
      <c r="E22" s="534"/>
      <c r="F22" s="534"/>
      <c r="G22" s="534"/>
      <c r="H22" s="534"/>
    </row>
    <row r="23" spans="1:10" ht="18.75">
      <c r="A23" s="373" t="s">
        <v>362</v>
      </c>
      <c r="B23" s="539">
        <f>'VENDA DA EMPRESA '!L7</f>
        <v>8091230.3999999994</v>
      </c>
      <c r="C23" s="539"/>
      <c r="D23" s="539"/>
      <c r="E23" s="539"/>
      <c r="F23" s="539"/>
      <c r="G23" s="539"/>
      <c r="H23" s="540"/>
    </row>
    <row r="24" spans="1:10" ht="15.75">
      <c r="A24" s="82" t="s">
        <v>257</v>
      </c>
      <c r="B24" s="82" t="s">
        <v>258</v>
      </c>
      <c r="C24" s="82" t="s">
        <v>248</v>
      </c>
      <c r="D24" s="82" t="s">
        <v>259</v>
      </c>
      <c r="E24" s="376" t="s">
        <v>260</v>
      </c>
      <c r="F24" s="376" t="s">
        <v>363</v>
      </c>
      <c r="G24" s="372" t="s">
        <v>364</v>
      </c>
    </row>
    <row r="25" spans="1:10">
      <c r="A25" s="80" t="s">
        <v>365</v>
      </c>
      <c r="B25" s="238">
        <v>6000</v>
      </c>
      <c r="C25" s="80">
        <v>1</v>
      </c>
      <c r="D25" s="374">
        <v>12</v>
      </c>
      <c r="E25" s="240">
        <f>C25*D25*B25</f>
        <v>72000</v>
      </c>
      <c r="F25" s="538">
        <f>SUM(E25:E32)</f>
        <v>2314000</v>
      </c>
      <c r="G25" s="535">
        <f>B23-F25</f>
        <v>5777230.3999999994</v>
      </c>
    </row>
    <row r="26" spans="1:10">
      <c r="A26" s="80" t="s">
        <v>366</v>
      </c>
      <c r="B26" s="239">
        <v>12000</v>
      </c>
      <c r="C26" s="86">
        <v>1</v>
      </c>
      <c r="D26" s="374">
        <v>1</v>
      </c>
      <c r="E26" s="240">
        <f>B26*C26*D26</f>
        <v>12000</v>
      </c>
      <c r="F26" s="538"/>
      <c r="G26" s="536"/>
    </row>
    <row r="27" spans="1:10">
      <c r="A27" s="80" t="s">
        <v>356</v>
      </c>
      <c r="B27" s="238">
        <v>35000</v>
      </c>
      <c r="C27" s="80">
        <v>1</v>
      </c>
      <c r="D27" s="374">
        <v>2</v>
      </c>
      <c r="E27" s="240">
        <f t="shared" ref="E27:E31" si="4">B27*C27*D27</f>
        <v>70000</v>
      </c>
      <c r="F27" s="538"/>
      <c r="G27" s="536"/>
    </row>
    <row r="28" spans="1:10">
      <c r="A28" s="86" t="s">
        <v>357</v>
      </c>
      <c r="B28" s="239">
        <v>4500</v>
      </c>
      <c r="C28" s="86">
        <v>1</v>
      </c>
      <c r="D28" s="375">
        <v>12</v>
      </c>
      <c r="E28" s="240">
        <f t="shared" si="4"/>
        <v>54000</v>
      </c>
      <c r="F28" s="538"/>
      <c r="G28" s="537"/>
    </row>
    <row r="29" spans="1:10">
      <c r="A29" s="86" t="s">
        <v>358</v>
      </c>
      <c r="B29" s="239">
        <v>4000</v>
      </c>
      <c r="C29" s="86">
        <v>2</v>
      </c>
      <c r="D29" s="375">
        <v>12</v>
      </c>
      <c r="E29" s="240">
        <f t="shared" si="4"/>
        <v>96000</v>
      </c>
      <c r="F29" s="538"/>
    </row>
    <row r="30" spans="1:10">
      <c r="A30" s="80" t="s">
        <v>367</v>
      </c>
      <c r="B30" s="238">
        <v>50000</v>
      </c>
      <c r="C30" s="80">
        <v>1</v>
      </c>
      <c r="D30" s="374">
        <v>1</v>
      </c>
      <c r="E30" s="238">
        <f t="shared" si="4"/>
        <v>50000</v>
      </c>
    </row>
    <row r="31" spans="1:10">
      <c r="A31" s="80" t="s">
        <v>368</v>
      </c>
      <c r="B31" s="238">
        <v>40000</v>
      </c>
      <c r="C31" s="80">
        <v>1</v>
      </c>
      <c r="D31" s="374">
        <v>1</v>
      </c>
      <c r="E31" s="238">
        <f t="shared" si="4"/>
        <v>40000</v>
      </c>
    </row>
    <row r="32" spans="1:10">
      <c r="A32" s="80" t="s">
        <v>352</v>
      </c>
      <c r="B32" s="238">
        <v>20000</v>
      </c>
      <c r="C32" s="80">
        <v>8</v>
      </c>
      <c r="D32" s="374">
        <v>12</v>
      </c>
      <c r="E32" s="238">
        <f>B32*C32*D32</f>
        <v>1920000</v>
      </c>
    </row>
  </sheetData>
  <mergeCells count="9">
    <mergeCell ref="A22:H22"/>
    <mergeCell ref="G25:G28"/>
    <mergeCell ref="F25:F29"/>
    <mergeCell ref="B23:H23"/>
    <mergeCell ref="A1:J1"/>
    <mergeCell ref="G4:G7"/>
    <mergeCell ref="F8:F12"/>
    <mergeCell ref="A2:H2"/>
    <mergeCell ref="A21:J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2E16-07B5-494A-9C58-BCC3E45D865B}">
  <dimension ref="A1:O56"/>
  <sheetViews>
    <sheetView topLeftCell="B1" workbookViewId="0">
      <selection activeCell="K16" sqref="K16"/>
    </sheetView>
  </sheetViews>
  <sheetFormatPr defaultRowHeight="15"/>
  <cols>
    <col min="1" max="1" width="41.42578125" style="186" bestFit="1" customWidth="1"/>
    <col min="2" max="2" width="48.7109375" style="186" customWidth="1"/>
    <col min="3" max="3" width="20.140625" style="186" bestFit="1" customWidth="1"/>
    <col min="4" max="4" width="27.85546875" style="186" bestFit="1" customWidth="1"/>
    <col min="5" max="5" width="17.5703125" style="186" customWidth="1"/>
    <col min="6" max="6" width="31.5703125" style="186" hidden="1" customWidth="1"/>
    <col min="7" max="7" width="0.42578125" style="186" customWidth="1"/>
    <col min="8" max="8" width="29.85546875" style="186" bestFit="1" customWidth="1"/>
    <col min="9" max="9" width="34.140625" style="186" customWidth="1"/>
    <col min="10" max="10" width="21.85546875" style="186" customWidth="1"/>
    <col min="11" max="11" width="34.28515625" style="186" bestFit="1" customWidth="1"/>
    <col min="12" max="12" width="23.42578125" style="186" customWidth="1"/>
    <col min="13" max="13" width="43" style="186" bestFit="1" customWidth="1"/>
    <col min="14" max="14" width="18" style="186" customWidth="1"/>
    <col min="15" max="15" width="34.85546875" style="186" bestFit="1" customWidth="1"/>
    <col min="16" max="17" width="28.140625" style="186" bestFit="1" customWidth="1"/>
    <col min="18" max="16384" width="9.140625" style="186"/>
  </cols>
  <sheetData>
    <row r="1" spans="1:15" customFormat="1" ht="21">
      <c r="A1" s="518" t="s">
        <v>334</v>
      </c>
      <c r="B1" s="519"/>
      <c r="C1" s="519"/>
      <c r="D1" s="519"/>
      <c r="E1" s="520"/>
      <c r="F1" s="520"/>
      <c r="G1" s="520"/>
      <c r="H1" s="520"/>
      <c r="I1" s="520"/>
      <c r="J1" s="520"/>
      <c r="K1" s="520"/>
      <c r="L1" s="520"/>
      <c r="M1" s="520"/>
      <c r="N1" s="521"/>
    </row>
    <row r="2" spans="1:15" s="333" customFormat="1" ht="15.75">
      <c r="A2" s="358" t="s">
        <v>335</v>
      </c>
      <c r="B2" s="359" t="s">
        <v>336</v>
      </c>
      <c r="C2" s="360" t="s">
        <v>337</v>
      </c>
      <c r="D2" s="361" t="s">
        <v>338</v>
      </c>
      <c r="E2" s="280"/>
      <c r="F2" s="280"/>
      <c r="G2" s="280"/>
      <c r="H2" s="280"/>
      <c r="I2" s="280"/>
      <c r="J2" s="280"/>
      <c r="K2" s="280"/>
      <c r="L2" s="280"/>
      <c r="M2" s="280"/>
      <c r="N2" s="280"/>
    </row>
    <row r="3" spans="1:15">
      <c r="A3" s="354" t="s">
        <v>339</v>
      </c>
      <c r="B3" s="355">
        <v>0.2</v>
      </c>
      <c r="C3" s="356">
        <f>Planilha1!H4</f>
        <v>1000000</v>
      </c>
      <c r="D3" s="488">
        <f>F6</f>
        <v>6239310</v>
      </c>
      <c r="E3" s="280"/>
      <c r="F3" s="280"/>
      <c r="G3" s="280"/>
      <c r="H3" s="280"/>
      <c r="I3" s="280"/>
      <c r="J3" s="280"/>
      <c r="K3" s="280"/>
      <c r="L3" s="280"/>
      <c r="M3" s="280"/>
      <c r="N3" s="280"/>
    </row>
    <row r="4" spans="1:15">
      <c r="A4" s="388" t="s">
        <v>340</v>
      </c>
      <c r="B4" s="345">
        <v>0.2</v>
      </c>
      <c r="C4" s="346">
        <f>C3</f>
        <v>1000000</v>
      </c>
      <c r="D4" s="522"/>
      <c r="E4" s="280"/>
      <c r="F4" s="280"/>
      <c r="G4" s="280"/>
      <c r="H4" s="280"/>
      <c r="I4" s="280"/>
      <c r="J4" s="280"/>
      <c r="K4" s="280"/>
      <c r="L4" s="280"/>
      <c r="M4" s="280"/>
      <c r="N4" s="280"/>
    </row>
    <row r="5" spans="1:15" ht="15.75">
      <c r="A5" s="349" t="s">
        <v>341</v>
      </c>
      <c r="B5" s="350" t="s">
        <v>342</v>
      </c>
      <c r="C5" s="350" t="s">
        <v>343</v>
      </c>
      <c r="D5" s="351" t="str">
        <f>B2</f>
        <v>PORCENTAGEM</v>
      </c>
      <c r="E5" s="352" t="s">
        <v>344</v>
      </c>
      <c r="F5" s="357" t="s">
        <v>345</v>
      </c>
      <c r="G5" s="357" t="s">
        <v>345</v>
      </c>
      <c r="H5" s="353" t="s">
        <v>345</v>
      </c>
      <c r="I5" s="530" t="s">
        <v>346</v>
      </c>
      <c r="J5" s="531"/>
      <c r="K5" s="530" t="s">
        <v>346</v>
      </c>
      <c r="L5" s="532"/>
      <c r="M5" s="530" t="s">
        <v>346</v>
      </c>
      <c r="N5" s="532"/>
      <c r="O5" s="523" t="s">
        <v>321</v>
      </c>
    </row>
    <row r="6" spans="1:15">
      <c r="A6" s="347" t="str">
        <f>'CALCULO DA MAQUINAS '!A7</f>
        <v>Antminer L7 (9.5Gh)</v>
      </c>
      <c r="B6" s="348">
        <v>1</v>
      </c>
      <c r="C6" s="348">
        <v>1</v>
      </c>
      <c r="D6" s="389">
        <f>'CALCULO DA MAQUINAS '!H7</f>
        <v>5392750</v>
      </c>
      <c r="E6" s="389">
        <f>C6*D6</f>
        <v>5392750</v>
      </c>
      <c r="F6" s="527">
        <f>E6+E8+E9+E10+E11</f>
        <v>6239310</v>
      </c>
      <c r="G6" s="528">
        <f>SUM(E6:E10)</f>
        <v>11285500</v>
      </c>
      <c r="H6" s="341" t="s">
        <v>338</v>
      </c>
      <c r="I6" s="342" t="s">
        <v>347</v>
      </c>
      <c r="J6" s="343" t="s">
        <v>324</v>
      </c>
      <c r="K6" s="340" t="s">
        <v>325</v>
      </c>
      <c r="L6" s="343" t="s">
        <v>324</v>
      </c>
      <c r="M6" s="340" t="s">
        <v>326</v>
      </c>
      <c r="N6" s="344" t="s">
        <v>324</v>
      </c>
      <c r="O6" s="524"/>
    </row>
    <row r="7" spans="1:15">
      <c r="A7" s="316" t="s">
        <v>327</v>
      </c>
      <c r="B7" s="248">
        <v>2</v>
      </c>
      <c r="C7" s="248">
        <v>1</v>
      </c>
      <c r="D7" s="381">
        <f>D6</f>
        <v>5392750</v>
      </c>
      <c r="E7" s="381">
        <f t="shared" ref="E7:E11" si="0">C7*D7</f>
        <v>5392750</v>
      </c>
      <c r="F7" s="490"/>
      <c r="G7" s="529"/>
      <c r="H7" s="320">
        <f>F6</f>
        <v>6239310</v>
      </c>
      <c r="I7" s="290">
        <f>'CALCULO DA MAQUINAS '!O7/'CALCULO DA MAQUINAS '!Q8</f>
        <v>107026.85714285714</v>
      </c>
      <c r="J7" s="291">
        <f>I7*$O$8</f>
        <v>674269.2</v>
      </c>
      <c r="K7" s="290">
        <f>I7*12</f>
        <v>1284322.2857142857</v>
      </c>
      <c r="L7" s="291">
        <f>K7*$O$8</f>
        <v>8091230.3999999994</v>
      </c>
      <c r="M7" s="290">
        <f>I7*36</f>
        <v>3852966.8571428573</v>
      </c>
      <c r="N7" s="291">
        <f>M7*$O$8</f>
        <v>24273691.199999999</v>
      </c>
      <c r="O7" s="338">
        <f ca="1">TODAY()</f>
        <v>44466</v>
      </c>
    </row>
    <row r="8" spans="1:15">
      <c r="A8" s="316" t="s">
        <v>328</v>
      </c>
      <c r="B8" s="248">
        <v>3</v>
      </c>
      <c r="C8" s="248">
        <v>1</v>
      </c>
      <c r="D8" s="381">
        <v>150000</v>
      </c>
      <c r="E8" s="381">
        <f t="shared" si="0"/>
        <v>150000</v>
      </c>
      <c r="F8" s="490"/>
      <c r="G8" s="529"/>
      <c r="H8" s="317" t="s">
        <v>338</v>
      </c>
      <c r="I8" s="339" t="s">
        <v>347</v>
      </c>
      <c r="J8" s="318" t="s">
        <v>324</v>
      </c>
      <c r="K8" s="340" t="s">
        <v>325</v>
      </c>
      <c r="L8" s="318" t="s">
        <v>324</v>
      </c>
      <c r="M8" s="319" t="s">
        <v>331</v>
      </c>
      <c r="N8" s="336" t="s">
        <v>324</v>
      </c>
      <c r="O8" s="525">
        <f>'CALCULO DA MAQUINAS '!Q8</f>
        <v>6.3</v>
      </c>
    </row>
    <row r="9" spans="1:15">
      <c r="A9" s="316" t="s">
        <v>332</v>
      </c>
      <c r="B9" s="248">
        <v>4</v>
      </c>
      <c r="C9" s="248">
        <v>1</v>
      </c>
      <c r="D9" s="381">
        <v>50000</v>
      </c>
      <c r="E9" s="381">
        <f t="shared" si="0"/>
        <v>50000</v>
      </c>
      <c r="F9" s="490"/>
      <c r="G9" s="529"/>
      <c r="H9" s="320">
        <f>G6</f>
        <v>11285500</v>
      </c>
      <c r="I9" s="290">
        <f>'CALCULO DA MAQUINAS '!K7</f>
        <v>132000</v>
      </c>
      <c r="J9" s="291">
        <f>I9*$O$8</f>
        <v>831600</v>
      </c>
      <c r="K9" s="290">
        <f>I9*12</f>
        <v>1584000</v>
      </c>
      <c r="L9" s="291">
        <f>K9*$O$8</f>
        <v>9979200</v>
      </c>
      <c r="M9" s="290">
        <f>I9*36</f>
        <v>4752000</v>
      </c>
      <c r="N9" s="291">
        <f>M9*$O$8</f>
        <v>29937600</v>
      </c>
      <c r="O9" s="526"/>
    </row>
    <row r="10" spans="1:15">
      <c r="A10" s="362" t="s">
        <v>333</v>
      </c>
      <c r="B10" s="248">
        <v>5</v>
      </c>
      <c r="C10" s="248">
        <v>12</v>
      </c>
      <c r="D10" s="381">
        <v>25000</v>
      </c>
      <c r="E10" s="381">
        <f t="shared" si="0"/>
        <v>300000</v>
      </c>
      <c r="F10" s="490"/>
      <c r="G10" s="529"/>
      <c r="H10" s="322"/>
      <c r="I10" s="322"/>
      <c r="J10" s="322"/>
      <c r="K10" s="322"/>
      <c r="L10" s="322"/>
      <c r="M10" s="322"/>
      <c r="N10" s="322"/>
    </row>
    <row r="11" spans="1:15">
      <c r="A11" s="321" t="s">
        <v>348</v>
      </c>
      <c r="B11" s="363">
        <v>6</v>
      </c>
      <c r="C11" s="248">
        <v>12</v>
      </c>
      <c r="D11" s="381">
        <v>28880</v>
      </c>
      <c r="E11" s="381">
        <f t="shared" si="0"/>
        <v>346560</v>
      </c>
    </row>
    <row r="14" spans="1:15">
      <c r="B14" s="364" t="s">
        <v>369</v>
      </c>
      <c r="C14" s="388" t="s">
        <v>370</v>
      </c>
    </row>
    <row r="15" spans="1:15">
      <c r="A15" s="364" t="s">
        <v>371</v>
      </c>
      <c r="B15" s="366" t="str">
        <f>I5</f>
        <v>DIVIDENDOS AO MES (PRODUÇAO DA MAQUINA)</v>
      </c>
      <c r="C15" s="388" t="s">
        <v>372</v>
      </c>
    </row>
    <row r="16" spans="1:15">
      <c r="A16" s="365">
        <v>30</v>
      </c>
      <c r="B16" s="335">
        <f>(L7*$A$16)/100</f>
        <v>2427369.1199999996</v>
      </c>
      <c r="C16" s="335">
        <f>(N7*$A$16)/100</f>
        <v>7282107.3600000003</v>
      </c>
    </row>
    <row r="25" spans="1:14" customFormat="1"/>
    <row r="26" spans="1:14" customFormat="1"/>
    <row r="27" spans="1:14" customFormat="1">
      <c r="A27" s="186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</row>
    <row r="28" spans="1:14" customFormat="1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</row>
    <row r="29" spans="1:14" customFormat="1">
      <c r="A29" s="186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</row>
    <row r="30" spans="1:14" customForma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</row>
    <row r="31" spans="1:14" customForma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</row>
    <row r="32" spans="1:14" customFormat="1">
      <c r="A32" s="186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</row>
    <row r="33" spans="1:14" customFormat="1">
      <c r="A33" s="186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</row>
    <row r="50" customFormat="1"/>
    <row r="51" customFormat="1"/>
    <row r="52" customFormat="1"/>
    <row r="53" customFormat="1"/>
    <row r="54" customFormat="1"/>
    <row r="55" customFormat="1"/>
    <row r="56" customFormat="1"/>
  </sheetData>
  <mergeCells count="9">
    <mergeCell ref="O5:O6"/>
    <mergeCell ref="F6:F10"/>
    <mergeCell ref="G6:G10"/>
    <mergeCell ref="O8:O9"/>
    <mergeCell ref="A1:N1"/>
    <mergeCell ref="D3:D4"/>
    <mergeCell ref="I5:J5"/>
    <mergeCell ref="K5:L5"/>
    <mergeCell ref="M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FE06-85EF-43BB-B55A-8E8E9BC92002}">
  <dimension ref="A1:U973"/>
  <sheetViews>
    <sheetView tabSelected="1" topLeftCell="F4" workbookViewId="0">
      <selection activeCell="I16" sqref="I16"/>
    </sheetView>
  </sheetViews>
  <sheetFormatPr defaultColWidth="14.42578125" defaultRowHeight="15"/>
  <cols>
    <col min="1" max="1" width="40.42578125" bestFit="1" customWidth="1"/>
    <col min="2" max="2" width="40.42578125" customWidth="1"/>
    <col min="3" max="3" width="37.85546875" customWidth="1"/>
    <col min="4" max="4" width="11.5703125" customWidth="1"/>
    <col min="5" max="5" width="14.42578125" customWidth="1"/>
    <col min="6" max="6" width="16.7109375" customWidth="1"/>
    <col min="7" max="7" width="12.28515625" customWidth="1"/>
    <col min="8" max="8" width="15.42578125" bestFit="1" customWidth="1"/>
    <col min="9" max="11" width="12.7109375" customWidth="1"/>
    <col min="12" max="12" width="14" customWidth="1"/>
    <col min="13" max="13" width="15.7109375" customWidth="1"/>
    <col min="14" max="14" width="15.42578125" bestFit="1" customWidth="1"/>
    <col min="15" max="15" width="15.7109375" bestFit="1" customWidth="1"/>
    <col min="16" max="16" width="13.7109375" customWidth="1"/>
    <col min="17" max="17" width="23.140625" bestFit="1" customWidth="1"/>
    <col min="18" max="18" width="21.85546875" hidden="1" customWidth="1"/>
    <col min="19" max="20" width="16.42578125" bestFit="1" customWidth="1"/>
  </cols>
  <sheetData>
    <row r="1" spans="1:21" ht="23.25" customHeight="1">
      <c r="A1" s="395" t="s">
        <v>12</v>
      </c>
      <c r="B1" s="395"/>
      <c r="C1" s="395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147"/>
      <c r="R1" s="147"/>
    </row>
    <row r="2" spans="1:21" ht="15.75" customHeight="1">
      <c r="A2" s="397" t="s">
        <v>13</v>
      </c>
      <c r="B2" s="399" t="s">
        <v>14</v>
      </c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147"/>
      <c r="R2" s="147"/>
    </row>
    <row r="3" spans="1:21" ht="75">
      <c r="A3" s="398"/>
      <c r="B3" s="148" t="s">
        <v>15</v>
      </c>
      <c r="C3" s="149" t="s">
        <v>16</v>
      </c>
      <c r="D3" s="150" t="s">
        <v>17</v>
      </c>
      <c r="E3" s="151" t="s">
        <v>18</v>
      </c>
      <c r="F3" s="151" t="s">
        <v>19</v>
      </c>
      <c r="G3" s="152" t="s">
        <v>20</v>
      </c>
      <c r="H3" s="151" t="s">
        <v>21</v>
      </c>
      <c r="I3" s="150" t="s">
        <v>22</v>
      </c>
      <c r="J3" s="150" t="s">
        <v>23</v>
      </c>
      <c r="K3" s="150" t="s">
        <v>24</v>
      </c>
      <c r="L3" s="150" t="s">
        <v>25</v>
      </c>
      <c r="M3" s="150" t="s">
        <v>26</v>
      </c>
      <c r="N3" s="150" t="s">
        <v>27</v>
      </c>
      <c r="O3" s="181" t="s">
        <v>28</v>
      </c>
      <c r="P3" s="325" t="s">
        <v>29</v>
      </c>
      <c r="Q3" s="324" t="s">
        <v>30</v>
      </c>
      <c r="R3" s="147">
        <f>24*30</f>
        <v>720</v>
      </c>
    </row>
    <row r="4" spans="1:21" ht="18.75">
      <c r="A4" s="153" t="s">
        <v>31</v>
      </c>
      <c r="B4" s="251" t="s">
        <v>32</v>
      </c>
      <c r="C4" s="252" t="s">
        <v>33</v>
      </c>
      <c r="D4" s="253">
        <v>2.1</v>
      </c>
      <c r="E4" s="154">
        <v>9000</v>
      </c>
      <c r="F4" s="254">
        <f>E4*$Q$5</f>
        <v>47700</v>
      </c>
      <c r="G4" s="155">
        <v>6</v>
      </c>
      <c r="H4" s="254">
        <f t="shared" ref="H4:H20" si="0">F4*G4</f>
        <v>286200</v>
      </c>
      <c r="I4" s="256">
        <v>20</v>
      </c>
      <c r="J4" s="267">
        <f t="shared" ref="J4:J29" si="1">I4*G4</f>
        <v>120</v>
      </c>
      <c r="K4" s="267">
        <f>J4*$Q$10</f>
        <v>3600</v>
      </c>
      <c r="L4" s="315">
        <f>J4*$Q$8</f>
        <v>756</v>
      </c>
      <c r="M4" s="254">
        <f>L4*$Q$10</f>
        <v>22680</v>
      </c>
      <c r="N4" s="255">
        <f>D4*$R$3*$Q$11*G4</f>
        <v>10523.519999999999</v>
      </c>
      <c r="O4" s="182">
        <f t="shared" ref="O4:O29" si="2">M4-N4</f>
        <v>12156.480000000001</v>
      </c>
      <c r="P4" s="323">
        <f t="shared" ref="P4:P11" si="3">(H4/O4)+2</f>
        <v>25.542999289267943</v>
      </c>
      <c r="Q4" s="332">
        <f ca="1">TODAY()</f>
        <v>44466</v>
      </c>
      <c r="R4" s="157"/>
    </row>
    <row r="5" spans="1:21" ht="18.75">
      <c r="A5" s="153" t="s">
        <v>31</v>
      </c>
      <c r="B5" s="251" t="s">
        <v>32</v>
      </c>
      <c r="C5" s="252" t="s">
        <v>33</v>
      </c>
      <c r="D5" s="253">
        <v>2.1</v>
      </c>
      <c r="E5" s="154">
        <v>9000</v>
      </c>
      <c r="F5" s="254">
        <f>E5*$Q$5</f>
        <v>47700</v>
      </c>
      <c r="G5" s="155">
        <v>5</v>
      </c>
      <c r="H5" s="254">
        <f t="shared" ref="H5:H6" si="4">F5*G5</f>
        <v>238500</v>
      </c>
      <c r="I5" s="256">
        <v>18</v>
      </c>
      <c r="J5" s="267">
        <f t="shared" ref="J5:J6" si="5">I5*G5</f>
        <v>90</v>
      </c>
      <c r="K5" s="267">
        <f>J5*$Q$10</f>
        <v>2700</v>
      </c>
      <c r="L5" s="315">
        <f>J5*$Q$8</f>
        <v>567</v>
      </c>
      <c r="M5" s="254">
        <f>L5*$Q$10</f>
        <v>17010</v>
      </c>
      <c r="N5" s="255">
        <f>D5*$R$3*$Q$11*G5</f>
        <v>8769.5999999999985</v>
      </c>
      <c r="O5" s="182">
        <f t="shared" ref="O5:O6" si="6">M5-N5</f>
        <v>8240.4000000000015</v>
      </c>
      <c r="P5" s="323">
        <f t="shared" ref="P5:P6" si="7">(H5/O5)+2</f>
        <v>30.942769768457836</v>
      </c>
      <c r="Q5" s="327">
        <v>5.3</v>
      </c>
      <c r="R5" s="157"/>
    </row>
    <row r="6" spans="1:21" ht="18.75">
      <c r="A6" s="153" t="s">
        <v>31</v>
      </c>
      <c r="B6" s="251" t="s">
        <v>32</v>
      </c>
      <c r="C6" s="252" t="s">
        <v>33</v>
      </c>
      <c r="D6" s="253">
        <v>2.1</v>
      </c>
      <c r="E6" s="154">
        <v>9000</v>
      </c>
      <c r="F6" s="254">
        <f>E6*$Q$5</f>
        <v>47700</v>
      </c>
      <c r="G6" s="155">
        <v>4</v>
      </c>
      <c r="H6" s="254">
        <f t="shared" si="4"/>
        <v>190800</v>
      </c>
      <c r="I6" s="256">
        <v>15</v>
      </c>
      <c r="J6" s="267">
        <f t="shared" si="5"/>
        <v>60</v>
      </c>
      <c r="K6" s="267">
        <f>J6*$Q$10</f>
        <v>1800</v>
      </c>
      <c r="L6" s="315">
        <f>J6*$Q$8</f>
        <v>378</v>
      </c>
      <c r="M6" s="254">
        <f>L6*$Q$10</f>
        <v>11340</v>
      </c>
      <c r="N6" s="255">
        <f>D6*$R$3*$Q$11*G6</f>
        <v>7015.6799999999994</v>
      </c>
      <c r="O6" s="182">
        <f t="shared" si="6"/>
        <v>4324.3200000000006</v>
      </c>
      <c r="P6" s="323">
        <f t="shared" si="7"/>
        <v>46.122544122544113</v>
      </c>
      <c r="Q6" s="326" t="s">
        <v>34</v>
      </c>
      <c r="R6" s="157"/>
    </row>
    <row r="7" spans="1:21" ht="18.75">
      <c r="A7" s="198" t="s">
        <v>35</v>
      </c>
      <c r="B7" s="257" t="s">
        <v>32</v>
      </c>
      <c r="C7" s="258" t="s">
        <v>33</v>
      </c>
      <c r="D7" s="259">
        <v>3.4249999999999998</v>
      </c>
      <c r="E7" s="154">
        <v>18500</v>
      </c>
      <c r="F7" s="260">
        <f>E7*$Q$5</f>
        <v>98050</v>
      </c>
      <c r="G7" s="155">
        <v>55</v>
      </c>
      <c r="H7" s="260">
        <f t="shared" si="0"/>
        <v>5392750</v>
      </c>
      <c r="I7" s="256">
        <v>80</v>
      </c>
      <c r="J7" s="268">
        <f>I7*G7</f>
        <v>4400</v>
      </c>
      <c r="K7" s="268">
        <f>J7*$Q$10</f>
        <v>132000</v>
      </c>
      <c r="L7" s="270">
        <f>J7*$Q$8</f>
        <v>27720</v>
      </c>
      <c r="M7" s="260">
        <f>L7*$Q$10</f>
        <v>831600</v>
      </c>
      <c r="N7" s="261">
        <f>D7*$R$3*$Q$11*G7</f>
        <v>157330.79999999999</v>
      </c>
      <c r="O7" s="182">
        <f t="shared" si="2"/>
        <v>674269.2</v>
      </c>
      <c r="P7" s="323">
        <f t="shared" si="3"/>
        <v>9.9979183388474517</v>
      </c>
      <c r="Q7" s="332">
        <f ca="1">TODAY()</f>
        <v>44466</v>
      </c>
      <c r="R7" s="157"/>
      <c r="S7" s="250"/>
      <c r="T7" s="314"/>
    </row>
    <row r="8" spans="1:21" ht="18.75">
      <c r="A8" s="198" t="s">
        <v>35</v>
      </c>
      <c r="B8" s="257" t="s">
        <v>32</v>
      </c>
      <c r="C8" s="258" t="s">
        <v>33</v>
      </c>
      <c r="D8" s="259">
        <v>3.4249999999999998</v>
      </c>
      <c r="E8" s="154">
        <v>18000</v>
      </c>
      <c r="F8" s="260">
        <f>E8*$Q$5</f>
        <v>95400</v>
      </c>
      <c r="G8" s="155">
        <v>6</v>
      </c>
      <c r="H8" s="260">
        <f t="shared" ref="H8:H9" si="8">F8*G8</f>
        <v>572400</v>
      </c>
      <c r="I8" s="256">
        <v>80</v>
      </c>
      <c r="J8" s="268">
        <f t="shared" ref="J8:J9" si="9">I8*G8</f>
        <v>480</v>
      </c>
      <c r="K8" s="268">
        <f>J8*$Q$10</f>
        <v>14400</v>
      </c>
      <c r="L8" s="270">
        <f>J8*$Q$8</f>
        <v>3024</v>
      </c>
      <c r="M8" s="260">
        <f>L8*$Q$10</f>
        <v>90720</v>
      </c>
      <c r="N8" s="261">
        <f>D8*$R$3*$Q$11*G8</f>
        <v>17163.36</v>
      </c>
      <c r="O8" s="182">
        <f t="shared" ref="O8:O9" si="10">M8-N8</f>
        <v>73556.639999999999</v>
      </c>
      <c r="P8" s="323">
        <f t="shared" ref="P8:P9" si="11">(H8/O8)+2</f>
        <v>9.7817583837434654</v>
      </c>
      <c r="Q8" s="329">
        <v>6.3</v>
      </c>
      <c r="R8" s="157"/>
      <c r="T8" s="314"/>
    </row>
    <row r="9" spans="1:21" ht="18.75">
      <c r="A9" s="198" t="s">
        <v>35</v>
      </c>
      <c r="B9" s="257" t="s">
        <v>32</v>
      </c>
      <c r="C9" s="258" t="s">
        <v>33</v>
      </c>
      <c r="D9" s="259">
        <v>3.4249999999999998</v>
      </c>
      <c r="E9" s="154">
        <v>18200</v>
      </c>
      <c r="F9" s="260">
        <f>E9*$Q$5</f>
        <v>96460</v>
      </c>
      <c r="G9" s="155">
        <v>5</v>
      </c>
      <c r="H9" s="260">
        <f t="shared" si="8"/>
        <v>482300</v>
      </c>
      <c r="I9" s="256">
        <v>65</v>
      </c>
      <c r="J9" s="268">
        <f>I9*G9</f>
        <v>325</v>
      </c>
      <c r="K9" s="268">
        <f>J9*$Q$10</f>
        <v>9750</v>
      </c>
      <c r="L9" s="270">
        <f>J9*$Q$8</f>
        <v>2047.5</v>
      </c>
      <c r="M9" s="260">
        <f>L9*$Q$10</f>
        <v>61425</v>
      </c>
      <c r="N9" s="261">
        <f>D9*$R$3*$Q$11*G9</f>
        <v>14302.8</v>
      </c>
      <c r="O9" s="182">
        <f t="shared" si="10"/>
        <v>47122.2</v>
      </c>
      <c r="P9" s="323">
        <f t="shared" si="11"/>
        <v>12.235090891342086</v>
      </c>
      <c r="Q9" s="328" t="s">
        <v>36</v>
      </c>
      <c r="R9" s="157"/>
    </row>
    <row r="10" spans="1:21" ht="18.75">
      <c r="A10" s="197" t="s">
        <v>37</v>
      </c>
      <c r="B10" s="251" t="s">
        <v>32</v>
      </c>
      <c r="C10" s="262" t="s">
        <v>33</v>
      </c>
      <c r="D10" s="263">
        <v>0.8</v>
      </c>
      <c r="E10" s="154">
        <v>3875.97</v>
      </c>
      <c r="F10" s="264">
        <f>E10*$Q$5</f>
        <v>20542.641</v>
      </c>
      <c r="G10" s="155">
        <v>10</v>
      </c>
      <c r="H10" s="264">
        <f t="shared" si="0"/>
        <v>205426.41</v>
      </c>
      <c r="I10" s="256">
        <v>5</v>
      </c>
      <c r="J10" s="269">
        <f t="shared" si="1"/>
        <v>50</v>
      </c>
      <c r="K10" s="267">
        <f>J10*$Q$10</f>
        <v>1500</v>
      </c>
      <c r="L10" s="315">
        <f>J10*$Q$8</f>
        <v>315</v>
      </c>
      <c r="M10" s="264">
        <f>L10*$Q$10</f>
        <v>9450</v>
      </c>
      <c r="N10" s="265">
        <f>D10*$R$3*$Q$11*G10</f>
        <v>6681.5999999999995</v>
      </c>
      <c r="O10" s="182">
        <f t="shared" si="2"/>
        <v>2768.4000000000005</v>
      </c>
      <c r="P10" s="323">
        <f>(H10/O10)+2</f>
        <v>76.204020372778487</v>
      </c>
      <c r="Q10" s="331">
        <v>30</v>
      </c>
      <c r="R10" s="157"/>
      <c r="T10" s="314"/>
    </row>
    <row r="11" spans="1:21" ht="18.75">
      <c r="A11" s="197" t="s">
        <v>37</v>
      </c>
      <c r="B11" s="251" t="s">
        <v>32</v>
      </c>
      <c r="C11" s="262" t="s">
        <v>33</v>
      </c>
      <c r="D11" s="263">
        <v>0.8</v>
      </c>
      <c r="E11" s="154">
        <v>3875.97</v>
      </c>
      <c r="F11" s="264">
        <f>E11*$Q$5</f>
        <v>20542.641</v>
      </c>
      <c r="G11" s="155">
        <v>10</v>
      </c>
      <c r="H11" s="264">
        <f t="shared" ref="H11:H12" si="12">F11*G11</f>
        <v>205426.41</v>
      </c>
      <c r="I11" s="256">
        <v>4.5</v>
      </c>
      <c r="J11" s="269">
        <f t="shared" ref="J11:J12" si="13">I11*G11</f>
        <v>45</v>
      </c>
      <c r="K11" s="267">
        <f>J11*$Q$10</f>
        <v>1350</v>
      </c>
      <c r="L11" s="315">
        <f>J11*$Q$8</f>
        <v>283.5</v>
      </c>
      <c r="M11" s="264">
        <f>L11*$Q$10</f>
        <v>8505</v>
      </c>
      <c r="N11" s="265">
        <f>D11*$R$3*$Q$11*G11</f>
        <v>6681.5999999999995</v>
      </c>
      <c r="O11" s="182">
        <f t="shared" ref="O11:O12" si="14">M11-N11</f>
        <v>1823.4000000000005</v>
      </c>
      <c r="P11" s="323">
        <f t="shared" ref="P11:P12" si="15">(H11/O11)+2</f>
        <v>114.66118789075351</v>
      </c>
      <c r="Q11" s="330">
        <v>1.1599999999999999</v>
      </c>
      <c r="R11" s="157"/>
      <c r="T11" s="314"/>
    </row>
    <row r="12" spans="1:21" ht="18.75">
      <c r="A12" s="197" t="s">
        <v>37</v>
      </c>
      <c r="B12" s="251" t="s">
        <v>32</v>
      </c>
      <c r="C12" s="262" t="s">
        <v>33</v>
      </c>
      <c r="D12" s="263">
        <v>0.8</v>
      </c>
      <c r="E12" s="154">
        <v>3875.97</v>
      </c>
      <c r="F12" s="264">
        <f>E12*$Q$5</f>
        <v>20542.641</v>
      </c>
      <c r="G12" s="155">
        <v>10</v>
      </c>
      <c r="H12" s="264">
        <f t="shared" si="12"/>
        <v>205426.41</v>
      </c>
      <c r="I12" s="256">
        <v>4</v>
      </c>
      <c r="J12" s="269">
        <f t="shared" si="13"/>
        <v>40</v>
      </c>
      <c r="K12" s="267">
        <f>J12*$Q$10</f>
        <v>1200</v>
      </c>
      <c r="L12" s="315">
        <f>J12*$Q$8</f>
        <v>252</v>
      </c>
      <c r="M12" s="264">
        <f>L12*$Q$10</f>
        <v>7560</v>
      </c>
      <c r="N12" s="265">
        <f>D12*$R$3*$Q$11*G12</f>
        <v>6681.5999999999995</v>
      </c>
      <c r="O12" s="182">
        <f t="shared" si="14"/>
        <v>878.40000000000055</v>
      </c>
      <c r="P12" s="266">
        <f t="shared" si="15"/>
        <v>235.86431010928948</v>
      </c>
      <c r="R12" s="157"/>
    </row>
    <row r="13" spans="1:21" ht="18.75">
      <c r="A13" s="197" t="s">
        <v>38</v>
      </c>
      <c r="B13" s="257" t="s">
        <v>32</v>
      </c>
      <c r="C13" s="258" t="s">
        <v>33</v>
      </c>
      <c r="D13" s="259">
        <v>0.8</v>
      </c>
      <c r="E13" s="154">
        <v>1650</v>
      </c>
      <c r="F13" s="260">
        <f>E13*$Q$5</f>
        <v>8745</v>
      </c>
      <c r="G13" s="155">
        <v>10</v>
      </c>
      <c r="H13" s="260">
        <f t="shared" ref="H13:H15" si="16">F13*G13</f>
        <v>87450</v>
      </c>
      <c r="I13" s="256">
        <v>5</v>
      </c>
      <c r="J13" s="268">
        <f t="shared" ref="J13:J15" si="17">I13*G13</f>
        <v>50</v>
      </c>
      <c r="K13" s="268">
        <f>J13*$Q$10</f>
        <v>1500</v>
      </c>
      <c r="L13" s="270">
        <f>J13*$Q$8</f>
        <v>315</v>
      </c>
      <c r="M13" s="260">
        <f>L13*$Q$10</f>
        <v>9450</v>
      </c>
      <c r="N13" s="261">
        <f>D13*$R$3*$Q$11*G13</f>
        <v>6681.5999999999995</v>
      </c>
      <c r="O13" s="182">
        <f t="shared" ref="O13:O15" si="18">M13-N13</f>
        <v>2768.4000000000005</v>
      </c>
      <c r="P13" s="266">
        <f t="shared" ref="P13:P15" si="19">(H13/O13)+2</f>
        <v>33.588643259644556</v>
      </c>
      <c r="Q13" s="157"/>
      <c r="R13" s="157"/>
      <c r="S13" s="314"/>
    </row>
    <row r="14" spans="1:21" ht="18.75">
      <c r="A14" s="197" t="s">
        <v>38</v>
      </c>
      <c r="B14" s="257" t="s">
        <v>32</v>
      </c>
      <c r="C14" s="258" t="s">
        <v>33</v>
      </c>
      <c r="D14" s="259">
        <v>0.8</v>
      </c>
      <c r="E14" s="154">
        <v>1650</v>
      </c>
      <c r="F14" s="260">
        <f>E14*$Q$5</f>
        <v>8745</v>
      </c>
      <c r="G14" s="155">
        <v>10</v>
      </c>
      <c r="H14" s="260">
        <f t="shared" si="16"/>
        <v>87450</v>
      </c>
      <c r="I14" s="256">
        <v>5</v>
      </c>
      <c r="J14" s="268">
        <f t="shared" si="17"/>
        <v>50</v>
      </c>
      <c r="K14" s="268">
        <f>J14*$Q$10</f>
        <v>1500</v>
      </c>
      <c r="L14" s="270">
        <f>J14*$Q$8</f>
        <v>315</v>
      </c>
      <c r="M14" s="260">
        <f>L14*$Q$10</f>
        <v>9450</v>
      </c>
      <c r="N14" s="261">
        <f>D14*$R$3*$Q$11*G14</f>
        <v>6681.5999999999995</v>
      </c>
      <c r="O14" s="182">
        <f t="shared" si="18"/>
        <v>2768.4000000000005</v>
      </c>
      <c r="P14" s="266">
        <f t="shared" si="19"/>
        <v>33.588643259644556</v>
      </c>
      <c r="Q14" s="157"/>
      <c r="R14" s="157"/>
      <c r="S14" s="314"/>
    </row>
    <row r="15" spans="1:21" ht="18.75">
      <c r="A15" s="197" t="s">
        <v>38</v>
      </c>
      <c r="B15" s="257" t="s">
        <v>32</v>
      </c>
      <c r="C15" s="258" t="s">
        <v>33</v>
      </c>
      <c r="D15" s="259">
        <v>0.8</v>
      </c>
      <c r="E15" s="154">
        <v>1650</v>
      </c>
      <c r="F15" s="260">
        <f>E15*$Q$5</f>
        <v>8745</v>
      </c>
      <c r="G15" s="155">
        <v>10</v>
      </c>
      <c r="H15" s="260">
        <f t="shared" si="16"/>
        <v>87450</v>
      </c>
      <c r="I15" s="256">
        <v>5</v>
      </c>
      <c r="J15" s="268">
        <f t="shared" si="17"/>
        <v>50</v>
      </c>
      <c r="K15" s="268">
        <f>J15*$Q$10</f>
        <v>1500</v>
      </c>
      <c r="L15" s="270">
        <f>J15*$Q$8</f>
        <v>315</v>
      </c>
      <c r="M15" s="260">
        <f>L15*$Q$10</f>
        <v>9450</v>
      </c>
      <c r="N15" s="261">
        <f>D15*$R$3*$Q$11*G15</f>
        <v>6681.5999999999995</v>
      </c>
      <c r="O15" s="182">
        <f t="shared" si="18"/>
        <v>2768.4000000000005</v>
      </c>
      <c r="P15" s="266">
        <f t="shared" si="19"/>
        <v>33.588643259644556</v>
      </c>
      <c r="Q15" s="157"/>
      <c r="R15" s="157"/>
    </row>
    <row r="16" spans="1:21" ht="18.75">
      <c r="A16" s="159" t="s">
        <v>39</v>
      </c>
      <c r="B16" s="174" t="s">
        <v>40</v>
      </c>
      <c r="C16" s="175" t="s">
        <v>33</v>
      </c>
      <c r="D16" s="179">
        <v>2.52</v>
      </c>
      <c r="E16" s="154">
        <v>425</v>
      </c>
      <c r="F16" s="183">
        <f>E16*Q5</f>
        <v>2252.5</v>
      </c>
      <c r="G16" s="155">
        <v>1</v>
      </c>
      <c r="H16" s="183">
        <f t="shared" si="0"/>
        <v>2252.5</v>
      </c>
      <c r="I16" s="156">
        <v>17.100000000000001</v>
      </c>
      <c r="J16" s="202">
        <f t="shared" si="1"/>
        <v>17.100000000000001</v>
      </c>
      <c r="K16" s="313">
        <f>J16*$Q$10</f>
        <v>513</v>
      </c>
      <c r="L16" s="184">
        <f>J16*$Q$5</f>
        <v>90.63000000000001</v>
      </c>
      <c r="M16" s="183">
        <f>L16*$Q$10</f>
        <v>2718.9</v>
      </c>
      <c r="N16" s="201">
        <f>D16*$R$3*$Q$11*G16</f>
        <v>2104.7040000000002</v>
      </c>
      <c r="O16" s="183">
        <f t="shared" si="2"/>
        <v>614.19599999999991</v>
      </c>
      <c r="P16" s="185">
        <f t="shared" ref="P4:P29" si="20">H16/O16</f>
        <v>3.6673960755198673</v>
      </c>
      <c r="Q16" s="157"/>
      <c r="R16" s="157"/>
      <c r="U16" s="250"/>
    </row>
    <row r="17" spans="1:21" ht="18.75">
      <c r="A17" s="159" t="s">
        <v>41</v>
      </c>
      <c r="B17" s="174" t="s">
        <v>40</v>
      </c>
      <c r="C17" s="175" t="s">
        <v>33</v>
      </c>
      <c r="D17" s="179">
        <v>1.41</v>
      </c>
      <c r="E17" s="154">
        <v>360</v>
      </c>
      <c r="F17" s="183">
        <f>E17*Q5</f>
        <v>1908</v>
      </c>
      <c r="G17" s="155">
        <v>1</v>
      </c>
      <c r="H17" s="183">
        <f t="shared" si="0"/>
        <v>1908</v>
      </c>
      <c r="I17" s="156">
        <v>3.98</v>
      </c>
      <c r="J17" s="202">
        <f t="shared" si="1"/>
        <v>3.98</v>
      </c>
      <c r="K17" s="313">
        <f>J17*$Q$10</f>
        <v>119.4</v>
      </c>
      <c r="L17" s="184">
        <f>J17*$Q$5</f>
        <v>21.093999999999998</v>
      </c>
      <c r="M17" s="183">
        <f>L17*$Q$10</f>
        <v>632.81999999999994</v>
      </c>
      <c r="N17" s="201">
        <f>D17*$R$3*$Q$11*G17</f>
        <v>1177.6319999999998</v>
      </c>
      <c r="O17" s="183">
        <f t="shared" si="2"/>
        <v>-544.8119999999999</v>
      </c>
      <c r="P17" s="185">
        <f t="shared" si="20"/>
        <v>-3.5021255038435282</v>
      </c>
      <c r="Q17" s="157"/>
      <c r="R17" s="157"/>
      <c r="U17" s="250"/>
    </row>
    <row r="18" spans="1:21" ht="18.75">
      <c r="A18" s="159" t="s">
        <v>42</v>
      </c>
      <c r="B18" s="174" t="s">
        <v>40</v>
      </c>
      <c r="C18" s="175" t="s">
        <v>33</v>
      </c>
      <c r="D18" s="179">
        <v>0.8</v>
      </c>
      <c r="E18" s="154">
        <v>340</v>
      </c>
      <c r="F18" s="183">
        <f>E18*Q5</f>
        <v>1802</v>
      </c>
      <c r="G18" s="155">
        <v>1</v>
      </c>
      <c r="H18" s="183">
        <f t="shared" si="0"/>
        <v>1802</v>
      </c>
      <c r="I18" s="156">
        <v>14.98</v>
      </c>
      <c r="J18" s="202">
        <f t="shared" si="1"/>
        <v>14.98</v>
      </c>
      <c r="K18" s="313">
        <f>J18*$Q$10</f>
        <v>449.40000000000003</v>
      </c>
      <c r="L18" s="184">
        <f>J18*$Q$5</f>
        <v>79.394000000000005</v>
      </c>
      <c r="M18" s="183">
        <f>L18*$Q$10</f>
        <v>2381.8200000000002</v>
      </c>
      <c r="N18" s="201">
        <f>D18*$R$3*$Q$11*G18</f>
        <v>668.16</v>
      </c>
      <c r="O18" s="183">
        <f t="shared" si="2"/>
        <v>1713.6600000000003</v>
      </c>
      <c r="P18" s="185">
        <f t="shared" si="20"/>
        <v>1.0515504825928128</v>
      </c>
      <c r="Q18" s="157"/>
      <c r="R18" s="157"/>
      <c r="U18" s="250"/>
    </row>
    <row r="19" spans="1:21" ht="18.75">
      <c r="A19" s="160" t="s">
        <v>43</v>
      </c>
      <c r="B19" s="174" t="s">
        <v>40</v>
      </c>
      <c r="C19" s="175" t="s">
        <v>33</v>
      </c>
      <c r="D19" s="179">
        <v>1.5</v>
      </c>
      <c r="E19" s="154">
        <v>120</v>
      </c>
      <c r="F19" s="183">
        <f>E19*Q5</f>
        <v>636</v>
      </c>
      <c r="G19" s="155">
        <v>1</v>
      </c>
      <c r="H19" s="183">
        <f t="shared" si="0"/>
        <v>636</v>
      </c>
      <c r="I19" s="156">
        <v>8.5500000000000007</v>
      </c>
      <c r="J19" s="202">
        <f t="shared" si="1"/>
        <v>8.5500000000000007</v>
      </c>
      <c r="K19" s="313">
        <f>J19*$Q$10</f>
        <v>256.5</v>
      </c>
      <c r="L19" s="184">
        <f>J19*$Q$5</f>
        <v>45.315000000000005</v>
      </c>
      <c r="M19" s="183">
        <f>L19*$Q$10</f>
        <v>1359.45</v>
      </c>
      <c r="N19" s="201">
        <f>D19*$R$3*$Q$11*G19</f>
        <v>1252.8</v>
      </c>
      <c r="O19" s="183">
        <f t="shared" si="2"/>
        <v>106.65000000000009</v>
      </c>
      <c r="P19" s="185">
        <f t="shared" si="20"/>
        <v>5.9634317862165913</v>
      </c>
      <c r="Q19" s="158" t="s">
        <v>44</v>
      </c>
      <c r="R19" s="157"/>
    </row>
    <row r="20" spans="1:21" ht="18.75">
      <c r="A20" s="160" t="s">
        <v>45</v>
      </c>
      <c r="B20" s="174" t="s">
        <v>40</v>
      </c>
      <c r="C20" s="175" t="s">
        <v>33</v>
      </c>
      <c r="D20" s="179">
        <v>1.28</v>
      </c>
      <c r="E20" s="154">
        <v>40</v>
      </c>
      <c r="F20" s="183">
        <f>E20*Q5</f>
        <v>212</v>
      </c>
      <c r="G20" s="155">
        <v>1</v>
      </c>
      <c r="H20" s="183">
        <f t="shared" si="0"/>
        <v>212</v>
      </c>
      <c r="I20" s="156">
        <v>4.8899999999999997</v>
      </c>
      <c r="J20" s="202">
        <f t="shared" si="1"/>
        <v>4.8899999999999997</v>
      </c>
      <c r="K20" s="313">
        <f>J20*$Q$10</f>
        <v>146.69999999999999</v>
      </c>
      <c r="L20" s="184">
        <f>J20*$Q$5</f>
        <v>25.916999999999998</v>
      </c>
      <c r="M20" s="183">
        <f>L20*$Q$10</f>
        <v>777.51</v>
      </c>
      <c r="N20" s="201">
        <f>D20*$R$3*$Q$11*G20</f>
        <v>1069.056</v>
      </c>
      <c r="O20" s="183">
        <f t="shared" si="2"/>
        <v>-291.54600000000005</v>
      </c>
      <c r="P20" s="185">
        <f t="shared" si="20"/>
        <v>-0.72715797850081965</v>
      </c>
      <c r="R20" s="157"/>
    </row>
    <row r="21" spans="1:21" ht="15.75">
      <c r="A21" s="161" t="s">
        <v>46</v>
      </c>
      <c r="B21" s="174" t="s">
        <v>47</v>
      </c>
      <c r="C21" s="175" t="s">
        <v>33</v>
      </c>
      <c r="D21" s="180">
        <f>0.13+0.15</f>
        <v>0.28000000000000003</v>
      </c>
      <c r="E21" s="162"/>
      <c r="F21" s="183">
        <v>2000</v>
      </c>
      <c r="G21" s="163">
        <v>1</v>
      </c>
      <c r="H21" s="183">
        <f t="shared" ref="H21:H29" si="21">F21*G21+$Q$22</f>
        <v>5000</v>
      </c>
      <c r="I21" s="164">
        <v>4.3899999999999997</v>
      </c>
      <c r="J21" s="202">
        <f t="shared" si="1"/>
        <v>4.3899999999999997</v>
      </c>
      <c r="K21" s="313">
        <f>J21*$Q$10</f>
        <v>131.69999999999999</v>
      </c>
      <c r="L21" s="184">
        <f>J21*$Q$5</f>
        <v>23.266999999999996</v>
      </c>
      <c r="M21" s="183">
        <f>L21*$Q$10</f>
        <v>698.00999999999988</v>
      </c>
      <c r="N21" s="201">
        <f>D21*$R$3*$Q$11*G21</f>
        <v>233.85600000000002</v>
      </c>
      <c r="O21" s="183">
        <f t="shared" si="2"/>
        <v>464.15399999999988</v>
      </c>
      <c r="P21" s="185">
        <f t="shared" si="20"/>
        <v>10.772286784127685</v>
      </c>
      <c r="Q21" s="165" t="s">
        <v>48</v>
      </c>
    </row>
    <row r="22" spans="1:21" ht="15.75">
      <c r="A22" s="166" t="s">
        <v>49</v>
      </c>
      <c r="B22" s="174" t="s">
        <v>47</v>
      </c>
      <c r="C22" s="175" t="s">
        <v>33</v>
      </c>
      <c r="D22" s="180">
        <v>0.11</v>
      </c>
      <c r="E22" s="167"/>
      <c r="F22" s="183">
        <v>2500</v>
      </c>
      <c r="G22" s="168">
        <v>6</v>
      </c>
      <c r="H22" s="183">
        <f t="shared" si="21"/>
        <v>18000</v>
      </c>
      <c r="I22" s="169">
        <v>5.58</v>
      </c>
      <c r="J22" s="202">
        <f t="shared" si="1"/>
        <v>33.480000000000004</v>
      </c>
      <c r="K22" s="313">
        <f>J22*$Q$10</f>
        <v>1004.4000000000001</v>
      </c>
      <c r="L22" s="184">
        <f>J22*$Q$5</f>
        <v>177.44400000000002</v>
      </c>
      <c r="M22" s="183">
        <f>L22*$Q$10</f>
        <v>5323.3200000000006</v>
      </c>
      <c r="N22" s="201">
        <f>D22*$R$3*$Q$11*G22</f>
        <v>551.23199999999997</v>
      </c>
      <c r="O22" s="183">
        <f t="shared" si="2"/>
        <v>4772.0880000000006</v>
      </c>
      <c r="P22" s="185">
        <f t="shared" si="20"/>
        <v>3.7719337950180294</v>
      </c>
      <c r="Q22" s="154">
        <v>3000</v>
      </c>
    </row>
    <row r="23" spans="1:21" ht="15.75">
      <c r="A23" s="161" t="s">
        <v>50</v>
      </c>
      <c r="B23" s="174" t="s">
        <v>47</v>
      </c>
      <c r="C23" s="175" t="s">
        <v>33</v>
      </c>
      <c r="D23" s="180">
        <v>0.14000000000000001</v>
      </c>
      <c r="E23" s="162"/>
      <c r="F23" s="183">
        <v>4500</v>
      </c>
      <c r="G23" s="163">
        <v>6</v>
      </c>
      <c r="H23" s="183">
        <f t="shared" si="21"/>
        <v>30000</v>
      </c>
      <c r="I23" s="164">
        <v>7.59</v>
      </c>
      <c r="J23" s="202">
        <f t="shared" si="1"/>
        <v>45.54</v>
      </c>
      <c r="K23" s="313">
        <f>J23*$Q$10</f>
        <v>1366.2</v>
      </c>
      <c r="L23" s="184">
        <f>J23*$Q$5</f>
        <v>241.36199999999999</v>
      </c>
      <c r="M23" s="183">
        <f>L23*$Q$10</f>
        <v>7240.86</v>
      </c>
      <c r="N23" s="201">
        <f>D23*$R$3*$Q$11*G23</f>
        <v>701.5680000000001</v>
      </c>
      <c r="O23" s="183">
        <f t="shared" si="2"/>
        <v>6539.2919999999995</v>
      </c>
      <c r="P23" s="185">
        <f t="shared" si="20"/>
        <v>4.5876526082640146</v>
      </c>
    </row>
    <row r="24" spans="1:21" ht="15.75">
      <c r="A24" s="161" t="s">
        <v>51</v>
      </c>
      <c r="B24" s="174" t="s">
        <v>47</v>
      </c>
      <c r="C24" s="175" t="s">
        <v>33</v>
      </c>
      <c r="D24" s="180">
        <v>0.12</v>
      </c>
      <c r="E24" s="162"/>
      <c r="F24" s="183">
        <v>2500</v>
      </c>
      <c r="G24" s="163">
        <v>6</v>
      </c>
      <c r="H24" s="183">
        <f t="shared" si="21"/>
        <v>18000</v>
      </c>
      <c r="I24" s="164">
        <v>2.69</v>
      </c>
      <c r="J24" s="202">
        <f t="shared" si="1"/>
        <v>16.14</v>
      </c>
      <c r="K24" s="313">
        <f>J24*$Q$10</f>
        <v>484.20000000000005</v>
      </c>
      <c r="L24" s="184">
        <f>J24*$Q$5</f>
        <v>85.542000000000002</v>
      </c>
      <c r="M24" s="183">
        <f>L24*$Q$10</f>
        <v>2566.2600000000002</v>
      </c>
      <c r="N24" s="201">
        <f>D24*$R$3*$Q$11*G24</f>
        <v>601.34399999999994</v>
      </c>
      <c r="O24" s="183">
        <f t="shared" si="2"/>
        <v>1964.9160000000002</v>
      </c>
      <c r="P24" s="185">
        <f t="shared" si="20"/>
        <v>9.1606969458236378</v>
      </c>
    </row>
    <row r="25" spans="1:21" ht="15.75">
      <c r="A25" s="161" t="s">
        <v>52</v>
      </c>
      <c r="B25" s="174" t="s">
        <v>47</v>
      </c>
      <c r="C25" s="175" t="s">
        <v>33</v>
      </c>
      <c r="D25" s="180">
        <v>0.14000000000000001</v>
      </c>
      <c r="E25" s="162"/>
      <c r="F25" s="183">
        <v>5500</v>
      </c>
      <c r="G25" s="163">
        <v>6</v>
      </c>
      <c r="H25" s="183">
        <f t="shared" si="21"/>
        <v>36000</v>
      </c>
      <c r="I25" s="164">
        <v>3.59</v>
      </c>
      <c r="J25" s="202">
        <f t="shared" si="1"/>
        <v>21.54</v>
      </c>
      <c r="K25" s="313">
        <f>J25*$Q$10</f>
        <v>646.19999999999993</v>
      </c>
      <c r="L25" s="184">
        <f>J25*$Q$5</f>
        <v>114.16199999999999</v>
      </c>
      <c r="M25" s="183">
        <f>L25*$Q$10</f>
        <v>3424.8599999999997</v>
      </c>
      <c r="N25" s="201">
        <f>D25*$R$3*$Q$11*G25</f>
        <v>701.5680000000001</v>
      </c>
      <c r="O25" s="183">
        <f t="shared" si="2"/>
        <v>2723.2919999999995</v>
      </c>
      <c r="P25" s="185">
        <f t="shared" si="20"/>
        <v>13.219294882810953</v>
      </c>
    </row>
    <row r="26" spans="1:21" ht="15.75">
      <c r="A26" s="161" t="s">
        <v>53</v>
      </c>
      <c r="B26" s="174" t="s">
        <v>47</v>
      </c>
      <c r="C26" s="175" t="s">
        <v>33</v>
      </c>
      <c r="D26" s="180">
        <v>0.16</v>
      </c>
      <c r="E26" s="162"/>
      <c r="F26" s="183">
        <v>5500</v>
      </c>
      <c r="G26" s="163">
        <v>6</v>
      </c>
      <c r="H26" s="183">
        <f t="shared" si="21"/>
        <v>36000</v>
      </c>
      <c r="I26" s="164">
        <v>3.59</v>
      </c>
      <c r="J26" s="202">
        <f t="shared" si="1"/>
        <v>21.54</v>
      </c>
      <c r="K26" s="313">
        <f>J26*$Q$10</f>
        <v>646.19999999999993</v>
      </c>
      <c r="L26" s="184">
        <f>J26*$Q$5</f>
        <v>114.16199999999999</v>
      </c>
      <c r="M26" s="183">
        <f>L26*$Q$10</f>
        <v>3424.8599999999997</v>
      </c>
      <c r="N26" s="201">
        <f>D26*$R$3*$Q$11*G26</f>
        <v>801.79200000000003</v>
      </c>
      <c r="O26" s="183">
        <f t="shared" si="2"/>
        <v>2623.0679999999998</v>
      </c>
      <c r="P26" s="185">
        <f t="shared" si="20"/>
        <v>13.724386863016896</v>
      </c>
    </row>
    <row r="27" spans="1:21" ht="15.75">
      <c r="A27" s="161" t="s">
        <v>54</v>
      </c>
      <c r="B27" s="174" t="s">
        <v>47</v>
      </c>
      <c r="C27" s="175" t="s">
        <v>33</v>
      </c>
      <c r="D27" s="180">
        <v>0.13</v>
      </c>
      <c r="E27" s="162"/>
      <c r="F27" s="183">
        <v>5000</v>
      </c>
      <c r="G27" s="163">
        <v>6</v>
      </c>
      <c r="H27" s="183">
        <f t="shared" si="21"/>
        <v>33000</v>
      </c>
      <c r="I27" s="164">
        <v>5.2</v>
      </c>
      <c r="J27" s="202">
        <f t="shared" si="1"/>
        <v>31.200000000000003</v>
      </c>
      <c r="K27" s="313">
        <f>J27*$Q$10</f>
        <v>936.00000000000011</v>
      </c>
      <c r="L27" s="184">
        <f>J27*$Q$5</f>
        <v>165.36</v>
      </c>
      <c r="M27" s="183">
        <f>L27*$Q$10</f>
        <v>4960.8</v>
      </c>
      <c r="N27" s="201">
        <f>D27*$R$3*$Q$11*G27</f>
        <v>651.45600000000002</v>
      </c>
      <c r="O27" s="183">
        <f t="shared" si="2"/>
        <v>4309.3440000000001</v>
      </c>
      <c r="P27" s="185">
        <f t="shared" si="20"/>
        <v>7.6577780748067452</v>
      </c>
    </row>
    <row r="28" spans="1:21" ht="15.75">
      <c r="A28" s="161" t="s">
        <v>55</v>
      </c>
      <c r="B28" s="174" t="s">
        <v>47</v>
      </c>
      <c r="C28" s="175" t="s">
        <v>33</v>
      </c>
      <c r="D28" s="180">
        <v>0.13</v>
      </c>
      <c r="E28" s="162"/>
      <c r="F28" s="183">
        <v>7000</v>
      </c>
      <c r="G28" s="163">
        <v>6</v>
      </c>
      <c r="H28" s="183">
        <f t="shared" si="21"/>
        <v>45000</v>
      </c>
      <c r="I28" s="164">
        <v>5.2</v>
      </c>
      <c r="J28" s="202">
        <f t="shared" si="1"/>
        <v>31.200000000000003</v>
      </c>
      <c r="K28" s="313">
        <f>J28*$Q$10</f>
        <v>936.00000000000011</v>
      </c>
      <c r="L28" s="184">
        <f>J28*$Q$5</f>
        <v>165.36</v>
      </c>
      <c r="M28" s="183">
        <f>L28*$Q$10</f>
        <v>4960.8</v>
      </c>
      <c r="N28" s="201">
        <f>D28*$R$3*$Q$11*G28</f>
        <v>651.45600000000002</v>
      </c>
      <c r="O28" s="183">
        <f t="shared" si="2"/>
        <v>4309.3440000000001</v>
      </c>
      <c r="P28" s="185">
        <f t="shared" si="20"/>
        <v>10.442424647463744</v>
      </c>
    </row>
    <row r="29" spans="1:21" ht="15.75">
      <c r="A29" s="161" t="s">
        <v>56</v>
      </c>
      <c r="B29" s="174" t="s">
        <v>47</v>
      </c>
      <c r="C29" s="175" t="s">
        <v>33</v>
      </c>
      <c r="D29" s="180">
        <v>0.23</v>
      </c>
      <c r="E29" s="162"/>
      <c r="F29" s="183">
        <v>7800</v>
      </c>
      <c r="G29" s="163">
        <v>6</v>
      </c>
      <c r="H29" s="183">
        <f t="shared" si="21"/>
        <v>49800</v>
      </c>
      <c r="I29" s="164">
        <v>8.18</v>
      </c>
      <c r="J29" s="202">
        <f t="shared" si="1"/>
        <v>49.08</v>
      </c>
      <c r="K29" s="313">
        <f>J29*$Q$10</f>
        <v>1472.3999999999999</v>
      </c>
      <c r="L29" s="184">
        <f>J29*$Q$5</f>
        <v>260.12399999999997</v>
      </c>
      <c r="M29" s="183">
        <f>L29*$Q$10</f>
        <v>7803.7199999999993</v>
      </c>
      <c r="N29" s="201">
        <f>D29*$R$3*$Q$11*G29</f>
        <v>1152.5759999999998</v>
      </c>
      <c r="O29" s="183">
        <f t="shared" si="2"/>
        <v>6651.1439999999993</v>
      </c>
      <c r="P29" s="185">
        <f t="shared" si="20"/>
        <v>7.4874337407218974</v>
      </c>
    </row>
    <row r="30" spans="1:21" ht="15" customHeight="1">
      <c r="D30" s="170"/>
    </row>
    <row r="31" spans="1:21">
      <c r="D31" s="170"/>
      <c r="G31" s="171"/>
      <c r="H31" s="171"/>
      <c r="I31" s="171"/>
      <c r="J31" s="171"/>
      <c r="K31" s="171"/>
      <c r="L31" s="171"/>
    </row>
    <row r="32" spans="1:21">
      <c r="D32" s="170"/>
      <c r="G32" s="172" t="s">
        <v>57</v>
      </c>
      <c r="H32" s="171"/>
      <c r="I32" s="171"/>
      <c r="J32" s="173"/>
      <c r="K32" s="173"/>
      <c r="L32" s="171"/>
    </row>
    <row r="33" spans="3:12">
      <c r="D33" s="170"/>
      <c r="G33" s="171"/>
      <c r="H33" s="171"/>
      <c r="I33" s="171"/>
      <c r="J33" s="171"/>
      <c r="K33" s="171"/>
      <c r="L33" s="171"/>
    </row>
    <row r="34" spans="3:12">
      <c r="D34" s="170"/>
      <c r="G34" s="171"/>
      <c r="H34" s="171"/>
      <c r="I34" s="171"/>
      <c r="J34" s="171"/>
      <c r="K34" s="171"/>
      <c r="L34" s="171"/>
    </row>
    <row r="35" spans="3:12">
      <c r="D35" s="170"/>
      <c r="G35" s="171"/>
      <c r="H35" s="171"/>
      <c r="I35" s="171"/>
      <c r="J35" s="171"/>
      <c r="K35" s="171"/>
      <c r="L35" s="171"/>
    </row>
    <row r="36" spans="3:12">
      <c r="D36" s="170"/>
      <c r="G36" s="171"/>
      <c r="H36" s="171"/>
      <c r="I36" s="171"/>
      <c r="J36" s="171"/>
      <c r="K36" s="171"/>
      <c r="L36" s="171"/>
    </row>
    <row r="37" spans="3:12">
      <c r="C37">
        <v>7000</v>
      </c>
      <c r="D37" s="170">
        <f>(C37*60)/100</f>
        <v>4200</v>
      </c>
      <c r="E37">
        <f>C37+D37</f>
        <v>11200</v>
      </c>
    </row>
    <row r="38" spans="3:12">
      <c r="D38" s="170"/>
    </row>
    <row r="39" spans="3:12">
      <c r="D39" s="170"/>
    </row>
    <row r="40" spans="3:12">
      <c r="D40" s="170"/>
    </row>
    <row r="41" spans="3:12">
      <c r="D41" s="170"/>
    </row>
    <row r="42" spans="3:12">
      <c r="D42" s="170"/>
    </row>
    <row r="43" spans="3:12">
      <c r="D43" s="170"/>
    </row>
    <row r="44" spans="3:12">
      <c r="D44" s="170"/>
    </row>
    <row r="45" spans="3:12">
      <c r="D45" s="170"/>
    </row>
    <row r="46" spans="3:12">
      <c r="D46" s="170"/>
    </row>
    <row r="47" spans="3:12">
      <c r="D47" s="170"/>
    </row>
    <row r="48" spans="3:12">
      <c r="D48" s="170"/>
    </row>
    <row r="49" spans="4:4">
      <c r="D49" s="170"/>
    </row>
    <row r="50" spans="4:4">
      <c r="D50" s="170"/>
    </row>
    <row r="51" spans="4:4">
      <c r="D51" s="170"/>
    </row>
    <row r="52" spans="4:4">
      <c r="D52" s="170"/>
    </row>
    <row r="53" spans="4:4">
      <c r="D53" s="170"/>
    </row>
    <row r="54" spans="4:4">
      <c r="D54" s="170"/>
    </row>
    <row r="55" spans="4:4">
      <c r="D55" s="170"/>
    </row>
    <row r="56" spans="4:4">
      <c r="D56" s="170"/>
    </row>
    <row r="57" spans="4:4">
      <c r="D57" s="170"/>
    </row>
    <row r="58" spans="4:4">
      <c r="D58" s="170"/>
    </row>
    <row r="59" spans="4:4">
      <c r="D59" s="170"/>
    </row>
    <row r="60" spans="4:4">
      <c r="D60" s="170"/>
    </row>
    <row r="61" spans="4:4">
      <c r="D61" s="170"/>
    </row>
    <row r="62" spans="4:4">
      <c r="D62" s="170"/>
    </row>
    <row r="63" spans="4:4">
      <c r="D63" s="170"/>
    </row>
    <row r="64" spans="4:4">
      <c r="D64" s="170"/>
    </row>
    <row r="65" spans="4:4">
      <c r="D65" s="170"/>
    </row>
    <row r="66" spans="4:4">
      <c r="D66" s="170"/>
    </row>
    <row r="67" spans="4:4">
      <c r="D67" s="170"/>
    </row>
    <row r="68" spans="4:4">
      <c r="D68" s="170"/>
    </row>
    <row r="69" spans="4:4">
      <c r="D69" s="170"/>
    </row>
    <row r="70" spans="4:4">
      <c r="D70" s="170"/>
    </row>
    <row r="71" spans="4:4">
      <c r="D71" s="170"/>
    </row>
    <row r="72" spans="4:4">
      <c r="D72" s="170"/>
    </row>
    <row r="73" spans="4:4">
      <c r="D73" s="170"/>
    </row>
    <row r="74" spans="4:4">
      <c r="D74" s="170"/>
    </row>
    <row r="75" spans="4:4">
      <c r="D75" s="170"/>
    </row>
    <row r="76" spans="4:4">
      <c r="D76" s="170"/>
    </row>
    <row r="77" spans="4:4">
      <c r="D77" s="170"/>
    </row>
    <row r="78" spans="4:4">
      <c r="D78" s="170"/>
    </row>
    <row r="79" spans="4:4">
      <c r="D79" s="170"/>
    </row>
    <row r="80" spans="4:4">
      <c r="D80" s="170"/>
    </row>
    <row r="81" spans="4:4">
      <c r="D81" s="170"/>
    </row>
    <row r="82" spans="4:4">
      <c r="D82" s="170"/>
    </row>
    <row r="83" spans="4:4">
      <c r="D83" s="170"/>
    </row>
    <row r="84" spans="4:4">
      <c r="D84" s="170"/>
    </row>
    <row r="85" spans="4:4">
      <c r="D85" s="170"/>
    </row>
    <row r="86" spans="4:4">
      <c r="D86" s="170"/>
    </row>
    <row r="87" spans="4:4">
      <c r="D87" s="170"/>
    </row>
    <row r="88" spans="4:4">
      <c r="D88" s="170"/>
    </row>
    <row r="89" spans="4:4">
      <c r="D89" s="170"/>
    </row>
    <row r="90" spans="4:4">
      <c r="D90" s="170"/>
    </row>
    <row r="91" spans="4:4">
      <c r="D91" s="170"/>
    </row>
    <row r="92" spans="4:4">
      <c r="D92" s="170"/>
    </row>
    <row r="93" spans="4:4">
      <c r="D93" s="170"/>
    </row>
    <row r="94" spans="4:4">
      <c r="D94" s="170"/>
    </row>
    <row r="95" spans="4:4">
      <c r="D95" s="170"/>
    </row>
    <row r="96" spans="4:4">
      <c r="D96" s="170"/>
    </row>
    <row r="97" spans="4:4">
      <c r="D97" s="170"/>
    </row>
    <row r="98" spans="4:4">
      <c r="D98" s="170"/>
    </row>
    <row r="99" spans="4:4">
      <c r="D99" s="170"/>
    </row>
    <row r="100" spans="4:4">
      <c r="D100" s="170"/>
    </row>
    <row r="101" spans="4:4">
      <c r="D101" s="170"/>
    </row>
    <row r="102" spans="4:4">
      <c r="D102" s="170"/>
    </row>
    <row r="103" spans="4:4">
      <c r="D103" s="170"/>
    </row>
    <row r="104" spans="4:4">
      <c r="D104" s="170"/>
    </row>
    <row r="105" spans="4:4">
      <c r="D105" s="170"/>
    </row>
    <row r="106" spans="4:4">
      <c r="D106" s="170"/>
    </row>
    <row r="107" spans="4:4">
      <c r="D107" s="170"/>
    </row>
    <row r="108" spans="4:4">
      <c r="D108" s="170"/>
    </row>
    <row r="109" spans="4:4">
      <c r="D109" s="170"/>
    </row>
    <row r="110" spans="4:4">
      <c r="D110" s="170"/>
    </row>
    <row r="111" spans="4:4">
      <c r="D111" s="170"/>
    </row>
    <row r="112" spans="4:4">
      <c r="D112" s="170"/>
    </row>
    <row r="113" spans="4:4">
      <c r="D113" s="170"/>
    </row>
    <row r="114" spans="4:4">
      <c r="D114" s="170"/>
    </row>
    <row r="115" spans="4:4">
      <c r="D115" s="170"/>
    </row>
    <row r="116" spans="4:4">
      <c r="D116" s="170"/>
    </row>
    <row r="117" spans="4:4">
      <c r="D117" s="170"/>
    </row>
    <row r="118" spans="4:4">
      <c r="D118" s="170"/>
    </row>
    <row r="119" spans="4:4">
      <c r="D119" s="170"/>
    </row>
    <row r="120" spans="4:4">
      <c r="D120" s="170"/>
    </row>
    <row r="121" spans="4:4">
      <c r="D121" s="170"/>
    </row>
    <row r="122" spans="4:4">
      <c r="D122" s="170"/>
    </row>
    <row r="123" spans="4:4">
      <c r="D123" s="170"/>
    </row>
    <row r="124" spans="4:4">
      <c r="D124" s="170"/>
    </row>
    <row r="125" spans="4:4">
      <c r="D125" s="170"/>
    </row>
    <row r="126" spans="4:4">
      <c r="D126" s="170"/>
    </row>
    <row r="127" spans="4:4">
      <c r="D127" s="170"/>
    </row>
    <row r="128" spans="4:4">
      <c r="D128" s="170"/>
    </row>
    <row r="129" spans="4:4">
      <c r="D129" s="170"/>
    </row>
    <row r="130" spans="4:4">
      <c r="D130" s="170"/>
    </row>
    <row r="131" spans="4:4">
      <c r="D131" s="170"/>
    </row>
    <row r="132" spans="4:4">
      <c r="D132" s="170"/>
    </row>
    <row r="133" spans="4:4">
      <c r="D133" s="170"/>
    </row>
    <row r="134" spans="4:4">
      <c r="D134" s="170"/>
    </row>
    <row r="135" spans="4:4">
      <c r="D135" s="170"/>
    </row>
    <row r="136" spans="4:4">
      <c r="D136" s="170"/>
    </row>
    <row r="137" spans="4:4">
      <c r="D137" s="170"/>
    </row>
    <row r="138" spans="4:4">
      <c r="D138" s="170"/>
    </row>
    <row r="139" spans="4:4">
      <c r="D139" s="170"/>
    </row>
    <row r="140" spans="4:4">
      <c r="D140" s="170"/>
    </row>
    <row r="141" spans="4:4">
      <c r="D141" s="170"/>
    </row>
    <row r="142" spans="4:4">
      <c r="D142" s="170"/>
    </row>
    <row r="143" spans="4:4">
      <c r="D143" s="170"/>
    </row>
    <row r="144" spans="4:4">
      <c r="D144" s="170"/>
    </row>
    <row r="145" spans="4:4">
      <c r="D145" s="170"/>
    </row>
    <row r="146" spans="4:4">
      <c r="D146" s="170"/>
    </row>
    <row r="147" spans="4:4">
      <c r="D147" s="170"/>
    </row>
    <row r="148" spans="4:4">
      <c r="D148" s="170"/>
    </row>
    <row r="149" spans="4:4">
      <c r="D149" s="170"/>
    </row>
    <row r="150" spans="4:4">
      <c r="D150" s="170"/>
    </row>
    <row r="151" spans="4:4">
      <c r="D151" s="170"/>
    </row>
    <row r="152" spans="4:4">
      <c r="D152" s="170"/>
    </row>
    <row r="153" spans="4:4">
      <c r="D153" s="170"/>
    </row>
    <row r="154" spans="4:4">
      <c r="D154" s="170"/>
    </row>
    <row r="155" spans="4:4">
      <c r="D155" s="170"/>
    </row>
    <row r="156" spans="4:4">
      <c r="D156" s="170"/>
    </row>
    <row r="157" spans="4:4">
      <c r="D157" s="170"/>
    </row>
    <row r="158" spans="4:4">
      <c r="D158" s="170"/>
    </row>
    <row r="159" spans="4:4">
      <c r="D159" s="170"/>
    </row>
    <row r="160" spans="4:4">
      <c r="D160" s="170"/>
    </row>
    <row r="161" spans="4:4">
      <c r="D161" s="170"/>
    </row>
    <row r="162" spans="4:4">
      <c r="D162" s="170"/>
    </row>
    <row r="163" spans="4:4">
      <c r="D163" s="170"/>
    </row>
    <row r="164" spans="4:4">
      <c r="D164" s="170"/>
    </row>
    <row r="165" spans="4:4">
      <c r="D165" s="170"/>
    </row>
    <row r="166" spans="4:4">
      <c r="D166" s="170"/>
    </row>
    <row r="167" spans="4:4">
      <c r="D167" s="170"/>
    </row>
    <row r="168" spans="4:4">
      <c r="D168" s="170"/>
    </row>
    <row r="169" spans="4:4">
      <c r="D169" s="170"/>
    </row>
    <row r="170" spans="4:4">
      <c r="D170" s="170"/>
    </row>
    <row r="171" spans="4:4">
      <c r="D171" s="170"/>
    </row>
    <row r="172" spans="4:4">
      <c r="D172" s="170"/>
    </row>
    <row r="173" spans="4:4">
      <c r="D173" s="170"/>
    </row>
    <row r="174" spans="4:4">
      <c r="D174" s="170"/>
    </row>
    <row r="175" spans="4:4">
      <c r="D175" s="170"/>
    </row>
    <row r="176" spans="4:4">
      <c r="D176" s="170"/>
    </row>
    <row r="177" spans="4:4">
      <c r="D177" s="170"/>
    </row>
    <row r="178" spans="4:4">
      <c r="D178" s="170"/>
    </row>
    <row r="179" spans="4:4">
      <c r="D179" s="170"/>
    </row>
    <row r="180" spans="4:4">
      <c r="D180" s="170"/>
    </row>
    <row r="181" spans="4:4">
      <c r="D181" s="170"/>
    </row>
    <row r="182" spans="4:4">
      <c r="D182" s="170"/>
    </row>
    <row r="183" spans="4:4">
      <c r="D183" s="170"/>
    </row>
    <row r="184" spans="4:4">
      <c r="D184" s="170"/>
    </row>
    <row r="185" spans="4:4">
      <c r="D185" s="170"/>
    </row>
    <row r="186" spans="4:4">
      <c r="D186" s="170"/>
    </row>
    <row r="187" spans="4:4">
      <c r="D187" s="170"/>
    </row>
    <row r="188" spans="4:4">
      <c r="D188" s="170"/>
    </row>
    <row r="189" spans="4:4">
      <c r="D189" s="170"/>
    </row>
    <row r="190" spans="4:4">
      <c r="D190" s="170"/>
    </row>
    <row r="191" spans="4:4">
      <c r="D191" s="170"/>
    </row>
    <row r="192" spans="4:4">
      <c r="D192" s="170"/>
    </row>
    <row r="193" spans="4:4">
      <c r="D193" s="170"/>
    </row>
    <row r="194" spans="4:4">
      <c r="D194" s="170"/>
    </row>
    <row r="195" spans="4:4">
      <c r="D195" s="170"/>
    </row>
    <row r="196" spans="4:4">
      <c r="D196" s="170"/>
    </row>
    <row r="197" spans="4:4">
      <c r="D197" s="170"/>
    </row>
    <row r="198" spans="4:4">
      <c r="D198" s="170"/>
    </row>
    <row r="199" spans="4:4">
      <c r="D199" s="170"/>
    </row>
    <row r="200" spans="4:4">
      <c r="D200" s="170"/>
    </row>
    <row r="201" spans="4:4">
      <c r="D201" s="170"/>
    </row>
    <row r="202" spans="4:4">
      <c r="D202" s="170"/>
    </row>
    <row r="203" spans="4:4">
      <c r="D203" s="170"/>
    </row>
    <row r="204" spans="4:4">
      <c r="D204" s="170"/>
    </row>
    <row r="205" spans="4:4">
      <c r="D205" s="170"/>
    </row>
    <row r="206" spans="4:4">
      <c r="D206" s="170"/>
    </row>
    <row r="207" spans="4:4">
      <c r="D207" s="170"/>
    </row>
    <row r="208" spans="4:4">
      <c r="D208" s="170"/>
    </row>
    <row r="209" spans="4:4">
      <c r="D209" s="170"/>
    </row>
    <row r="210" spans="4:4">
      <c r="D210" s="170"/>
    </row>
    <row r="211" spans="4:4">
      <c r="D211" s="170"/>
    </row>
    <row r="212" spans="4:4">
      <c r="D212" s="170"/>
    </row>
    <row r="213" spans="4:4">
      <c r="D213" s="170"/>
    </row>
    <row r="214" spans="4:4">
      <c r="D214" s="170"/>
    </row>
    <row r="215" spans="4:4">
      <c r="D215" s="170"/>
    </row>
    <row r="216" spans="4:4">
      <c r="D216" s="170"/>
    </row>
    <row r="217" spans="4:4">
      <c r="D217" s="170"/>
    </row>
    <row r="218" spans="4:4">
      <c r="D218" s="170"/>
    </row>
    <row r="219" spans="4:4">
      <c r="D219" s="170"/>
    </row>
    <row r="220" spans="4:4">
      <c r="D220" s="170"/>
    </row>
    <row r="221" spans="4:4">
      <c r="D221" s="170"/>
    </row>
    <row r="222" spans="4:4">
      <c r="D222" s="170"/>
    </row>
    <row r="223" spans="4:4">
      <c r="D223" s="170"/>
    </row>
    <row r="224" spans="4:4">
      <c r="D224" s="170"/>
    </row>
    <row r="225" spans="4:4">
      <c r="D225" s="170"/>
    </row>
    <row r="226" spans="4:4">
      <c r="D226" s="170"/>
    </row>
    <row r="227" spans="4:4">
      <c r="D227" s="170"/>
    </row>
    <row r="228" spans="4:4">
      <c r="D228" s="170"/>
    </row>
    <row r="229" spans="4:4">
      <c r="D229" s="170"/>
    </row>
    <row r="230" spans="4:4">
      <c r="D230" s="170"/>
    </row>
    <row r="231" spans="4:4">
      <c r="D231" s="170"/>
    </row>
    <row r="232" spans="4:4">
      <c r="D232" s="170"/>
    </row>
    <row r="233" spans="4:4">
      <c r="D233" s="170"/>
    </row>
    <row r="234" spans="4:4">
      <c r="D234" s="170"/>
    </row>
    <row r="235" spans="4:4">
      <c r="D235" s="170"/>
    </row>
    <row r="236" spans="4:4">
      <c r="D236" s="170"/>
    </row>
    <row r="237" spans="4:4">
      <c r="D237" s="170"/>
    </row>
    <row r="238" spans="4:4">
      <c r="D238" s="170"/>
    </row>
    <row r="239" spans="4:4">
      <c r="D239" s="170"/>
    </row>
    <row r="240" spans="4:4">
      <c r="D240" s="170"/>
    </row>
    <row r="241" spans="4:4">
      <c r="D241" s="170"/>
    </row>
    <row r="242" spans="4:4">
      <c r="D242" s="170"/>
    </row>
    <row r="243" spans="4:4">
      <c r="D243" s="170"/>
    </row>
    <row r="244" spans="4:4">
      <c r="D244" s="170"/>
    </row>
    <row r="245" spans="4:4">
      <c r="D245" s="170"/>
    </row>
    <row r="246" spans="4:4">
      <c r="D246" s="170"/>
    </row>
    <row r="247" spans="4:4">
      <c r="D247" s="170"/>
    </row>
    <row r="248" spans="4:4">
      <c r="D248" s="170"/>
    </row>
    <row r="249" spans="4:4">
      <c r="D249" s="170"/>
    </row>
    <row r="250" spans="4:4">
      <c r="D250" s="170"/>
    </row>
    <row r="251" spans="4:4">
      <c r="D251" s="170"/>
    </row>
    <row r="252" spans="4:4">
      <c r="D252" s="170"/>
    </row>
    <row r="253" spans="4:4">
      <c r="D253" s="170"/>
    </row>
    <row r="254" spans="4:4">
      <c r="D254" s="170"/>
    </row>
    <row r="255" spans="4:4">
      <c r="D255" s="170"/>
    </row>
    <row r="256" spans="4:4">
      <c r="D256" s="170"/>
    </row>
    <row r="257" spans="4:4">
      <c r="D257" s="170"/>
    </row>
    <row r="258" spans="4:4">
      <c r="D258" s="170"/>
    </row>
    <row r="259" spans="4:4">
      <c r="D259" s="170"/>
    </row>
    <row r="260" spans="4:4">
      <c r="D260" s="170"/>
    </row>
    <row r="261" spans="4:4">
      <c r="D261" s="170"/>
    </row>
    <row r="262" spans="4:4">
      <c r="D262" s="170"/>
    </row>
    <row r="263" spans="4:4">
      <c r="D263" s="170"/>
    </row>
    <row r="264" spans="4:4">
      <c r="D264" s="170"/>
    </row>
    <row r="265" spans="4:4">
      <c r="D265" s="170"/>
    </row>
    <row r="266" spans="4:4">
      <c r="D266" s="170"/>
    </row>
    <row r="267" spans="4:4">
      <c r="D267" s="170"/>
    </row>
    <row r="268" spans="4:4">
      <c r="D268" s="170"/>
    </row>
    <row r="269" spans="4:4">
      <c r="D269" s="170"/>
    </row>
    <row r="270" spans="4:4">
      <c r="D270" s="170"/>
    </row>
    <row r="271" spans="4:4">
      <c r="D271" s="170"/>
    </row>
    <row r="272" spans="4:4">
      <c r="D272" s="170"/>
    </row>
    <row r="273" spans="4:4">
      <c r="D273" s="170"/>
    </row>
    <row r="274" spans="4:4">
      <c r="D274" s="170"/>
    </row>
    <row r="275" spans="4:4">
      <c r="D275" s="170"/>
    </row>
    <row r="276" spans="4:4">
      <c r="D276" s="170"/>
    </row>
    <row r="277" spans="4:4">
      <c r="D277" s="170"/>
    </row>
    <row r="278" spans="4:4">
      <c r="D278" s="170"/>
    </row>
    <row r="279" spans="4:4">
      <c r="D279" s="170"/>
    </row>
    <row r="280" spans="4:4">
      <c r="D280" s="170"/>
    </row>
    <row r="281" spans="4:4">
      <c r="D281" s="170"/>
    </row>
    <row r="282" spans="4:4">
      <c r="D282" s="170"/>
    </row>
    <row r="283" spans="4:4">
      <c r="D283" s="170"/>
    </row>
    <row r="284" spans="4:4">
      <c r="D284" s="170"/>
    </row>
    <row r="285" spans="4:4">
      <c r="D285" s="170"/>
    </row>
    <row r="286" spans="4:4">
      <c r="D286" s="170"/>
    </row>
    <row r="287" spans="4:4">
      <c r="D287" s="170"/>
    </row>
    <row r="288" spans="4:4">
      <c r="D288" s="170"/>
    </row>
    <row r="289" spans="4:4">
      <c r="D289" s="170"/>
    </row>
    <row r="290" spans="4:4">
      <c r="D290" s="170"/>
    </row>
    <row r="291" spans="4:4">
      <c r="D291" s="170"/>
    </row>
    <row r="292" spans="4:4">
      <c r="D292" s="170"/>
    </row>
    <row r="293" spans="4:4">
      <c r="D293" s="170"/>
    </row>
    <row r="294" spans="4:4">
      <c r="D294" s="170"/>
    </row>
    <row r="295" spans="4:4">
      <c r="D295" s="170"/>
    </row>
    <row r="296" spans="4:4">
      <c r="D296" s="170"/>
    </row>
    <row r="297" spans="4:4">
      <c r="D297" s="170"/>
    </row>
    <row r="298" spans="4:4">
      <c r="D298" s="170"/>
    </row>
    <row r="299" spans="4:4">
      <c r="D299" s="170"/>
    </row>
    <row r="300" spans="4:4">
      <c r="D300" s="170"/>
    </row>
    <row r="301" spans="4:4">
      <c r="D301" s="170"/>
    </row>
    <row r="302" spans="4:4">
      <c r="D302" s="170"/>
    </row>
    <row r="303" spans="4:4">
      <c r="D303" s="170"/>
    </row>
    <row r="304" spans="4:4">
      <c r="D304" s="170"/>
    </row>
    <row r="305" spans="4:4">
      <c r="D305" s="170"/>
    </row>
    <row r="306" spans="4:4">
      <c r="D306" s="170"/>
    </row>
    <row r="307" spans="4:4">
      <c r="D307" s="170"/>
    </row>
    <row r="308" spans="4:4">
      <c r="D308" s="170"/>
    </row>
    <row r="309" spans="4:4">
      <c r="D309" s="170"/>
    </row>
    <row r="310" spans="4:4">
      <c r="D310" s="170"/>
    </row>
    <row r="311" spans="4:4">
      <c r="D311" s="170"/>
    </row>
    <row r="312" spans="4:4">
      <c r="D312" s="170"/>
    </row>
    <row r="313" spans="4:4">
      <c r="D313" s="170"/>
    </row>
    <row r="314" spans="4:4">
      <c r="D314" s="170"/>
    </row>
    <row r="315" spans="4:4">
      <c r="D315" s="170"/>
    </row>
    <row r="316" spans="4:4">
      <c r="D316" s="170"/>
    </row>
    <row r="317" spans="4:4">
      <c r="D317" s="170"/>
    </row>
    <row r="318" spans="4:4">
      <c r="D318" s="170"/>
    </row>
    <row r="319" spans="4:4">
      <c r="D319" s="170"/>
    </row>
    <row r="320" spans="4:4">
      <c r="D320" s="170"/>
    </row>
    <row r="321" spans="4:4">
      <c r="D321" s="170"/>
    </row>
    <row r="322" spans="4:4">
      <c r="D322" s="170"/>
    </row>
    <row r="323" spans="4:4">
      <c r="D323" s="170"/>
    </row>
    <row r="324" spans="4:4">
      <c r="D324" s="170"/>
    </row>
    <row r="325" spans="4:4">
      <c r="D325" s="170"/>
    </row>
    <row r="326" spans="4:4">
      <c r="D326" s="170"/>
    </row>
    <row r="327" spans="4:4">
      <c r="D327" s="170"/>
    </row>
    <row r="328" spans="4:4">
      <c r="D328" s="170"/>
    </row>
    <row r="329" spans="4:4">
      <c r="D329" s="170"/>
    </row>
    <row r="330" spans="4:4">
      <c r="D330" s="170"/>
    </row>
    <row r="331" spans="4:4">
      <c r="D331" s="170"/>
    </row>
    <row r="332" spans="4:4">
      <c r="D332" s="170"/>
    </row>
    <row r="333" spans="4:4">
      <c r="D333" s="170"/>
    </row>
    <row r="334" spans="4:4">
      <c r="D334" s="170"/>
    </row>
    <row r="335" spans="4:4">
      <c r="D335" s="170"/>
    </row>
    <row r="336" spans="4:4">
      <c r="D336" s="170"/>
    </row>
    <row r="337" spans="4:4">
      <c r="D337" s="170"/>
    </row>
    <row r="338" spans="4:4">
      <c r="D338" s="170"/>
    </row>
    <row r="339" spans="4:4">
      <c r="D339" s="170"/>
    </row>
    <row r="340" spans="4:4">
      <c r="D340" s="170"/>
    </row>
    <row r="341" spans="4:4">
      <c r="D341" s="170"/>
    </row>
    <row r="342" spans="4:4">
      <c r="D342" s="170"/>
    </row>
    <row r="343" spans="4:4">
      <c r="D343" s="170"/>
    </row>
    <row r="344" spans="4:4">
      <c r="D344" s="170"/>
    </row>
    <row r="345" spans="4:4">
      <c r="D345" s="170"/>
    </row>
    <row r="346" spans="4:4">
      <c r="D346" s="170"/>
    </row>
    <row r="347" spans="4:4">
      <c r="D347" s="170"/>
    </row>
    <row r="348" spans="4:4">
      <c r="D348" s="170"/>
    </row>
    <row r="349" spans="4:4">
      <c r="D349" s="170"/>
    </row>
    <row r="350" spans="4:4">
      <c r="D350" s="170"/>
    </row>
    <row r="351" spans="4:4">
      <c r="D351" s="170"/>
    </row>
    <row r="352" spans="4:4">
      <c r="D352" s="170"/>
    </row>
    <row r="353" spans="4:4">
      <c r="D353" s="170"/>
    </row>
    <row r="354" spans="4:4">
      <c r="D354" s="170"/>
    </row>
    <row r="355" spans="4:4">
      <c r="D355" s="170"/>
    </row>
    <row r="356" spans="4:4">
      <c r="D356" s="170"/>
    </row>
    <row r="357" spans="4:4">
      <c r="D357" s="170"/>
    </row>
    <row r="358" spans="4:4">
      <c r="D358" s="170"/>
    </row>
    <row r="359" spans="4:4">
      <c r="D359" s="170"/>
    </row>
    <row r="360" spans="4:4">
      <c r="D360" s="170"/>
    </row>
    <row r="361" spans="4:4">
      <c r="D361" s="170"/>
    </row>
    <row r="362" spans="4:4">
      <c r="D362" s="170"/>
    </row>
    <row r="363" spans="4:4">
      <c r="D363" s="170"/>
    </row>
    <row r="364" spans="4:4">
      <c r="D364" s="170"/>
    </row>
    <row r="365" spans="4:4">
      <c r="D365" s="170"/>
    </row>
    <row r="366" spans="4:4">
      <c r="D366" s="170"/>
    </row>
    <row r="367" spans="4:4">
      <c r="D367" s="170"/>
    </row>
    <row r="368" spans="4:4">
      <c r="D368" s="170"/>
    </row>
    <row r="369" spans="4:4">
      <c r="D369" s="170"/>
    </row>
    <row r="370" spans="4:4">
      <c r="D370" s="170"/>
    </row>
    <row r="371" spans="4:4">
      <c r="D371" s="170"/>
    </row>
    <row r="372" spans="4:4">
      <c r="D372" s="170"/>
    </row>
    <row r="373" spans="4:4">
      <c r="D373" s="170"/>
    </row>
    <row r="374" spans="4:4">
      <c r="D374" s="170"/>
    </row>
    <row r="375" spans="4:4">
      <c r="D375" s="170"/>
    </row>
    <row r="376" spans="4:4">
      <c r="D376" s="170"/>
    </row>
    <row r="377" spans="4:4">
      <c r="D377" s="170"/>
    </row>
    <row r="378" spans="4:4">
      <c r="D378" s="170"/>
    </row>
    <row r="379" spans="4:4">
      <c r="D379" s="170"/>
    </row>
    <row r="380" spans="4:4">
      <c r="D380" s="170"/>
    </row>
    <row r="381" spans="4:4">
      <c r="D381" s="170"/>
    </row>
    <row r="382" spans="4:4">
      <c r="D382" s="170"/>
    </row>
    <row r="383" spans="4:4">
      <c r="D383" s="170"/>
    </row>
    <row r="384" spans="4:4">
      <c r="D384" s="170"/>
    </row>
    <row r="385" spans="4:4">
      <c r="D385" s="170"/>
    </row>
    <row r="386" spans="4:4">
      <c r="D386" s="170"/>
    </row>
    <row r="387" spans="4:4">
      <c r="D387" s="170"/>
    </row>
    <row r="388" spans="4:4">
      <c r="D388" s="170"/>
    </row>
    <row r="389" spans="4:4">
      <c r="D389" s="170"/>
    </row>
    <row r="390" spans="4:4">
      <c r="D390" s="170"/>
    </row>
    <row r="391" spans="4:4">
      <c r="D391" s="170"/>
    </row>
    <row r="392" spans="4:4">
      <c r="D392" s="170"/>
    </row>
    <row r="393" spans="4:4">
      <c r="D393" s="170"/>
    </row>
    <row r="394" spans="4:4">
      <c r="D394" s="170"/>
    </row>
    <row r="395" spans="4:4">
      <c r="D395" s="170"/>
    </row>
    <row r="396" spans="4:4">
      <c r="D396" s="170"/>
    </row>
    <row r="397" spans="4:4">
      <c r="D397" s="170"/>
    </row>
    <row r="398" spans="4:4">
      <c r="D398" s="170"/>
    </row>
    <row r="399" spans="4:4">
      <c r="D399" s="170"/>
    </row>
    <row r="400" spans="4:4">
      <c r="D400" s="170"/>
    </row>
    <row r="401" spans="4:4">
      <c r="D401" s="170"/>
    </row>
    <row r="402" spans="4:4">
      <c r="D402" s="170"/>
    </row>
    <row r="403" spans="4:4">
      <c r="D403" s="170"/>
    </row>
    <row r="404" spans="4:4">
      <c r="D404" s="170"/>
    </row>
    <row r="405" spans="4:4">
      <c r="D405" s="170"/>
    </row>
    <row r="406" spans="4:4">
      <c r="D406" s="170"/>
    </row>
    <row r="407" spans="4:4">
      <c r="D407" s="170"/>
    </row>
    <row r="408" spans="4:4">
      <c r="D408" s="170"/>
    </row>
    <row r="409" spans="4:4">
      <c r="D409" s="170"/>
    </row>
    <row r="410" spans="4:4">
      <c r="D410" s="170"/>
    </row>
    <row r="411" spans="4:4">
      <c r="D411" s="170"/>
    </row>
    <row r="412" spans="4:4">
      <c r="D412" s="170"/>
    </row>
    <row r="413" spans="4:4">
      <c r="D413" s="170"/>
    </row>
    <row r="414" spans="4:4">
      <c r="D414" s="170"/>
    </row>
    <row r="415" spans="4:4">
      <c r="D415" s="170"/>
    </row>
    <row r="416" spans="4:4">
      <c r="D416" s="170"/>
    </row>
    <row r="417" spans="4:4">
      <c r="D417" s="170"/>
    </row>
    <row r="418" spans="4:4">
      <c r="D418" s="170"/>
    </row>
    <row r="419" spans="4:4">
      <c r="D419" s="170"/>
    </row>
    <row r="420" spans="4:4">
      <c r="D420" s="170"/>
    </row>
    <row r="421" spans="4:4">
      <c r="D421" s="170"/>
    </row>
    <row r="422" spans="4:4">
      <c r="D422" s="170"/>
    </row>
    <row r="423" spans="4:4">
      <c r="D423" s="170"/>
    </row>
    <row r="424" spans="4:4">
      <c r="D424" s="170"/>
    </row>
    <row r="425" spans="4:4">
      <c r="D425" s="170"/>
    </row>
    <row r="426" spans="4:4">
      <c r="D426" s="170"/>
    </row>
    <row r="427" spans="4:4">
      <c r="D427" s="170"/>
    </row>
    <row r="428" spans="4:4">
      <c r="D428" s="170"/>
    </row>
    <row r="429" spans="4:4">
      <c r="D429" s="170"/>
    </row>
    <row r="430" spans="4:4">
      <c r="D430" s="170"/>
    </row>
    <row r="431" spans="4:4">
      <c r="D431" s="170"/>
    </row>
    <row r="432" spans="4:4">
      <c r="D432" s="170"/>
    </row>
    <row r="433" spans="4:4">
      <c r="D433" s="170"/>
    </row>
    <row r="434" spans="4:4">
      <c r="D434" s="170"/>
    </row>
    <row r="435" spans="4:4">
      <c r="D435" s="170"/>
    </row>
    <row r="436" spans="4:4">
      <c r="D436" s="170"/>
    </row>
    <row r="437" spans="4:4">
      <c r="D437" s="170"/>
    </row>
    <row r="438" spans="4:4">
      <c r="D438" s="170"/>
    </row>
    <row r="439" spans="4:4">
      <c r="D439" s="170"/>
    </row>
    <row r="440" spans="4:4">
      <c r="D440" s="170"/>
    </row>
    <row r="441" spans="4:4">
      <c r="D441" s="170"/>
    </row>
    <row r="442" spans="4:4">
      <c r="D442" s="170"/>
    </row>
    <row r="443" spans="4:4">
      <c r="D443" s="170"/>
    </row>
    <row r="444" spans="4:4">
      <c r="D444" s="170"/>
    </row>
    <row r="445" spans="4:4">
      <c r="D445" s="170"/>
    </row>
    <row r="446" spans="4:4">
      <c r="D446" s="170"/>
    </row>
    <row r="447" spans="4:4">
      <c r="D447" s="170"/>
    </row>
    <row r="448" spans="4:4">
      <c r="D448" s="170"/>
    </row>
    <row r="449" spans="4:4">
      <c r="D449" s="170"/>
    </row>
    <row r="450" spans="4:4">
      <c r="D450" s="170"/>
    </row>
    <row r="451" spans="4:4">
      <c r="D451" s="170"/>
    </row>
    <row r="452" spans="4:4">
      <c r="D452" s="170"/>
    </row>
    <row r="453" spans="4:4">
      <c r="D453" s="170"/>
    </row>
    <row r="454" spans="4:4">
      <c r="D454" s="170"/>
    </row>
    <row r="455" spans="4:4">
      <c r="D455" s="170"/>
    </row>
    <row r="456" spans="4:4">
      <c r="D456" s="170"/>
    </row>
    <row r="457" spans="4:4">
      <c r="D457" s="170"/>
    </row>
    <row r="458" spans="4:4">
      <c r="D458" s="170"/>
    </row>
    <row r="459" spans="4:4">
      <c r="D459" s="170"/>
    </row>
    <row r="460" spans="4:4">
      <c r="D460" s="170"/>
    </row>
    <row r="461" spans="4:4">
      <c r="D461" s="170"/>
    </row>
    <row r="462" spans="4:4">
      <c r="D462" s="170"/>
    </row>
    <row r="463" spans="4:4">
      <c r="D463" s="170"/>
    </row>
    <row r="464" spans="4:4">
      <c r="D464" s="170"/>
    </row>
    <row r="465" spans="4:4">
      <c r="D465" s="170"/>
    </row>
    <row r="466" spans="4:4">
      <c r="D466" s="170"/>
    </row>
    <row r="467" spans="4:4">
      <c r="D467" s="170"/>
    </row>
    <row r="468" spans="4:4">
      <c r="D468" s="170"/>
    </row>
    <row r="469" spans="4:4">
      <c r="D469" s="170"/>
    </row>
    <row r="470" spans="4:4">
      <c r="D470" s="170"/>
    </row>
    <row r="471" spans="4:4">
      <c r="D471" s="170"/>
    </row>
    <row r="472" spans="4:4">
      <c r="D472" s="170"/>
    </row>
    <row r="473" spans="4:4">
      <c r="D473" s="170"/>
    </row>
    <row r="474" spans="4:4">
      <c r="D474" s="170"/>
    </row>
    <row r="475" spans="4:4">
      <c r="D475" s="170"/>
    </row>
    <row r="476" spans="4:4">
      <c r="D476" s="170"/>
    </row>
    <row r="477" spans="4:4">
      <c r="D477" s="170"/>
    </row>
    <row r="478" spans="4:4">
      <c r="D478" s="170"/>
    </row>
    <row r="479" spans="4:4">
      <c r="D479" s="170"/>
    </row>
    <row r="480" spans="4:4">
      <c r="D480" s="170"/>
    </row>
    <row r="481" spans="4:4">
      <c r="D481" s="170"/>
    </row>
    <row r="482" spans="4:4">
      <c r="D482" s="170"/>
    </row>
    <row r="483" spans="4:4">
      <c r="D483" s="170"/>
    </row>
    <row r="484" spans="4:4">
      <c r="D484" s="170"/>
    </row>
    <row r="485" spans="4:4">
      <c r="D485" s="170"/>
    </row>
    <row r="486" spans="4:4">
      <c r="D486" s="170"/>
    </row>
    <row r="487" spans="4:4">
      <c r="D487" s="170"/>
    </row>
    <row r="488" spans="4:4">
      <c r="D488" s="170"/>
    </row>
    <row r="489" spans="4:4">
      <c r="D489" s="170"/>
    </row>
    <row r="490" spans="4:4">
      <c r="D490" s="170"/>
    </row>
    <row r="491" spans="4:4">
      <c r="D491" s="170"/>
    </row>
    <row r="492" spans="4:4">
      <c r="D492" s="170"/>
    </row>
    <row r="493" spans="4:4">
      <c r="D493" s="170"/>
    </row>
    <row r="494" spans="4:4">
      <c r="D494" s="170"/>
    </row>
    <row r="495" spans="4:4">
      <c r="D495" s="170"/>
    </row>
    <row r="496" spans="4:4">
      <c r="D496" s="170"/>
    </row>
    <row r="497" spans="4:4">
      <c r="D497" s="170"/>
    </row>
    <row r="498" spans="4:4">
      <c r="D498" s="170"/>
    </row>
    <row r="499" spans="4:4">
      <c r="D499" s="170"/>
    </row>
    <row r="500" spans="4:4">
      <c r="D500" s="170"/>
    </row>
    <row r="501" spans="4:4">
      <c r="D501" s="170"/>
    </row>
    <row r="502" spans="4:4">
      <c r="D502" s="170"/>
    </row>
    <row r="503" spans="4:4">
      <c r="D503" s="170"/>
    </row>
    <row r="504" spans="4:4">
      <c r="D504" s="170"/>
    </row>
    <row r="505" spans="4:4">
      <c r="D505" s="170"/>
    </row>
    <row r="506" spans="4:4">
      <c r="D506" s="170"/>
    </row>
    <row r="507" spans="4:4">
      <c r="D507" s="170"/>
    </row>
    <row r="508" spans="4:4">
      <c r="D508" s="170"/>
    </row>
    <row r="509" spans="4:4">
      <c r="D509" s="170"/>
    </row>
    <row r="510" spans="4:4">
      <c r="D510" s="170"/>
    </row>
    <row r="511" spans="4:4">
      <c r="D511" s="170"/>
    </row>
    <row r="512" spans="4:4">
      <c r="D512" s="170"/>
    </row>
    <row r="513" spans="4:4">
      <c r="D513" s="170"/>
    </row>
    <row r="514" spans="4:4">
      <c r="D514" s="170"/>
    </row>
    <row r="515" spans="4:4">
      <c r="D515" s="170"/>
    </row>
    <row r="516" spans="4:4">
      <c r="D516" s="170"/>
    </row>
    <row r="517" spans="4:4">
      <c r="D517" s="170"/>
    </row>
    <row r="518" spans="4:4">
      <c r="D518" s="170"/>
    </row>
    <row r="519" spans="4:4">
      <c r="D519" s="170"/>
    </row>
    <row r="520" spans="4:4">
      <c r="D520" s="170"/>
    </row>
    <row r="521" spans="4:4">
      <c r="D521" s="170"/>
    </row>
    <row r="522" spans="4:4">
      <c r="D522" s="170"/>
    </row>
    <row r="523" spans="4:4">
      <c r="D523" s="170"/>
    </row>
    <row r="524" spans="4:4">
      <c r="D524" s="170"/>
    </row>
    <row r="525" spans="4:4">
      <c r="D525" s="170"/>
    </row>
    <row r="526" spans="4:4">
      <c r="D526" s="170"/>
    </row>
    <row r="527" spans="4:4">
      <c r="D527" s="170"/>
    </row>
    <row r="528" spans="4:4">
      <c r="D528" s="170"/>
    </row>
    <row r="529" spans="4:4">
      <c r="D529" s="170"/>
    </row>
    <row r="530" spans="4:4">
      <c r="D530" s="170"/>
    </row>
    <row r="531" spans="4:4">
      <c r="D531" s="170"/>
    </row>
    <row r="532" spans="4:4">
      <c r="D532" s="170"/>
    </row>
    <row r="533" spans="4:4">
      <c r="D533" s="170"/>
    </row>
    <row r="534" spans="4:4">
      <c r="D534" s="170"/>
    </row>
    <row r="535" spans="4:4">
      <c r="D535" s="170"/>
    </row>
    <row r="536" spans="4:4">
      <c r="D536" s="170"/>
    </row>
    <row r="537" spans="4:4">
      <c r="D537" s="170"/>
    </row>
    <row r="538" spans="4:4">
      <c r="D538" s="170"/>
    </row>
    <row r="539" spans="4:4">
      <c r="D539" s="170"/>
    </row>
    <row r="540" spans="4:4">
      <c r="D540" s="170"/>
    </row>
    <row r="541" spans="4:4">
      <c r="D541" s="170"/>
    </row>
    <row r="542" spans="4:4">
      <c r="D542" s="170"/>
    </row>
    <row r="543" spans="4:4">
      <c r="D543" s="170"/>
    </row>
    <row r="544" spans="4:4">
      <c r="D544" s="170"/>
    </row>
    <row r="545" spans="4:4">
      <c r="D545" s="170"/>
    </row>
    <row r="546" spans="4:4">
      <c r="D546" s="170"/>
    </row>
    <row r="547" spans="4:4">
      <c r="D547" s="170"/>
    </row>
    <row r="548" spans="4:4">
      <c r="D548" s="170"/>
    </row>
    <row r="549" spans="4:4">
      <c r="D549" s="170"/>
    </row>
    <row r="550" spans="4:4">
      <c r="D550" s="170"/>
    </row>
    <row r="551" spans="4:4">
      <c r="D551" s="170"/>
    </row>
    <row r="552" spans="4:4">
      <c r="D552" s="170"/>
    </row>
    <row r="553" spans="4:4">
      <c r="D553" s="170"/>
    </row>
    <row r="554" spans="4:4">
      <c r="D554" s="170"/>
    </row>
    <row r="555" spans="4:4">
      <c r="D555" s="170"/>
    </row>
    <row r="556" spans="4:4">
      <c r="D556" s="170"/>
    </row>
    <row r="557" spans="4:4">
      <c r="D557" s="170"/>
    </row>
    <row r="558" spans="4:4">
      <c r="D558" s="170"/>
    </row>
    <row r="559" spans="4:4">
      <c r="D559" s="170"/>
    </row>
    <row r="560" spans="4:4">
      <c r="D560" s="170"/>
    </row>
    <row r="561" spans="4:4">
      <c r="D561" s="170"/>
    </row>
    <row r="562" spans="4:4">
      <c r="D562" s="170"/>
    </row>
    <row r="563" spans="4:4">
      <c r="D563" s="170"/>
    </row>
    <row r="564" spans="4:4">
      <c r="D564" s="170"/>
    </row>
    <row r="565" spans="4:4">
      <c r="D565" s="170"/>
    </row>
    <row r="566" spans="4:4">
      <c r="D566" s="170"/>
    </row>
    <row r="567" spans="4:4">
      <c r="D567" s="170"/>
    </row>
    <row r="568" spans="4:4">
      <c r="D568" s="170"/>
    </row>
    <row r="569" spans="4:4">
      <c r="D569" s="170"/>
    </row>
    <row r="570" spans="4:4">
      <c r="D570" s="170"/>
    </row>
    <row r="571" spans="4:4">
      <c r="D571" s="170"/>
    </row>
    <row r="572" spans="4:4">
      <c r="D572" s="170"/>
    </row>
    <row r="573" spans="4:4">
      <c r="D573" s="170"/>
    </row>
    <row r="574" spans="4:4">
      <c r="D574" s="170"/>
    </row>
    <row r="575" spans="4:4">
      <c r="D575" s="170"/>
    </row>
    <row r="576" spans="4:4">
      <c r="D576" s="170"/>
    </row>
    <row r="577" spans="4:4">
      <c r="D577" s="170"/>
    </row>
    <row r="578" spans="4:4">
      <c r="D578" s="170"/>
    </row>
    <row r="579" spans="4:4">
      <c r="D579" s="170"/>
    </row>
    <row r="580" spans="4:4">
      <c r="D580" s="170"/>
    </row>
    <row r="581" spans="4:4">
      <c r="D581" s="170"/>
    </row>
    <row r="582" spans="4:4">
      <c r="D582" s="170"/>
    </row>
    <row r="583" spans="4:4">
      <c r="D583" s="170"/>
    </row>
    <row r="584" spans="4:4">
      <c r="D584" s="170"/>
    </row>
    <row r="585" spans="4:4">
      <c r="D585" s="170"/>
    </row>
    <row r="586" spans="4:4">
      <c r="D586" s="170"/>
    </row>
    <row r="587" spans="4:4">
      <c r="D587" s="170"/>
    </row>
    <row r="588" spans="4:4">
      <c r="D588" s="170"/>
    </row>
    <row r="589" spans="4:4">
      <c r="D589" s="170"/>
    </row>
    <row r="590" spans="4:4">
      <c r="D590" s="170"/>
    </row>
    <row r="591" spans="4:4">
      <c r="D591" s="170"/>
    </row>
    <row r="592" spans="4:4">
      <c r="D592" s="170"/>
    </row>
    <row r="593" spans="4:4">
      <c r="D593" s="170"/>
    </row>
    <row r="594" spans="4:4">
      <c r="D594" s="170"/>
    </row>
    <row r="595" spans="4:4">
      <c r="D595" s="170"/>
    </row>
    <row r="596" spans="4:4">
      <c r="D596" s="170"/>
    </row>
    <row r="597" spans="4:4">
      <c r="D597" s="170"/>
    </row>
    <row r="598" spans="4:4">
      <c r="D598" s="170"/>
    </row>
    <row r="599" spans="4:4">
      <c r="D599" s="170"/>
    </row>
    <row r="600" spans="4:4">
      <c r="D600" s="170"/>
    </row>
    <row r="601" spans="4:4">
      <c r="D601" s="170"/>
    </row>
    <row r="602" spans="4:4">
      <c r="D602" s="170"/>
    </row>
    <row r="603" spans="4:4">
      <c r="D603" s="170"/>
    </row>
    <row r="604" spans="4:4">
      <c r="D604" s="170"/>
    </row>
    <row r="605" spans="4:4">
      <c r="D605" s="170"/>
    </row>
    <row r="606" spans="4:4">
      <c r="D606" s="170"/>
    </row>
    <row r="607" spans="4:4">
      <c r="D607" s="170"/>
    </row>
    <row r="608" spans="4:4">
      <c r="D608" s="170"/>
    </row>
    <row r="609" spans="4:4">
      <c r="D609" s="170"/>
    </row>
    <row r="610" spans="4:4">
      <c r="D610" s="170"/>
    </row>
    <row r="611" spans="4:4">
      <c r="D611" s="170"/>
    </row>
    <row r="612" spans="4:4">
      <c r="D612" s="170"/>
    </row>
    <row r="613" spans="4:4">
      <c r="D613" s="170"/>
    </row>
    <row r="614" spans="4:4">
      <c r="D614" s="170"/>
    </row>
    <row r="615" spans="4:4">
      <c r="D615" s="170"/>
    </row>
    <row r="616" spans="4:4">
      <c r="D616" s="170"/>
    </row>
    <row r="617" spans="4:4">
      <c r="D617" s="170"/>
    </row>
    <row r="618" spans="4:4">
      <c r="D618" s="170"/>
    </row>
    <row r="619" spans="4:4">
      <c r="D619" s="170"/>
    </row>
    <row r="620" spans="4:4">
      <c r="D620" s="170"/>
    </row>
    <row r="621" spans="4:4">
      <c r="D621" s="170"/>
    </row>
    <row r="622" spans="4:4">
      <c r="D622" s="170"/>
    </row>
    <row r="623" spans="4:4">
      <c r="D623" s="170"/>
    </row>
    <row r="624" spans="4:4">
      <c r="D624" s="170"/>
    </row>
    <row r="625" spans="4:4">
      <c r="D625" s="170"/>
    </row>
    <row r="626" spans="4:4">
      <c r="D626" s="170"/>
    </row>
    <row r="627" spans="4:4">
      <c r="D627" s="170"/>
    </row>
    <row r="628" spans="4:4">
      <c r="D628" s="170"/>
    </row>
    <row r="629" spans="4:4">
      <c r="D629" s="170"/>
    </row>
    <row r="630" spans="4:4">
      <c r="D630" s="170"/>
    </row>
    <row r="631" spans="4:4">
      <c r="D631" s="170"/>
    </row>
    <row r="632" spans="4:4">
      <c r="D632" s="170"/>
    </row>
    <row r="633" spans="4:4">
      <c r="D633" s="170"/>
    </row>
    <row r="634" spans="4:4">
      <c r="D634" s="170"/>
    </row>
    <row r="635" spans="4:4">
      <c r="D635" s="170"/>
    </row>
    <row r="636" spans="4:4">
      <c r="D636" s="170"/>
    </row>
    <row r="637" spans="4:4">
      <c r="D637" s="170"/>
    </row>
    <row r="638" spans="4:4">
      <c r="D638" s="170"/>
    </row>
    <row r="639" spans="4:4">
      <c r="D639" s="170"/>
    </row>
    <row r="640" spans="4:4">
      <c r="D640" s="170"/>
    </row>
    <row r="641" spans="4:4">
      <c r="D641" s="170"/>
    </row>
    <row r="642" spans="4:4">
      <c r="D642" s="170"/>
    </row>
    <row r="643" spans="4:4">
      <c r="D643" s="170"/>
    </row>
    <row r="644" spans="4:4">
      <c r="D644" s="170"/>
    </row>
    <row r="645" spans="4:4">
      <c r="D645" s="170"/>
    </row>
    <row r="646" spans="4:4">
      <c r="D646" s="170"/>
    </row>
    <row r="647" spans="4:4">
      <c r="D647" s="170"/>
    </row>
    <row r="648" spans="4:4">
      <c r="D648" s="170"/>
    </row>
    <row r="649" spans="4:4">
      <c r="D649" s="170"/>
    </row>
    <row r="650" spans="4:4">
      <c r="D650" s="170"/>
    </row>
    <row r="651" spans="4:4">
      <c r="D651" s="170"/>
    </row>
    <row r="652" spans="4:4">
      <c r="D652" s="170"/>
    </row>
    <row r="653" spans="4:4">
      <c r="D653" s="170"/>
    </row>
    <row r="654" spans="4:4">
      <c r="D654" s="170"/>
    </row>
    <row r="655" spans="4:4">
      <c r="D655" s="170"/>
    </row>
    <row r="656" spans="4:4">
      <c r="D656" s="170"/>
    </row>
    <row r="657" spans="4:4">
      <c r="D657" s="170"/>
    </row>
    <row r="658" spans="4:4">
      <c r="D658" s="170"/>
    </row>
    <row r="659" spans="4:4">
      <c r="D659" s="170"/>
    </row>
    <row r="660" spans="4:4">
      <c r="D660" s="170"/>
    </row>
    <row r="661" spans="4:4">
      <c r="D661" s="170"/>
    </row>
    <row r="662" spans="4:4">
      <c r="D662" s="170"/>
    </row>
    <row r="663" spans="4:4">
      <c r="D663" s="170"/>
    </row>
    <row r="664" spans="4:4">
      <c r="D664" s="170"/>
    </row>
    <row r="665" spans="4:4">
      <c r="D665" s="170"/>
    </row>
    <row r="666" spans="4:4">
      <c r="D666" s="170"/>
    </row>
    <row r="667" spans="4:4">
      <c r="D667" s="170"/>
    </row>
    <row r="668" spans="4:4">
      <c r="D668" s="170"/>
    </row>
    <row r="669" spans="4:4">
      <c r="D669" s="170"/>
    </row>
    <row r="670" spans="4:4">
      <c r="D670" s="170"/>
    </row>
    <row r="671" spans="4:4">
      <c r="D671" s="170"/>
    </row>
    <row r="672" spans="4:4">
      <c r="D672" s="170"/>
    </row>
    <row r="673" spans="4:4">
      <c r="D673" s="170"/>
    </row>
    <row r="674" spans="4:4">
      <c r="D674" s="170"/>
    </row>
    <row r="675" spans="4:4">
      <c r="D675" s="170"/>
    </row>
    <row r="676" spans="4:4">
      <c r="D676" s="170"/>
    </row>
    <row r="677" spans="4:4">
      <c r="D677" s="170"/>
    </row>
    <row r="678" spans="4:4">
      <c r="D678" s="170"/>
    </row>
    <row r="679" spans="4:4">
      <c r="D679" s="170"/>
    </row>
    <row r="680" spans="4:4">
      <c r="D680" s="170"/>
    </row>
    <row r="681" spans="4:4">
      <c r="D681" s="170"/>
    </row>
    <row r="682" spans="4:4">
      <c r="D682" s="170"/>
    </row>
    <row r="683" spans="4:4">
      <c r="D683" s="170"/>
    </row>
    <row r="684" spans="4:4">
      <c r="D684" s="170"/>
    </row>
    <row r="685" spans="4:4">
      <c r="D685" s="170"/>
    </row>
    <row r="686" spans="4:4">
      <c r="D686" s="170"/>
    </row>
    <row r="687" spans="4:4">
      <c r="D687" s="170"/>
    </row>
    <row r="688" spans="4:4">
      <c r="D688" s="170"/>
    </row>
    <row r="689" spans="4:4">
      <c r="D689" s="170"/>
    </row>
    <row r="690" spans="4:4">
      <c r="D690" s="170"/>
    </row>
    <row r="691" spans="4:4">
      <c r="D691" s="170"/>
    </row>
    <row r="692" spans="4:4">
      <c r="D692" s="170"/>
    </row>
    <row r="693" spans="4:4">
      <c r="D693" s="170"/>
    </row>
    <row r="694" spans="4:4">
      <c r="D694" s="170"/>
    </row>
    <row r="695" spans="4:4">
      <c r="D695" s="170"/>
    </row>
    <row r="696" spans="4:4">
      <c r="D696" s="170"/>
    </row>
    <row r="697" spans="4:4">
      <c r="D697" s="170"/>
    </row>
    <row r="698" spans="4:4">
      <c r="D698" s="170"/>
    </row>
    <row r="699" spans="4:4">
      <c r="D699" s="170"/>
    </row>
    <row r="700" spans="4:4">
      <c r="D700" s="170"/>
    </row>
    <row r="701" spans="4:4">
      <c r="D701" s="170"/>
    </row>
    <row r="702" spans="4:4">
      <c r="D702" s="170"/>
    </row>
    <row r="703" spans="4:4">
      <c r="D703" s="170"/>
    </row>
    <row r="704" spans="4:4">
      <c r="D704" s="170"/>
    </row>
    <row r="705" spans="4:4">
      <c r="D705" s="170"/>
    </row>
    <row r="706" spans="4:4">
      <c r="D706" s="170"/>
    </row>
    <row r="707" spans="4:4">
      <c r="D707" s="170"/>
    </row>
    <row r="708" spans="4:4">
      <c r="D708" s="170"/>
    </row>
    <row r="709" spans="4:4">
      <c r="D709" s="170"/>
    </row>
    <row r="710" spans="4:4">
      <c r="D710" s="170"/>
    </row>
    <row r="711" spans="4:4">
      <c r="D711" s="170"/>
    </row>
    <row r="712" spans="4:4">
      <c r="D712" s="170"/>
    </row>
    <row r="713" spans="4:4">
      <c r="D713" s="170"/>
    </row>
    <row r="714" spans="4:4">
      <c r="D714" s="170"/>
    </row>
    <row r="715" spans="4:4">
      <c r="D715" s="170"/>
    </row>
    <row r="716" spans="4:4">
      <c r="D716" s="170"/>
    </row>
    <row r="717" spans="4:4">
      <c r="D717" s="170"/>
    </row>
    <row r="718" spans="4:4">
      <c r="D718" s="170"/>
    </row>
    <row r="719" spans="4:4">
      <c r="D719" s="170"/>
    </row>
    <row r="720" spans="4:4">
      <c r="D720" s="170"/>
    </row>
    <row r="721" spans="4:4">
      <c r="D721" s="170"/>
    </row>
    <row r="722" spans="4:4">
      <c r="D722" s="170"/>
    </row>
    <row r="723" spans="4:4">
      <c r="D723" s="170"/>
    </row>
    <row r="724" spans="4:4">
      <c r="D724" s="170"/>
    </row>
    <row r="725" spans="4:4">
      <c r="D725" s="170"/>
    </row>
    <row r="726" spans="4:4">
      <c r="D726" s="170"/>
    </row>
    <row r="727" spans="4:4">
      <c r="D727" s="170"/>
    </row>
    <row r="728" spans="4:4">
      <c r="D728" s="170"/>
    </row>
    <row r="729" spans="4:4">
      <c r="D729" s="170"/>
    </row>
    <row r="730" spans="4:4">
      <c r="D730" s="170"/>
    </row>
    <row r="731" spans="4:4">
      <c r="D731" s="170"/>
    </row>
    <row r="732" spans="4:4">
      <c r="D732" s="170"/>
    </row>
    <row r="733" spans="4:4">
      <c r="D733" s="170"/>
    </row>
    <row r="734" spans="4:4">
      <c r="D734" s="170"/>
    </row>
    <row r="735" spans="4:4">
      <c r="D735" s="170"/>
    </row>
    <row r="736" spans="4:4">
      <c r="D736" s="170"/>
    </row>
    <row r="737" spans="4:4">
      <c r="D737" s="170"/>
    </row>
    <row r="738" spans="4:4">
      <c r="D738" s="170"/>
    </row>
    <row r="739" spans="4:4">
      <c r="D739" s="170"/>
    </row>
    <row r="740" spans="4:4">
      <c r="D740" s="170"/>
    </row>
    <row r="741" spans="4:4">
      <c r="D741" s="170"/>
    </row>
    <row r="742" spans="4:4">
      <c r="D742" s="170"/>
    </row>
    <row r="743" spans="4:4">
      <c r="D743" s="170"/>
    </row>
    <row r="744" spans="4:4">
      <c r="D744" s="170"/>
    </row>
    <row r="745" spans="4:4">
      <c r="D745" s="170"/>
    </row>
    <row r="746" spans="4:4">
      <c r="D746" s="170"/>
    </row>
    <row r="747" spans="4:4">
      <c r="D747" s="170"/>
    </row>
    <row r="748" spans="4:4">
      <c r="D748" s="170"/>
    </row>
    <row r="749" spans="4:4">
      <c r="D749" s="170"/>
    </row>
    <row r="750" spans="4:4">
      <c r="D750" s="170"/>
    </row>
    <row r="751" spans="4:4">
      <c r="D751" s="170"/>
    </row>
    <row r="752" spans="4:4">
      <c r="D752" s="170"/>
    </row>
    <row r="753" spans="4:4">
      <c r="D753" s="170"/>
    </row>
    <row r="754" spans="4:4">
      <c r="D754" s="170"/>
    </row>
    <row r="755" spans="4:4">
      <c r="D755" s="170"/>
    </row>
    <row r="756" spans="4:4">
      <c r="D756" s="170"/>
    </row>
    <row r="757" spans="4:4">
      <c r="D757" s="170"/>
    </row>
    <row r="758" spans="4:4">
      <c r="D758" s="170"/>
    </row>
    <row r="759" spans="4:4">
      <c r="D759" s="170"/>
    </row>
    <row r="760" spans="4:4">
      <c r="D760" s="170"/>
    </row>
    <row r="761" spans="4:4">
      <c r="D761" s="170"/>
    </row>
    <row r="762" spans="4:4">
      <c r="D762" s="170"/>
    </row>
    <row r="763" spans="4:4">
      <c r="D763" s="170"/>
    </row>
    <row r="764" spans="4:4">
      <c r="D764" s="170"/>
    </row>
    <row r="765" spans="4:4">
      <c r="D765" s="170"/>
    </row>
    <row r="766" spans="4:4">
      <c r="D766" s="170"/>
    </row>
    <row r="767" spans="4:4">
      <c r="D767" s="170"/>
    </row>
    <row r="768" spans="4:4">
      <c r="D768" s="170"/>
    </row>
    <row r="769" spans="4:4">
      <c r="D769" s="170"/>
    </row>
    <row r="770" spans="4:4">
      <c r="D770" s="170"/>
    </row>
    <row r="771" spans="4:4">
      <c r="D771" s="170"/>
    </row>
    <row r="772" spans="4:4">
      <c r="D772" s="170"/>
    </row>
    <row r="773" spans="4:4">
      <c r="D773" s="170"/>
    </row>
    <row r="774" spans="4:4">
      <c r="D774" s="170"/>
    </row>
    <row r="775" spans="4:4">
      <c r="D775" s="170"/>
    </row>
    <row r="776" spans="4:4">
      <c r="D776" s="170"/>
    </row>
    <row r="777" spans="4:4">
      <c r="D777" s="170"/>
    </row>
    <row r="778" spans="4:4">
      <c r="D778" s="170"/>
    </row>
    <row r="779" spans="4:4">
      <c r="D779" s="170"/>
    </row>
    <row r="780" spans="4:4">
      <c r="D780" s="170"/>
    </row>
    <row r="781" spans="4:4">
      <c r="D781" s="170"/>
    </row>
    <row r="782" spans="4:4">
      <c r="D782" s="170"/>
    </row>
    <row r="783" spans="4:4">
      <c r="D783" s="170"/>
    </row>
    <row r="784" spans="4:4">
      <c r="D784" s="170"/>
    </row>
    <row r="785" spans="4:4">
      <c r="D785" s="170"/>
    </row>
    <row r="786" spans="4:4">
      <c r="D786" s="170"/>
    </row>
    <row r="787" spans="4:4">
      <c r="D787" s="170"/>
    </row>
    <row r="788" spans="4:4">
      <c r="D788" s="170"/>
    </row>
    <row r="789" spans="4:4">
      <c r="D789" s="170"/>
    </row>
    <row r="790" spans="4:4">
      <c r="D790" s="170"/>
    </row>
    <row r="791" spans="4:4">
      <c r="D791" s="170"/>
    </row>
    <row r="792" spans="4:4">
      <c r="D792" s="170"/>
    </row>
    <row r="793" spans="4:4">
      <c r="D793" s="170"/>
    </row>
    <row r="794" spans="4:4">
      <c r="D794" s="170"/>
    </row>
    <row r="795" spans="4:4">
      <c r="D795" s="170"/>
    </row>
    <row r="796" spans="4:4">
      <c r="D796" s="170"/>
    </row>
    <row r="797" spans="4:4">
      <c r="D797" s="170"/>
    </row>
    <row r="798" spans="4:4">
      <c r="D798" s="170"/>
    </row>
    <row r="799" spans="4:4">
      <c r="D799" s="170"/>
    </row>
    <row r="800" spans="4:4">
      <c r="D800" s="170"/>
    </row>
    <row r="801" spans="4:4">
      <c r="D801" s="170"/>
    </row>
    <row r="802" spans="4:4">
      <c r="D802" s="170"/>
    </row>
    <row r="803" spans="4:4">
      <c r="D803" s="170"/>
    </row>
    <row r="804" spans="4:4">
      <c r="D804" s="170"/>
    </row>
    <row r="805" spans="4:4">
      <c r="D805" s="170"/>
    </row>
    <row r="806" spans="4:4">
      <c r="D806" s="170"/>
    </row>
    <row r="807" spans="4:4">
      <c r="D807" s="170"/>
    </row>
    <row r="808" spans="4:4">
      <c r="D808" s="170"/>
    </row>
    <row r="809" spans="4:4">
      <c r="D809" s="170"/>
    </row>
    <row r="810" spans="4:4">
      <c r="D810" s="170"/>
    </row>
    <row r="811" spans="4:4">
      <c r="D811" s="170"/>
    </row>
    <row r="812" spans="4:4">
      <c r="D812" s="170"/>
    </row>
    <row r="813" spans="4:4">
      <c r="D813" s="170"/>
    </row>
    <row r="814" spans="4:4">
      <c r="D814" s="170"/>
    </row>
    <row r="815" spans="4:4">
      <c r="D815" s="170"/>
    </row>
    <row r="816" spans="4:4">
      <c r="D816" s="170"/>
    </row>
    <row r="817" spans="4:4">
      <c r="D817" s="170"/>
    </row>
    <row r="818" spans="4:4">
      <c r="D818" s="170"/>
    </row>
    <row r="819" spans="4:4">
      <c r="D819" s="170"/>
    </row>
    <row r="820" spans="4:4">
      <c r="D820" s="170"/>
    </row>
    <row r="821" spans="4:4">
      <c r="D821" s="170"/>
    </row>
    <row r="822" spans="4:4">
      <c r="D822" s="170"/>
    </row>
    <row r="823" spans="4:4">
      <c r="D823" s="170"/>
    </row>
    <row r="824" spans="4:4">
      <c r="D824" s="170"/>
    </row>
    <row r="825" spans="4:4">
      <c r="D825" s="170"/>
    </row>
    <row r="826" spans="4:4">
      <c r="D826" s="170"/>
    </row>
    <row r="827" spans="4:4">
      <c r="D827" s="170"/>
    </row>
    <row r="828" spans="4:4">
      <c r="D828" s="170"/>
    </row>
    <row r="829" spans="4:4">
      <c r="D829" s="170"/>
    </row>
    <row r="830" spans="4:4">
      <c r="D830" s="170"/>
    </row>
    <row r="831" spans="4:4">
      <c r="D831" s="170"/>
    </row>
    <row r="832" spans="4:4">
      <c r="D832" s="170"/>
    </row>
    <row r="833" spans="4:4">
      <c r="D833" s="170"/>
    </row>
    <row r="834" spans="4:4">
      <c r="D834" s="170"/>
    </row>
    <row r="835" spans="4:4">
      <c r="D835" s="170"/>
    </row>
    <row r="836" spans="4:4">
      <c r="D836" s="170"/>
    </row>
    <row r="837" spans="4:4">
      <c r="D837" s="170"/>
    </row>
    <row r="838" spans="4:4">
      <c r="D838" s="170"/>
    </row>
    <row r="839" spans="4:4">
      <c r="D839" s="170"/>
    </row>
    <row r="840" spans="4:4">
      <c r="D840" s="170"/>
    </row>
    <row r="841" spans="4:4">
      <c r="D841" s="170"/>
    </row>
    <row r="842" spans="4:4">
      <c r="D842" s="170"/>
    </row>
    <row r="843" spans="4:4">
      <c r="D843" s="170"/>
    </row>
    <row r="844" spans="4:4">
      <c r="D844" s="170"/>
    </row>
    <row r="845" spans="4:4">
      <c r="D845" s="170"/>
    </row>
    <row r="846" spans="4:4">
      <c r="D846" s="170"/>
    </row>
    <row r="847" spans="4:4">
      <c r="D847" s="170"/>
    </row>
    <row r="848" spans="4:4">
      <c r="D848" s="170"/>
    </row>
    <row r="849" spans="4:4">
      <c r="D849" s="170"/>
    </row>
    <row r="850" spans="4:4">
      <c r="D850" s="170"/>
    </row>
    <row r="851" spans="4:4">
      <c r="D851" s="170"/>
    </row>
    <row r="852" spans="4:4">
      <c r="D852" s="170"/>
    </row>
    <row r="853" spans="4:4">
      <c r="D853" s="170"/>
    </row>
    <row r="854" spans="4:4">
      <c r="D854" s="170"/>
    </row>
    <row r="855" spans="4:4">
      <c r="D855" s="170"/>
    </row>
    <row r="856" spans="4:4">
      <c r="D856" s="170"/>
    </row>
    <row r="857" spans="4:4">
      <c r="D857" s="170"/>
    </row>
    <row r="858" spans="4:4">
      <c r="D858" s="170"/>
    </row>
    <row r="859" spans="4:4">
      <c r="D859" s="170"/>
    </row>
    <row r="860" spans="4:4">
      <c r="D860" s="170"/>
    </row>
    <row r="861" spans="4:4">
      <c r="D861" s="170"/>
    </row>
    <row r="862" spans="4:4">
      <c r="D862" s="170"/>
    </row>
    <row r="863" spans="4:4">
      <c r="D863" s="170"/>
    </row>
    <row r="864" spans="4:4">
      <c r="D864" s="170"/>
    </row>
    <row r="865" spans="4:4">
      <c r="D865" s="170"/>
    </row>
    <row r="866" spans="4:4">
      <c r="D866" s="170"/>
    </row>
    <row r="867" spans="4:4">
      <c r="D867" s="170"/>
    </row>
    <row r="868" spans="4:4">
      <c r="D868" s="170"/>
    </row>
    <row r="869" spans="4:4">
      <c r="D869" s="170"/>
    </row>
    <row r="870" spans="4:4">
      <c r="D870" s="170"/>
    </row>
    <row r="871" spans="4:4">
      <c r="D871" s="170"/>
    </row>
    <row r="872" spans="4:4">
      <c r="D872" s="170"/>
    </row>
    <row r="873" spans="4:4">
      <c r="D873" s="170"/>
    </row>
    <row r="874" spans="4:4">
      <c r="D874" s="170"/>
    </row>
    <row r="875" spans="4:4">
      <c r="D875" s="170"/>
    </row>
    <row r="876" spans="4:4">
      <c r="D876" s="170"/>
    </row>
    <row r="877" spans="4:4">
      <c r="D877" s="170"/>
    </row>
    <row r="878" spans="4:4">
      <c r="D878" s="170"/>
    </row>
    <row r="879" spans="4:4">
      <c r="D879" s="170"/>
    </row>
    <row r="880" spans="4:4">
      <c r="D880" s="170"/>
    </row>
    <row r="881" spans="4:4">
      <c r="D881" s="170"/>
    </row>
    <row r="882" spans="4:4">
      <c r="D882" s="170"/>
    </row>
    <row r="883" spans="4:4">
      <c r="D883" s="170"/>
    </row>
    <row r="884" spans="4:4">
      <c r="D884" s="170"/>
    </row>
    <row r="885" spans="4:4">
      <c r="D885" s="170"/>
    </row>
    <row r="886" spans="4:4">
      <c r="D886" s="170"/>
    </row>
    <row r="887" spans="4:4">
      <c r="D887" s="170"/>
    </row>
    <row r="888" spans="4:4">
      <c r="D888" s="170"/>
    </row>
    <row r="889" spans="4:4">
      <c r="D889" s="170"/>
    </row>
    <row r="890" spans="4:4">
      <c r="D890" s="170"/>
    </row>
    <row r="891" spans="4:4">
      <c r="D891" s="170"/>
    </row>
    <row r="892" spans="4:4">
      <c r="D892" s="170"/>
    </row>
    <row r="893" spans="4:4">
      <c r="D893" s="170"/>
    </row>
    <row r="894" spans="4:4">
      <c r="D894" s="170"/>
    </row>
    <row r="895" spans="4:4">
      <c r="D895" s="170"/>
    </row>
    <row r="896" spans="4:4">
      <c r="D896" s="170"/>
    </row>
    <row r="897" spans="4:4">
      <c r="D897" s="170"/>
    </row>
    <row r="898" spans="4:4">
      <c r="D898" s="170"/>
    </row>
    <row r="899" spans="4:4">
      <c r="D899" s="170"/>
    </row>
    <row r="900" spans="4:4">
      <c r="D900" s="170"/>
    </row>
    <row r="901" spans="4:4">
      <c r="D901" s="170"/>
    </row>
    <row r="902" spans="4:4">
      <c r="D902" s="170"/>
    </row>
    <row r="903" spans="4:4">
      <c r="D903" s="170"/>
    </row>
    <row r="904" spans="4:4">
      <c r="D904" s="170"/>
    </row>
    <row r="905" spans="4:4">
      <c r="D905" s="170"/>
    </row>
    <row r="906" spans="4:4">
      <c r="D906" s="170"/>
    </row>
    <row r="907" spans="4:4">
      <c r="D907" s="170"/>
    </row>
    <row r="908" spans="4:4">
      <c r="D908" s="170"/>
    </row>
    <row r="909" spans="4:4">
      <c r="D909" s="170"/>
    </row>
    <row r="910" spans="4:4">
      <c r="D910" s="170"/>
    </row>
    <row r="911" spans="4:4">
      <c r="D911" s="170"/>
    </row>
    <row r="912" spans="4:4">
      <c r="D912" s="170"/>
    </row>
    <row r="913" spans="4:4">
      <c r="D913" s="170"/>
    </row>
    <row r="914" spans="4:4">
      <c r="D914" s="170"/>
    </row>
    <row r="915" spans="4:4">
      <c r="D915" s="170"/>
    </row>
    <row r="916" spans="4:4">
      <c r="D916" s="170"/>
    </row>
    <row r="917" spans="4:4">
      <c r="D917" s="170"/>
    </row>
    <row r="918" spans="4:4">
      <c r="D918" s="170"/>
    </row>
    <row r="919" spans="4:4">
      <c r="D919" s="170"/>
    </row>
    <row r="920" spans="4:4">
      <c r="D920" s="170"/>
    </row>
    <row r="921" spans="4:4">
      <c r="D921" s="170"/>
    </row>
    <row r="922" spans="4:4">
      <c r="D922" s="170"/>
    </row>
    <row r="923" spans="4:4">
      <c r="D923" s="170"/>
    </row>
    <row r="924" spans="4:4">
      <c r="D924" s="170"/>
    </row>
    <row r="925" spans="4:4">
      <c r="D925" s="170"/>
    </row>
    <row r="926" spans="4:4">
      <c r="D926" s="170"/>
    </row>
    <row r="927" spans="4:4">
      <c r="D927" s="170"/>
    </row>
    <row r="928" spans="4:4">
      <c r="D928" s="170"/>
    </row>
    <row r="929" spans="4:4">
      <c r="D929" s="170"/>
    </row>
    <row r="930" spans="4:4">
      <c r="D930" s="170"/>
    </row>
    <row r="931" spans="4:4">
      <c r="D931" s="170"/>
    </row>
    <row r="932" spans="4:4">
      <c r="D932" s="170"/>
    </row>
    <row r="933" spans="4:4">
      <c r="D933" s="170"/>
    </row>
    <row r="934" spans="4:4">
      <c r="D934" s="170"/>
    </row>
    <row r="935" spans="4:4">
      <c r="D935" s="170"/>
    </row>
    <row r="936" spans="4:4">
      <c r="D936" s="170"/>
    </row>
    <row r="937" spans="4:4">
      <c r="D937" s="170"/>
    </row>
    <row r="938" spans="4:4">
      <c r="D938" s="170"/>
    </row>
    <row r="939" spans="4:4">
      <c r="D939" s="170"/>
    </row>
    <row r="940" spans="4:4">
      <c r="D940" s="170"/>
    </row>
    <row r="941" spans="4:4">
      <c r="D941" s="170"/>
    </row>
    <row r="942" spans="4:4">
      <c r="D942" s="170"/>
    </row>
    <row r="943" spans="4:4">
      <c r="D943" s="170"/>
    </row>
    <row r="944" spans="4:4">
      <c r="D944" s="170"/>
    </row>
    <row r="945" spans="4:4">
      <c r="D945" s="170"/>
    </row>
    <row r="946" spans="4:4">
      <c r="D946" s="170"/>
    </row>
    <row r="947" spans="4:4">
      <c r="D947" s="170"/>
    </row>
    <row r="948" spans="4:4">
      <c r="D948" s="170"/>
    </row>
    <row r="949" spans="4:4">
      <c r="D949" s="170"/>
    </row>
    <row r="950" spans="4:4">
      <c r="D950" s="170"/>
    </row>
    <row r="951" spans="4:4">
      <c r="D951" s="170"/>
    </row>
    <row r="952" spans="4:4">
      <c r="D952" s="170"/>
    </row>
    <row r="953" spans="4:4">
      <c r="D953" s="170"/>
    </row>
    <row r="954" spans="4:4">
      <c r="D954" s="170"/>
    </row>
    <row r="955" spans="4:4">
      <c r="D955" s="170"/>
    </row>
    <row r="956" spans="4:4">
      <c r="D956" s="170"/>
    </row>
    <row r="957" spans="4:4">
      <c r="D957" s="170"/>
    </row>
    <row r="958" spans="4:4">
      <c r="D958" s="170"/>
    </row>
    <row r="959" spans="4:4">
      <c r="D959" s="170"/>
    </row>
    <row r="960" spans="4:4">
      <c r="D960" s="170"/>
    </row>
    <row r="961" spans="4:4">
      <c r="D961" s="170"/>
    </row>
    <row r="962" spans="4:4">
      <c r="D962" s="170"/>
    </row>
    <row r="963" spans="4:4">
      <c r="D963" s="170"/>
    </row>
    <row r="964" spans="4:4">
      <c r="D964" s="170"/>
    </row>
    <row r="965" spans="4:4">
      <c r="D965" s="170"/>
    </row>
    <row r="966" spans="4:4">
      <c r="D966" s="170"/>
    </row>
    <row r="967" spans="4:4">
      <c r="D967" s="170"/>
    </row>
    <row r="968" spans="4:4">
      <c r="D968" s="170"/>
    </row>
    <row r="969" spans="4:4">
      <c r="D969" s="170"/>
    </row>
    <row r="970" spans="4:4">
      <c r="D970" s="170"/>
    </row>
    <row r="971" spans="4:4">
      <c r="D971" s="170"/>
    </row>
    <row r="972" spans="4:4">
      <c r="D972" s="170"/>
    </row>
    <row r="973" spans="4:4">
      <c r="D973" s="170"/>
    </row>
  </sheetData>
  <mergeCells count="3">
    <mergeCell ref="A1:P1"/>
    <mergeCell ref="A2:A3"/>
    <mergeCell ref="B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A314-8CDE-49D1-9749-C6D9EA441FC3}">
  <dimension ref="A2:AM74"/>
  <sheetViews>
    <sheetView zoomScale="80" zoomScaleNormal="80" workbookViewId="0">
      <selection activeCell="A7" sqref="A7"/>
    </sheetView>
  </sheetViews>
  <sheetFormatPr defaultColWidth="9.140625" defaultRowHeight="15"/>
  <cols>
    <col min="1" max="1" width="29.5703125" bestFit="1" customWidth="1"/>
    <col min="2" max="2" width="11.5703125" bestFit="1" customWidth="1"/>
    <col min="3" max="3" width="20.7109375" bestFit="1" customWidth="1"/>
    <col min="4" max="4" width="18.28515625" bestFit="1" customWidth="1"/>
    <col min="5" max="5" width="18.28515625" customWidth="1"/>
    <col min="6" max="6" width="20.140625" bestFit="1" customWidth="1"/>
    <col min="7" max="8" width="20.140625" customWidth="1"/>
    <col min="9" max="9" width="18.28515625" customWidth="1"/>
    <col min="10" max="10" width="20.85546875" bestFit="1" customWidth="1"/>
    <col min="11" max="11" width="20.85546875" customWidth="1"/>
    <col min="12" max="12" width="24.7109375" bestFit="1" customWidth="1"/>
    <col min="13" max="13" width="21.28515625" customWidth="1"/>
    <col min="14" max="14" width="22.28515625" bestFit="1" customWidth="1"/>
    <col min="15" max="15" width="15.140625" bestFit="1" customWidth="1"/>
    <col min="16" max="16" width="23.85546875" bestFit="1" customWidth="1"/>
    <col min="17" max="17" width="25.85546875" bestFit="1" customWidth="1"/>
    <col min="18" max="19" width="20.5703125" customWidth="1"/>
    <col min="20" max="20" width="21.7109375" customWidth="1"/>
    <col min="21" max="21" width="21.85546875" bestFit="1" customWidth="1"/>
    <col min="22" max="22" width="17" bestFit="1" customWidth="1"/>
    <col min="23" max="24" width="18.28515625" bestFit="1" customWidth="1"/>
  </cols>
  <sheetData>
    <row r="2" spans="1:39" ht="18" customHeight="1">
      <c r="A2" s="400" t="s">
        <v>58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1"/>
      <c r="N2" s="401"/>
      <c r="O2" s="401"/>
    </row>
    <row r="3" spans="1:39" s="212" customFormat="1" ht="47.25">
      <c r="A3" s="209" t="s">
        <v>59</v>
      </c>
      <c r="B3" s="208" t="s">
        <v>60</v>
      </c>
      <c r="C3" s="208" t="s">
        <v>61</v>
      </c>
      <c r="D3" s="208" t="s">
        <v>62</v>
      </c>
      <c r="E3" s="208" t="s">
        <v>63</v>
      </c>
      <c r="F3" s="208" t="s">
        <v>64</v>
      </c>
      <c r="G3" s="208" t="s">
        <v>65</v>
      </c>
      <c r="H3" s="213" t="s">
        <v>66</v>
      </c>
      <c r="I3" s="230" t="s">
        <v>67</v>
      </c>
      <c r="J3" s="223" t="s">
        <v>68</v>
      </c>
      <c r="K3" s="224" t="s">
        <v>69</v>
      </c>
      <c r="L3" s="225" t="s">
        <v>70</v>
      </c>
      <c r="M3" s="232" t="s">
        <v>71</v>
      </c>
      <c r="N3" s="210" t="s">
        <v>72</v>
      </c>
      <c r="O3" s="218" t="s">
        <v>73</v>
      </c>
      <c r="P3" s="216" t="s">
        <v>74</v>
      </c>
      <c r="Q3" s="217" t="s">
        <v>75</v>
      </c>
      <c r="R3" s="235" t="s">
        <v>76</v>
      </c>
      <c r="S3" s="211"/>
      <c r="T3" s="211"/>
      <c r="U3" s="211"/>
      <c r="V3" s="211"/>
      <c r="W3" s="211"/>
      <c r="X3" s="211"/>
      <c r="AA3" s="211"/>
      <c r="AB3" s="211"/>
      <c r="AC3" s="211"/>
    </row>
    <row r="4" spans="1:39">
      <c r="A4" s="205" t="str">
        <f>'CALCULO DA MAQUINAS '!A4</f>
        <v>Innosilicon A6+ LTC Master</v>
      </c>
      <c r="B4" s="219">
        <f>'CALCULO DA MAQUINAS '!G4</f>
        <v>6</v>
      </c>
      <c r="C4" s="220">
        <f>'CALCULO DA MAQUINAS '!D4</f>
        <v>2.1</v>
      </c>
      <c r="D4" s="219">
        <f>C4*B4</f>
        <v>12.600000000000001</v>
      </c>
      <c r="E4" s="207">
        <v>24</v>
      </c>
      <c r="F4" s="219">
        <f>D4*E4</f>
        <v>302.40000000000003</v>
      </c>
      <c r="G4" s="206">
        <v>1</v>
      </c>
      <c r="H4" s="214">
        <f>F4/G4</f>
        <v>302.40000000000003</v>
      </c>
      <c r="I4" s="406">
        <f>SUM(H4:H14)</f>
        <v>320.64000000000004</v>
      </c>
      <c r="J4" s="226">
        <v>44197</v>
      </c>
      <c r="K4" s="236">
        <f>$I$12</f>
        <v>9619.2000000000007</v>
      </c>
      <c r="L4" s="227">
        <v>1</v>
      </c>
      <c r="M4" s="405">
        <v>30</v>
      </c>
      <c r="N4" s="413">
        <f>SUM(K4:K16)</f>
        <v>125049.59999999998</v>
      </c>
      <c r="O4" s="404">
        <f>N11/30</f>
        <v>320.64</v>
      </c>
      <c r="P4" s="402">
        <f>(O4/(O8*O13))</f>
        <v>89.149433028818436</v>
      </c>
      <c r="Q4" s="410">
        <f>'DIMENCINAMENTO DE PLACA'!E12</f>
        <v>162.08987823421535</v>
      </c>
      <c r="R4" s="402">
        <f>P4</f>
        <v>89.149433028818436</v>
      </c>
    </row>
    <row r="5" spans="1:39">
      <c r="A5" s="145" t="s">
        <v>77</v>
      </c>
      <c r="B5" s="221">
        <v>1</v>
      </c>
      <c r="C5" s="125">
        <v>0.76</v>
      </c>
      <c r="D5" s="221">
        <f>C5*B5</f>
        <v>0.76</v>
      </c>
      <c r="E5" s="126">
        <v>24</v>
      </c>
      <c r="F5" s="221">
        <f t="shared" ref="F5:F14" si="0">D5*E5</f>
        <v>18.240000000000002</v>
      </c>
      <c r="G5" s="125">
        <v>1</v>
      </c>
      <c r="H5" s="215">
        <f t="shared" ref="H5:H14" si="1">F5/G5</f>
        <v>18.240000000000002</v>
      </c>
      <c r="I5" s="406"/>
      <c r="J5" s="226">
        <v>44228</v>
      </c>
      <c r="K5" s="236">
        <f t="shared" ref="K5:K16" si="2">$I$12</f>
        <v>9619.2000000000007</v>
      </c>
      <c r="L5" s="227">
        <v>2</v>
      </c>
      <c r="M5" s="405"/>
      <c r="N5" s="413"/>
      <c r="O5" s="404"/>
      <c r="P5" s="403"/>
      <c r="Q5" s="411"/>
      <c r="R5" s="403"/>
      <c r="AG5" s="377"/>
    </row>
    <row r="6" spans="1:39" ht="30">
      <c r="A6" s="247" t="s">
        <v>78</v>
      </c>
      <c r="B6" s="221">
        <v>10</v>
      </c>
      <c r="C6" s="222">
        <v>0</v>
      </c>
      <c r="D6" s="221">
        <f>C6*B6</f>
        <v>0</v>
      </c>
      <c r="E6" s="126">
        <v>0</v>
      </c>
      <c r="F6" s="221">
        <f t="shared" si="0"/>
        <v>0</v>
      </c>
      <c r="G6" s="125">
        <v>1</v>
      </c>
      <c r="H6" s="215">
        <f>F6/G6</f>
        <v>0</v>
      </c>
      <c r="I6" s="406"/>
      <c r="J6" s="226">
        <v>44256</v>
      </c>
      <c r="K6" s="236">
        <f t="shared" si="2"/>
        <v>9619.2000000000007</v>
      </c>
      <c r="L6" s="227">
        <v>3</v>
      </c>
      <c r="M6" s="405"/>
      <c r="N6" s="413"/>
      <c r="O6" s="404"/>
      <c r="P6" s="403"/>
      <c r="Q6" s="411"/>
      <c r="R6" s="403"/>
      <c r="AG6" s="407"/>
    </row>
    <row r="7" spans="1:39">
      <c r="A7" s="145"/>
      <c r="B7" s="221">
        <v>1</v>
      </c>
      <c r="C7" s="222">
        <v>0</v>
      </c>
      <c r="D7" s="221">
        <f>C7*B7</f>
        <v>0</v>
      </c>
      <c r="E7" s="126">
        <v>0</v>
      </c>
      <c r="F7" s="221">
        <f t="shared" si="0"/>
        <v>0</v>
      </c>
      <c r="G7" s="125">
        <v>1</v>
      </c>
      <c r="H7" s="215">
        <f t="shared" si="1"/>
        <v>0</v>
      </c>
      <c r="I7" s="231" t="s">
        <v>79</v>
      </c>
      <c r="J7" s="226">
        <v>44287</v>
      </c>
      <c r="K7" s="236">
        <f t="shared" si="2"/>
        <v>9619.2000000000007</v>
      </c>
      <c r="L7" s="227">
        <v>4</v>
      </c>
      <c r="M7" s="233" t="s">
        <v>80</v>
      </c>
      <c r="N7" s="413"/>
      <c r="O7" s="127" t="s">
        <v>81</v>
      </c>
      <c r="P7" s="403"/>
      <c r="Q7" s="117" t="s">
        <v>82</v>
      </c>
      <c r="R7" s="403"/>
      <c r="Z7" s="119"/>
      <c r="AG7" s="408"/>
    </row>
    <row r="8" spans="1:39">
      <c r="A8" s="145"/>
      <c r="B8" s="221">
        <v>1</v>
      </c>
      <c r="C8" s="222">
        <v>0</v>
      </c>
      <c r="D8" s="221">
        <f>C8*B8</f>
        <v>0</v>
      </c>
      <c r="E8" s="126">
        <v>0</v>
      </c>
      <c r="F8" s="221">
        <f t="shared" si="0"/>
        <v>0</v>
      </c>
      <c r="G8" s="125">
        <v>1</v>
      </c>
      <c r="H8" s="215">
        <f t="shared" si="1"/>
        <v>0</v>
      </c>
      <c r="I8" s="406">
        <v>1</v>
      </c>
      <c r="J8" s="226">
        <v>44317</v>
      </c>
      <c r="K8" s="236">
        <f t="shared" si="2"/>
        <v>9619.2000000000007</v>
      </c>
      <c r="L8" s="227">
        <v>5</v>
      </c>
      <c r="M8" s="405">
        <v>50</v>
      </c>
      <c r="N8" s="413"/>
      <c r="O8" s="404">
        <v>4.5</v>
      </c>
      <c r="P8" s="403"/>
      <c r="Q8" s="412">
        <f>'DIMENCINAMENTO DE PLACA'!F12</f>
        <v>428.72772792949951</v>
      </c>
      <c r="R8" s="118" t="s">
        <v>83</v>
      </c>
      <c r="AG8" s="408"/>
    </row>
    <row r="9" spans="1:39">
      <c r="A9" s="145"/>
      <c r="B9" s="221">
        <v>1</v>
      </c>
      <c r="C9" s="222">
        <v>0</v>
      </c>
      <c r="D9" s="221">
        <f>C9*B9</f>
        <v>0</v>
      </c>
      <c r="E9" s="126">
        <v>0</v>
      </c>
      <c r="F9" s="221">
        <f t="shared" si="0"/>
        <v>0</v>
      </c>
      <c r="G9" s="125">
        <v>1</v>
      </c>
      <c r="H9" s="215">
        <f t="shared" si="1"/>
        <v>0</v>
      </c>
      <c r="I9" s="406"/>
      <c r="J9" s="226">
        <v>44348</v>
      </c>
      <c r="K9" s="236">
        <f t="shared" si="2"/>
        <v>9619.2000000000007</v>
      </c>
      <c r="L9" s="227">
        <v>6</v>
      </c>
      <c r="M9" s="405"/>
      <c r="N9" s="413"/>
      <c r="O9" s="404"/>
      <c r="P9" s="403"/>
      <c r="Q9" s="412"/>
      <c r="R9" s="413">
        <f>(P4-((P4*20)/100))</f>
        <v>71.319546423054746</v>
      </c>
      <c r="AG9" s="377"/>
    </row>
    <row r="10" spans="1:39">
      <c r="A10" s="145"/>
      <c r="B10" s="221">
        <v>1</v>
      </c>
      <c r="C10" s="222">
        <v>0</v>
      </c>
      <c r="D10" s="221">
        <f>C10*B10</f>
        <v>0</v>
      </c>
      <c r="E10" s="126">
        <v>0</v>
      </c>
      <c r="F10" s="221">
        <f t="shared" si="0"/>
        <v>0</v>
      </c>
      <c r="G10" s="125">
        <v>1</v>
      </c>
      <c r="H10" s="215">
        <f t="shared" si="1"/>
        <v>0</v>
      </c>
      <c r="I10" s="406"/>
      <c r="J10" s="226">
        <v>44378</v>
      </c>
      <c r="K10" s="236">
        <f t="shared" si="2"/>
        <v>9619.2000000000007</v>
      </c>
      <c r="L10" s="227">
        <v>7</v>
      </c>
      <c r="M10" s="405"/>
      <c r="N10" s="128" t="s">
        <v>84</v>
      </c>
      <c r="O10" s="404"/>
      <c r="P10" s="403"/>
      <c r="Q10" s="412"/>
      <c r="R10" s="413"/>
      <c r="AG10" s="407"/>
    </row>
    <row r="11" spans="1:39" ht="31.5">
      <c r="A11" s="145"/>
      <c r="B11" s="221">
        <v>1</v>
      </c>
      <c r="C11" s="222">
        <v>0</v>
      </c>
      <c r="D11" s="221">
        <f>C11*B11</f>
        <v>0</v>
      </c>
      <c r="E11" s="126">
        <v>0</v>
      </c>
      <c r="F11" s="221">
        <f t="shared" si="0"/>
        <v>0</v>
      </c>
      <c r="G11" s="125">
        <v>1</v>
      </c>
      <c r="H11" s="215">
        <f t="shared" si="1"/>
        <v>0</v>
      </c>
      <c r="I11" s="230" t="s">
        <v>85</v>
      </c>
      <c r="J11" s="226">
        <v>44409</v>
      </c>
      <c r="K11" s="236">
        <f t="shared" si="2"/>
        <v>9619.2000000000007</v>
      </c>
      <c r="L11" s="227">
        <v>8</v>
      </c>
      <c r="M11" s="405"/>
      <c r="N11" s="413">
        <f>N4/L16</f>
        <v>9619.1999999999989</v>
      </c>
      <c r="O11" s="404"/>
      <c r="P11" s="403"/>
      <c r="Q11" s="412"/>
      <c r="R11" s="413"/>
      <c r="AG11" s="408"/>
    </row>
    <row r="12" spans="1:39">
      <c r="A12" s="145"/>
      <c r="B12" s="221">
        <v>1</v>
      </c>
      <c r="C12" s="222">
        <v>0</v>
      </c>
      <c r="D12" s="221">
        <f>C12*B12</f>
        <v>0</v>
      </c>
      <c r="E12" s="126">
        <v>0</v>
      </c>
      <c r="F12" s="221">
        <f t="shared" si="0"/>
        <v>0</v>
      </c>
      <c r="G12" s="125">
        <v>1</v>
      </c>
      <c r="H12" s="215">
        <f t="shared" si="1"/>
        <v>0</v>
      </c>
      <c r="I12" s="406">
        <f>(I4*I8)*30</f>
        <v>9619.2000000000007</v>
      </c>
      <c r="J12" s="226">
        <v>44440</v>
      </c>
      <c r="K12" s="236">
        <f t="shared" si="2"/>
        <v>9619.2000000000007</v>
      </c>
      <c r="L12" s="227">
        <v>9</v>
      </c>
      <c r="M12" s="234" t="s">
        <v>86</v>
      </c>
      <c r="N12" s="413"/>
      <c r="O12" s="127" t="s">
        <v>87</v>
      </c>
      <c r="P12" s="403"/>
      <c r="Q12" s="412"/>
      <c r="R12" s="118" t="s">
        <v>88</v>
      </c>
      <c r="AG12" s="408"/>
    </row>
    <row r="13" spans="1:39">
      <c r="A13" s="145"/>
      <c r="B13" s="221">
        <v>1</v>
      </c>
      <c r="C13" s="222">
        <v>0</v>
      </c>
      <c r="D13" s="221">
        <f>C13*B13</f>
        <v>0</v>
      </c>
      <c r="E13" s="126">
        <v>0</v>
      </c>
      <c r="F13" s="221">
        <f t="shared" si="0"/>
        <v>0</v>
      </c>
      <c r="G13" s="125">
        <v>1</v>
      </c>
      <c r="H13" s="215">
        <f t="shared" si="1"/>
        <v>0</v>
      </c>
      <c r="I13" s="406"/>
      <c r="J13" s="226">
        <v>44470</v>
      </c>
      <c r="K13" s="236">
        <f t="shared" si="2"/>
        <v>9619.2000000000007</v>
      </c>
      <c r="L13" s="227">
        <v>10</v>
      </c>
      <c r="M13" s="405">
        <v>100</v>
      </c>
      <c r="N13" s="413"/>
      <c r="O13" s="404">
        <f>'P.D.E'!F3</f>
        <v>0.79925727974399996</v>
      </c>
      <c r="P13" s="403"/>
      <c r="Q13" s="412"/>
      <c r="R13" s="413">
        <f>(P4+((P4*20)/100))</f>
        <v>106.97931963458213</v>
      </c>
      <c r="AG13" s="377"/>
    </row>
    <row r="14" spans="1:39" ht="47.25">
      <c r="A14" s="146"/>
      <c r="B14" s="221">
        <v>1</v>
      </c>
      <c r="C14" s="222">
        <v>0</v>
      </c>
      <c r="D14" s="221">
        <f>C14*B14</f>
        <v>0</v>
      </c>
      <c r="E14" s="126">
        <v>0</v>
      </c>
      <c r="F14" s="221">
        <f t="shared" si="0"/>
        <v>0</v>
      </c>
      <c r="G14" s="125">
        <v>1</v>
      </c>
      <c r="H14" s="215">
        <f t="shared" si="1"/>
        <v>0</v>
      </c>
      <c r="I14" s="409"/>
      <c r="J14" s="226">
        <v>44501</v>
      </c>
      <c r="K14" s="236">
        <f t="shared" si="2"/>
        <v>9619.2000000000007</v>
      </c>
      <c r="L14" s="227">
        <v>11</v>
      </c>
      <c r="M14" s="405"/>
      <c r="N14" s="413"/>
      <c r="O14" s="404"/>
      <c r="P14" s="403"/>
      <c r="Q14" s="412"/>
      <c r="R14" s="413"/>
      <c r="AG14" s="407"/>
      <c r="AL14" s="109" t="s">
        <v>89</v>
      </c>
      <c r="AM14" s="110" t="s">
        <v>90</v>
      </c>
    </row>
    <row r="15" spans="1:39" ht="18" customHeight="1">
      <c r="A15" s="135"/>
      <c r="B15" s="135"/>
      <c r="C15" s="135"/>
      <c r="D15" s="135"/>
      <c r="E15" s="135"/>
      <c r="F15" s="135"/>
      <c r="G15" s="135"/>
      <c r="H15" s="135"/>
      <c r="J15" s="226">
        <v>44531</v>
      </c>
      <c r="K15" s="236">
        <f t="shared" si="2"/>
        <v>9619.2000000000007</v>
      </c>
      <c r="L15" s="227">
        <v>12</v>
      </c>
      <c r="M15" s="135"/>
      <c r="N15" s="135"/>
      <c r="O15" s="135"/>
      <c r="AG15" s="408"/>
      <c r="AL15" s="102" t="e">
        <f>(#REF!*45)</f>
        <v>#REF!</v>
      </c>
      <c r="AM15" s="103">
        <f>VALORES!J3</f>
        <v>403863.28021582391</v>
      </c>
    </row>
    <row r="16" spans="1:39">
      <c r="J16" s="228">
        <v>44562</v>
      </c>
      <c r="K16" s="236">
        <f t="shared" si="2"/>
        <v>9619.2000000000007</v>
      </c>
      <c r="L16" s="229">
        <v>13</v>
      </c>
      <c r="AL16" s="27" t="s">
        <v>91</v>
      </c>
    </row>
    <row r="17" spans="11:38">
      <c r="K17" s="237"/>
      <c r="AL17" s="28">
        <f>VALORES!K3</f>
        <v>363476.95219424152</v>
      </c>
    </row>
    <row r="24" spans="11:38" ht="34.5" customHeight="1"/>
    <row r="42" spans="1:23">
      <c r="A42" s="132"/>
      <c r="B42" s="132"/>
      <c r="C42" s="132"/>
      <c r="D42" s="132"/>
      <c r="E42" s="132"/>
      <c r="F42" s="132"/>
      <c r="G42" s="132"/>
      <c r="H42" s="132"/>
      <c r="I42" s="132"/>
      <c r="J42" s="115"/>
      <c r="N42" s="114"/>
      <c r="O42" s="114"/>
      <c r="P42" s="16"/>
      <c r="Q42" s="16"/>
      <c r="R42" s="16"/>
      <c r="S42" s="16"/>
      <c r="T42" s="16"/>
      <c r="U42" s="16"/>
      <c r="V42" s="16"/>
      <c r="W42" s="16"/>
    </row>
    <row r="43" spans="1:23">
      <c r="A43" s="132"/>
      <c r="B43" s="132"/>
      <c r="C43" s="132"/>
      <c r="D43" s="132"/>
      <c r="E43" s="132"/>
      <c r="F43" s="132"/>
      <c r="G43" s="132"/>
      <c r="H43" s="132"/>
      <c r="I43" s="132"/>
      <c r="J43" s="115"/>
      <c r="N43" s="114"/>
      <c r="O43" s="114"/>
      <c r="P43" s="16"/>
      <c r="Q43" s="16"/>
      <c r="R43" s="16"/>
      <c r="S43" s="16"/>
      <c r="T43" s="16"/>
      <c r="U43" s="16"/>
      <c r="V43" s="16"/>
      <c r="W43" s="16"/>
    </row>
    <row r="44" spans="1:23">
      <c r="A44" s="132"/>
      <c r="B44" s="132"/>
      <c r="C44" s="132"/>
      <c r="D44" s="132"/>
      <c r="E44" s="132"/>
      <c r="F44" s="132"/>
      <c r="G44" s="132"/>
      <c r="H44" s="132"/>
      <c r="I44" s="132"/>
      <c r="J44" s="115"/>
      <c r="N44" s="114"/>
      <c r="O44" s="114"/>
      <c r="P44" s="16"/>
      <c r="Q44" s="16"/>
      <c r="R44" s="16"/>
      <c r="S44" s="16"/>
      <c r="T44" s="16"/>
      <c r="U44" s="16"/>
      <c r="V44" s="16"/>
      <c r="W44" s="16"/>
    </row>
    <row r="45" spans="1:23" ht="18" customHeight="1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N45" s="135"/>
      <c r="O45" s="135"/>
      <c r="P45" s="16"/>
      <c r="Q45" s="16"/>
      <c r="R45" s="16"/>
      <c r="S45" s="16"/>
      <c r="T45" s="16"/>
      <c r="U45" s="16"/>
      <c r="V45" s="16"/>
      <c r="W45" s="16"/>
    </row>
    <row r="46" spans="1:23" ht="15.75">
      <c r="A46" s="129"/>
      <c r="B46" s="129"/>
      <c r="C46" s="129"/>
      <c r="D46" s="129"/>
      <c r="E46" s="129"/>
      <c r="F46" s="129"/>
      <c r="G46" s="129"/>
      <c r="H46" s="129"/>
      <c r="I46" s="129"/>
      <c r="J46" s="130"/>
      <c r="N46" s="129"/>
      <c r="O46" s="131"/>
      <c r="P46" s="120"/>
      <c r="Q46" s="111"/>
    </row>
    <row r="47" spans="1:23" ht="13.9" customHeight="1">
      <c r="A47" s="132"/>
      <c r="B47" s="132"/>
      <c r="C47" s="132"/>
      <c r="D47" s="132"/>
      <c r="E47" s="132"/>
      <c r="F47" s="132"/>
      <c r="G47" s="132"/>
      <c r="H47" s="132"/>
      <c r="I47" s="132"/>
      <c r="J47" s="133"/>
      <c r="N47" s="114"/>
      <c r="O47" s="114"/>
      <c r="P47" s="121"/>
      <c r="Q47" s="122"/>
    </row>
    <row r="48" spans="1:23">
      <c r="A48" s="132"/>
      <c r="B48" s="132"/>
      <c r="C48" s="132"/>
      <c r="D48" s="132"/>
      <c r="E48" s="132"/>
      <c r="F48" s="132"/>
      <c r="G48" s="132"/>
      <c r="H48" s="132"/>
      <c r="I48" s="132"/>
      <c r="J48" s="133"/>
      <c r="N48" s="114"/>
      <c r="O48" s="129"/>
      <c r="P48" s="123"/>
      <c r="Q48" s="113"/>
    </row>
    <row r="49" spans="1:17">
      <c r="A49" s="132"/>
      <c r="B49" s="132"/>
      <c r="C49" s="132"/>
      <c r="D49" s="132"/>
      <c r="E49" s="132"/>
      <c r="F49" s="132"/>
      <c r="G49" s="132"/>
      <c r="H49" s="132"/>
      <c r="I49" s="132"/>
      <c r="J49" s="133"/>
      <c r="N49" s="114"/>
      <c r="O49" s="129"/>
      <c r="P49" s="124"/>
      <c r="Q49" s="113"/>
    </row>
    <row r="50" spans="1:17">
      <c r="A50" s="132"/>
      <c r="B50" s="132"/>
      <c r="C50" s="132"/>
      <c r="D50" s="132"/>
      <c r="E50" s="132"/>
      <c r="F50" s="132"/>
      <c r="G50" s="132"/>
      <c r="O50" s="129"/>
      <c r="P50" s="16"/>
    </row>
    <row r="51" spans="1:17">
      <c r="A51" s="132"/>
      <c r="B51" s="132"/>
      <c r="C51" s="132"/>
      <c r="D51" s="132"/>
      <c r="E51" s="132"/>
      <c r="F51" s="132"/>
      <c r="G51" s="132"/>
      <c r="O51" s="131"/>
      <c r="P51" s="16"/>
    </row>
    <row r="52" spans="1:17">
      <c r="A52" s="132"/>
      <c r="B52" s="132"/>
      <c r="C52" s="132"/>
      <c r="D52" s="132"/>
      <c r="E52" s="132"/>
      <c r="F52" s="132"/>
      <c r="G52" s="132"/>
      <c r="O52" s="114"/>
      <c r="P52" s="16"/>
    </row>
    <row r="53" spans="1:17">
      <c r="A53" s="132"/>
      <c r="B53" s="132"/>
      <c r="C53" s="132"/>
      <c r="D53" s="132"/>
      <c r="E53" s="132"/>
      <c r="F53" s="132"/>
      <c r="G53" s="132"/>
      <c r="O53" s="114"/>
      <c r="P53" s="16"/>
    </row>
    <row r="54" spans="1:17">
      <c r="A54" s="132"/>
      <c r="B54" s="132"/>
      <c r="C54" s="132"/>
      <c r="D54" s="132"/>
      <c r="E54" s="132"/>
      <c r="F54" s="132"/>
      <c r="G54" s="132"/>
      <c r="O54" s="114"/>
      <c r="P54" s="16"/>
    </row>
    <row r="55" spans="1:17">
      <c r="A55" s="132"/>
      <c r="B55" s="132"/>
      <c r="C55" s="132"/>
      <c r="D55" s="132"/>
      <c r="E55" s="132"/>
      <c r="F55" s="132"/>
      <c r="G55" s="132"/>
      <c r="O55" s="131"/>
      <c r="P55" s="16"/>
    </row>
    <row r="56" spans="1:17">
      <c r="A56" s="132"/>
      <c r="B56" s="132"/>
      <c r="C56" s="132"/>
      <c r="D56" s="132"/>
      <c r="E56" s="132"/>
      <c r="F56" s="132"/>
      <c r="G56" s="132"/>
      <c r="O56" s="114"/>
      <c r="P56" s="16"/>
    </row>
    <row r="57" spans="1:17">
      <c r="A57" s="132"/>
      <c r="B57" s="132"/>
      <c r="C57" s="132"/>
      <c r="D57" s="132"/>
      <c r="E57" s="132"/>
      <c r="F57" s="132"/>
      <c r="G57" s="132"/>
      <c r="O57" s="114"/>
      <c r="P57" s="16"/>
    </row>
    <row r="58" spans="1:17">
      <c r="A58" s="132"/>
      <c r="B58" s="132"/>
      <c r="C58" s="132"/>
      <c r="D58" s="132"/>
      <c r="E58" s="132"/>
      <c r="F58" s="132"/>
      <c r="G58" s="132"/>
      <c r="O58" s="114"/>
      <c r="P58" s="16"/>
    </row>
    <row r="59" spans="1:17">
      <c r="A59" s="132"/>
      <c r="B59" s="132"/>
      <c r="C59" s="132"/>
      <c r="D59" s="132"/>
      <c r="E59" s="132"/>
      <c r="F59" s="132"/>
      <c r="G59" s="132"/>
      <c r="O59" s="114"/>
      <c r="P59" s="16"/>
    </row>
    <row r="60" spans="1:17" ht="21">
      <c r="A60" s="136"/>
      <c r="B60" s="136"/>
      <c r="C60" s="136"/>
      <c r="D60" s="136"/>
      <c r="E60" s="136"/>
      <c r="F60" s="136"/>
      <c r="G60" s="136"/>
      <c r="O60" s="136"/>
    </row>
    <row r="61" spans="1:17" ht="15.75">
      <c r="A61" s="129"/>
      <c r="B61" s="129"/>
      <c r="C61" s="129"/>
      <c r="D61" s="129"/>
      <c r="E61" s="129"/>
      <c r="F61" s="129"/>
      <c r="G61" s="129"/>
      <c r="O61" s="131"/>
      <c r="P61" s="137"/>
      <c r="Q61" s="138"/>
    </row>
    <row r="62" spans="1:17" ht="24" customHeight="1">
      <c r="A62" s="132"/>
      <c r="B62" s="132"/>
      <c r="C62" s="132"/>
      <c r="D62" s="132"/>
      <c r="E62" s="132"/>
      <c r="F62" s="132"/>
      <c r="G62" s="132"/>
      <c r="H62" s="132"/>
      <c r="I62" s="132"/>
      <c r="J62" s="134"/>
      <c r="K62" s="134"/>
      <c r="L62" s="114"/>
      <c r="M62" s="112"/>
      <c r="N62" s="114"/>
      <c r="O62" s="114"/>
      <c r="P62" s="139"/>
      <c r="Q62" s="140"/>
    </row>
    <row r="63" spans="1:17">
      <c r="A63" s="132"/>
      <c r="B63" s="132"/>
      <c r="C63" s="132"/>
      <c r="D63" s="132"/>
      <c r="E63" s="132"/>
      <c r="F63" s="132"/>
      <c r="G63" s="132"/>
      <c r="H63" s="132"/>
      <c r="I63" s="132"/>
      <c r="J63" s="134"/>
      <c r="K63" s="134"/>
      <c r="L63" s="114"/>
      <c r="M63" s="112"/>
      <c r="N63" s="129"/>
      <c r="O63" s="129"/>
      <c r="P63" s="141"/>
      <c r="Q63" s="143"/>
    </row>
    <row r="64" spans="1:17">
      <c r="A64" s="132"/>
      <c r="B64" s="132"/>
      <c r="C64" s="132"/>
      <c r="D64" s="132"/>
      <c r="E64" s="132"/>
      <c r="F64" s="132"/>
      <c r="G64" s="132"/>
      <c r="H64" s="132"/>
      <c r="I64" s="132"/>
      <c r="J64" s="134"/>
      <c r="K64" s="134"/>
      <c r="L64" s="114"/>
      <c r="M64" s="112"/>
      <c r="N64" s="129"/>
      <c r="O64" s="129"/>
      <c r="P64" s="142"/>
      <c r="Q64" s="143"/>
    </row>
    <row r="65" spans="1:16">
      <c r="A65" s="132"/>
      <c r="B65" s="132"/>
      <c r="C65" s="132"/>
      <c r="D65" s="132"/>
      <c r="E65" s="132"/>
      <c r="F65" s="132"/>
      <c r="G65" s="132"/>
      <c r="H65" s="132"/>
      <c r="I65" s="132"/>
      <c r="J65" s="114"/>
      <c r="K65" s="114"/>
      <c r="L65" s="114"/>
      <c r="M65" s="129"/>
      <c r="N65" s="129"/>
      <c r="O65" s="129"/>
    </row>
    <row r="66" spans="1:16" ht="15.75">
      <c r="A66" s="132"/>
      <c r="B66" s="132"/>
      <c r="C66" s="132"/>
      <c r="D66" s="132"/>
      <c r="E66" s="132"/>
      <c r="F66" s="132"/>
      <c r="G66" s="132"/>
      <c r="H66" s="132"/>
      <c r="I66" s="132"/>
      <c r="J66" s="134"/>
      <c r="K66" s="134"/>
      <c r="L66" s="114"/>
      <c r="M66" s="112"/>
      <c r="N66" s="129"/>
      <c r="O66" s="131"/>
      <c r="P66" s="99" t="s">
        <v>92</v>
      </c>
    </row>
    <row r="67" spans="1:16" ht="15.75">
      <c r="A67" s="132"/>
      <c r="B67" s="132"/>
      <c r="C67" s="132"/>
      <c r="D67" s="132"/>
      <c r="E67" s="132"/>
      <c r="F67" s="132"/>
      <c r="G67" s="132"/>
      <c r="H67" s="132"/>
      <c r="I67" s="132"/>
      <c r="J67" s="134"/>
      <c r="K67" s="134"/>
      <c r="L67" s="114"/>
      <c r="M67" s="112"/>
      <c r="N67" s="129"/>
      <c r="O67" s="114"/>
      <c r="P67" s="100">
        <v>7000</v>
      </c>
    </row>
    <row r="68" spans="1:16" ht="15.75">
      <c r="A68" s="132"/>
      <c r="B68" s="132"/>
      <c r="C68" s="132"/>
      <c r="D68" s="132"/>
      <c r="E68" s="132"/>
      <c r="F68" s="132"/>
      <c r="G68" s="132"/>
      <c r="H68" s="132"/>
      <c r="I68" s="132"/>
      <c r="J68" s="134"/>
      <c r="K68" s="134"/>
      <c r="L68" s="114"/>
      <c r="M68" s="112"/>
      <c r="N68" s="129"/>
      <c r="O68" s="114"/>
      <c r="P68" s="99" t="s">
        <v>93</v>
      </c>
    </row>
    <row r="69" spans="1:16" ht="15.75" customHeight="1">
      <c r="A69" s="132"/>
      <c r="B69" s="132"/>
      <c r="C69" s="132"/>
      <c r="D69" s="132"/>
      <c r="E69" s="132"/>
      <c r="F69" s="132"/>
      <c r="G69" s="132"/>
      <c r="H69" s="132"/>
      <c r="I69" s="132"/>
      <c r="J69" s="134"/>
      <c r="K69" s="134"/>
      <c r="L69" s="114"/>
      <c r="M69" s="112"/>
      <c r="N69" s="129"/>
      <c r="O69" s="114"/>
      <c r="P69" s="104">
        <v>4191.0200000000004</v>
      </c>
    </row>
    <row r="70" spans="1:16" ht="15.75" customHeight="1">
      <c r="A70" s="132"/>
      <c r="B70" s="132"/>
      <c r="C70" s="132"/>
      <c r="D70" s="132"/>
      <c r="E70" s="132"/>
      <c r="F70" s="132"/>
      <c r="G70" s="132"/>
      <c r="H70" s="132"/>
      <c r="I70" s="132"/>
      <c r="J70" s="116"/>
      <c r="K70" s="116"/>
      <c r="L70" s="114"/>
      <c r="M70" s="129"/>
      <c r="N70" s="129"/>
      <c r="O70" s="131"/>
      <c r="P70" s="104"/>
    </row>
    <row r="71" spans="1:16" ht="15.75">
      <c r="A71" s="132"/>
      <c r="B71" s="132"/>
      <c r="C71" s="132"/>
      <c r="D71" s="132"/>
      <c r="E71" s="132"/>
      <c r="F71" s="132"/>
      <c r="G71" s="132"/>
      <c r="H71" s="132"/>
      <c r="I71" s="132"/>
      <c r="J71" s="116"/>
      <c r="K71" s="116"/>
      <c r="L71" s="114"/>
      <c r="M71" s="112"/>
      <c r="N71" s="129"/>
      <c r="O71" s="114"/>
      <c r="P71" s="99" t="s">
        <v>94</v>
      </c>
    </row>
    <row r="72" spans="1:16" ht="15.75">
      <c r="A72" s="132"/>
      <c r="B72" s="132"/>
      <c r="C72" s="132"/>
      <c r="D72" s="132"/>
      <c r="E72" s="132"/>
      <c r="F72" s="132"/>
      <c r="G72" s="132"/>
      <c r="H72" s="132"/>
      <c r="I72" s="132"/>
      <c r="J72" s="116"/>
      <c r="K72" s="116"/>
      <c r="L72" s="114"/>
      <c r="M72" s="112"/>
      <c r="N72" s="129"/>
      <c r="O72" s="114"/>
      <c r="P72" s="100">
        <f>'CONTROLE DE ESTOQUE '!M5</f>
        <v>5247.2199999999993</v>
      </c>
    </row>
    <row r="73" spans="1:16" ht="15.75">
      <c r="A73" s="132"/>
      <c r="B73" s="132"/>
      <c r="C73" s="132"/>
      <c r="D73" s="132"/>
      <c r="E73" s="132"/>
      <c r="F73" s="132"/>
      <c r="G73" s="132"/>
      <c r="H73" s="132"/>
      <c r="I73" s="132"/>
      <c r="J73" s="116"/>
      <c r="K73" s="116"/>
      <c r="L73" s="114"/>
      <c r="M73" s="112"/>
      <c r="N73" s="129"/>
      <c r="O73" s="114"/>
      <c r="P73" s="99"/>
    </row>
    <row r="74" spans="1:16" ht="15.75">
      <c r="A74" s="132"/>
      <c r="B74" s="132"/>
      <c r="C74" s="132"/>
      <c r="D74" s="132"/>
      <c r="E74" s="132"/>
      <c r="F74" s="132"/>
      <c r="G74" s="132"/>
      <c r="H74" s="132"/>
      <c r="I74" s="132"/>
      <c r="J74" s="116"/>
      <c r="K74" s="116"/>
      <c r="L74" s="114"/>
      <c r="M74" s="112"/>
      <c r="N74" s="129"/>
      <c r="O74" s="114"/>
      <c r="P74" s="101">
        <v>0</v>
      </c>
    </row>
  </sheetData>
  <mergeCells count="21">
    <mergeCell ref="AG6:AG8"/>
    <mergeCell ref="AG10:AG12"/>
    <mergeCell ref="AG14:AG15"/>
    <mergeCell ref="I12:I14"/>
    <mergeCell ref="Q4:Q6"/>
    <mergeCell ref="Q8:Q14"/>
    <mergeCell ref="R9:R11"/>
    <mergeCell ref="P4:P14"/>
    <mergeCell ref="M13:M14"/>
    <mergeCell ref="R13:R14"/>
    <mergeCell ref="O13:O14"/>
    <mergeCell ref="N4:N9"/>
    <mergeCell ref="N11:N14"/>
    <mergeCell ref="A2:O2"/>
    <mergeCell ref="R4:R7"/>
    <mergeCell ref="O4:O6"/>
    <mergeCell ref="O8:O11"/>
    <mergeCell ref="M4:M6"/>
    <mergeCell ref="M8:M11"/>
    <mergeCell ref="I4:I6"/>
    <mergeCell ref="I8:I1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B901-E4BD-47EE-94DD-173F3E2EAB51}">
  <dimension ref="A1:F44"/>
  <sheetViews>
    <sheetView workbookViewId="0"/>
  </sheetViews>
  <sheetFormatPr defaultRowHeight="14.45"/>
  <cols>
    <col min="1" max="1" width="27.85546875" bestFit="1" customWidth="1"/>
    <col min="2" max="2" width="10.7109375" bestFit="1" customWidth="1"/>
    <col min="3" max="3" width="11.28515625" bestFit="1" customWidth="1"/>
    <col min="4" max="4" width="16.5703125" bestFit="1" customWidth="1"/>
    <col min="5" max="5" width="10.7109375" bestFit="1" customWidth="1"/>
    <col min="6" max="6" width="17.42578125" bestFit="1" customWidth="1"/>
  </cols>
  <sheetData>
    <row r="1" spans="1:6">
      <c r="A1" s="10"/>
      <c r="B1" s="417" t="s">
        <v>95</v>
      </c>
      <c r="C1" s="418"/>
      <c r="D1" s="418"/>
      <c r="E1" s="418"/>
      <c r="F1" s="419"/>
    </row>
    <row r="2" spans="1:6">
      <c r="A2" s="11"/>
      <c r="B2" s="5" t="s">
        <v>96</v>
      </c>
      <c r="C2" s="5" t="s">
        <v>97</v>
      </c>
      <c r="D2" s="5" t="s">
        <v>98</v>
      </c>
      <c r="E2" s="5" t="s">
        <v>99</v>
      </c>
      <c r="F2" s="5" t="s">
        <v>100</v>
      </c>
    </row>
    <row r="3" spans="1:6">
      <c r="A3" s="12" t="s">
        <v>101</v>
      </c>
      <c r="B3" s="6">
        <v>7.0000000000000007E-2</v>
      </c>
      <c r="C3" s="6">
        <v>0.18</v>
      </c>
      <c r="D3" s="8">
        <v>0.12</v>
      </c>
      <c r="E3" s="9">
        <f>(100%-D3)</f>
        <v>0.88</v>
      </c>
      <c r="F3" s="414">
        <f>E3*E4*E5*E6*E7*E8</f>
        <v>0.79925727974399996</v>
      </c>
    </row>
    <row r="4" spans="1:6">
      <c r="A4" s="12" t="s">
        <v>102</v>
      </c>
      <c r="B4" s="6">
        <v>0.01</v>
      </c>
      <c r="C4" s="6">
        <v>0.02</v>
      </c>
      <c r="D4" s="8">
        <v>1.4999999999999999E-2</v>
      </c>
      <c r="E4" s="9">
        <f t="shared" ref="E4:E8" si="0">(100%-D4)</f>
        <v>0.98499999999999999</v>
      </c>
      <c r="F4" s="415"/>
    </row>
    <row r="5" spans="1:6">
      <c r="A5" s="12" t="s">
        <v>103</v>
      </c>
      <c r="B5" s="6">
        <v>0.01</v>
      </c>
      <c r="C5" s="6">
        <v>0.08</v>
      </c>
      <c r="D5" s="8">
        <v>0.02</v>
      </c>
      <c r="E5" s="9">
        <f t="shared" si="0"/>
        <v>0.98</v>
      </c>
      <c r="F5" s="415"/>
    </row>
    <row r="6" spans="1:6">
      <c r="A6" s="12" t="s">
        <v>104</v>
      </c>
      <c r="B6" s="7">
        <v>5.0000000000000001E-3</v>
      </c>
      <c r="C6" s="6">
        <v>0.01</v>
      </c>
      <c r="D6" s="8">
        <v>0.01</v>
      </c>
      <c r="E6" s="9">
        <f t="shared" si="0"/>
        <v>0.99</v>
      </c>
      <c r="F6" s="415"/>
    </row>
    <row r="7" spans="1:6">
      <c r="A7" s="12" t="s">
        <v>105</v>
      </c>
      <c r="B7" s="7">
        <v>5.0000000000000001E-3</v>
      </c>
      <c r="C7" s="6">
        <v>0.01</v>
      </c>
      <c r="D7" s="8">
        <v>0.01</v>
      </c>
      <c r="E7" s="9">
        <f t="shared" si="0"/>
        <v>0.99</v>
      </c>
      <c r="F7" s="415"/>
    </row>
    <row r="8" spans="1:6">
      <c r="A8" s="12" t="s">
        <v>106</v>
      </c>
      <c r="B8" s="7">
        <v>2.5000000000000001E-2</v>
      </c>
      <c r="C8" s="6">
        <v>0.05</v>
      </c>
      <c r="D8" s="8">
        <v>0.04</v>
      </c>
      <c r="E8" s="9">
        <f t="shared" si="0"/>
        <v>0.96</v>
      </c>
      <c r="F8" s="416"/>
    </row>
    <row r="10" spans="1:6">
      <c r="B10" s="420" t="s">
        <v>95</v>
      </c>
      <c r="C10" s="420"/>
      <c r="D10" s="420"/>
      <c r="E10" s="420"/>
      <c r="F10" s="420"/>
    </row>
    <row r="11" spans="1:6">
      <c r="B11" s="5" t="s">
        <v>96</v>
      </c>
      <c r="C11" s="5" t="s">
        <v>97</v>
      </c>
      <c r="D11" s="5" t="s">
        <v>98</v>
      </c>
      <c r="E11" s="5" t="s">
        <v>99</v>
      </c>
      <c r="F11" s="5" t="s">
        <v>100</v>
      </c>
    </row>
    <row r="12" spans="1:6">
      <c r="A12" s="12" t="s">
        <v>101</v>
      </c>
      <c r="B12" s="6">
        <v>7.0000000000000007E-2</v>
      </c>
      <c r="C12" s="6">
        <v>0.18</v>
      </c>
      <c r="D12" s="8">
        <v>0.12</v>
      </c>
      <c r="E12" s="9">
        <f>(100%-D12)</f>
        <v>0.88</v>
      </c>
      <c r="F12" s="421">
        <f>E12*E13*E14*E15*E16*E17</f>
        <v>0.79925727974399996</v>
      </c>
    </row>
    <row r="13" spans="1:6">
      <c r="A13" s="12" t="s">
        <v>102</v>
      </c>
      <c r="B13" s="6">
        <v>0.01</v>
      </c>
      <c r="C13" s="6">
        <v>0.02</v>
      </c>
      <c r="D13" s="8">
        <v>1.4999999999999999E-2</v>
      </c>
      <c r="E13" s="9">
        <f t="shared" ref="E13" si="1">(100%-D13)</f>
        <v>0.98499999999999999</v>
      </c>
      <c r="F13" s="421"/>
    </row>
    <row r="14" spans="1:6">
      <c r="A14" s="12" t="s">
        <v>103</v>
      </c>
      <c r="B14" s="6">
        <v>0.01</v>
      </c>
      <c r="C14" s="6">
        <v>0.08</v>
      </c>
      <c r="D14" s="8">
        <v>0.02</v>
      </c>
      <c r="E14" s="9">
        <f t="shared" ref="E14" si="2">(100%-D14)</f>
        <v>0.98</v>
      </c>
      <c r="F14" s="421"/>
    </row>
    <row r="15" spans="1:6">
      <c r="A15" s="12" t="s">
        <v>104</v>
      </c>
      <c r="B15" s="7">
        <v>5.0000000000000001E-3</v>
      </c>
      <c r="C15" s="6">
        <v>0.01</v>
      </c>
      <c r="D15" s="8">
        <v>0.01</v>
      </c>
      <c r="E15" s="9">
        <f t="shared" ref="E15" si="3">(100%-D15)</f>
        <v>0.99</v>
      </c>
      <c r="F15" s="421"/>
    </row>
    <row r="16" spans="1:6">
      <c r="A16" s="12" t="s">
        <v>105</v>
      </c>
      <c r="B16" s="7">
        <v>5.0000000000000001E-3</v>
      </c>
      <c r="C16" s="6">
        <v>0.01</v>
      </c>
      <c r="D16" s="8">
        <v>0.01</v>
      </c>
      <c r="E16" s="9">
        <f t="shared" ref="E16" si="4">(100%-D16)</f>
        <v>0.99</v>
      </c>
      <c r="F16" s="421"/>
    </row>
    <row r="17" spans="1:6">
      <c r="A17" s="12" t="s">
        <v>106</v>
      </c>
      <c r="B17" s="7">
        <v>2.5000000000000001E-2</v>
      </c>
      <c r="C17" s="6">
        <v>0.05</v>
      </c>
      <c r="D17" s="8">
        <v>0.04</v>
      </c>
      <c r="E17" s="9">
        <f t="shared" ref="E17" si="5">(100%-D17)</f>
        <v>0.96</v>
      </c>
      <c r="F17" s="421"/>
    </row>
    <row r="19" spans="1:6">
      <c r="B19" s="417" t="s">
        <v>95</v>
      </c>
      <c r="C19" s="418"/>
      <c r="D19" s="418"/>
      <c r="E19" s="418"/>
      <c r="F19" s="419"/>
    </row>
    <row r="20" spans="1:6">
      <c r="B20" s="5" t="s">
        <v>96</v>
      </c>
      <c r="C20" s="5" t="s">
        <v>97</v>
      </c>
      <c r="D20" s="5" t="s">
        <v>98</v>
      </c>
      <c r="E20" s="5" t="s">
        <v>99</v>
      </c>
      <c r="F20" s="5" t="s">
        <v>100</v>
      </c>
    </row>
    <row r="21" spans="1:6">
      <c r="A21" s="12" t="s">
        <v>101</v>
      </c>
      <c r="B21" s="6">
        <v>7.0000000000000007E-2</v>
      </c>
      <c r="C21" s="6">
        <v>0.18</v>
      </c>
      <c r="D21" s="8">
        <v>0.12</v>
      </c>
      <c r="E21" s="9">
        <f>(100%-D21)</f>
        <v>0.88</v>
      </c>
      <c r="F21" s="414">
        <f>E21*E22*E23*E24*E25*E26</f>
        <v>0.79925727974399996</v>
      </c>
    </row>
    <row r="22" spans="1:6">
      <c r="A22" s="12" t="s">
        <v>102</v>
      </c>
      <c r="B22" s="6">
        <v>0.01</v>
      </c>
      <c r="C22" s="6">
        <v>0.02</v>
      </c>
      <c r="D22" s="8">
        <v>1.4999999999999999E-2</v>
      </c>
      <c r="E22" s="9">
        <f t="shared" ref="E22" si="6">(100%-D22)</f>
        <v>0.98499999999999999</v>
      </c>
      <c r="F22" s="415"/>
    </row>
    <row r="23" spans="1:6">
      <c r="A23" s="12" t="s">
        <v>103</v>
      </c>
      <c r="B23" s="6">
        <v>0.01</v>
      </c>
      <c r="C23" s="6">
        <v>0.08</v>
      </c>
      <c r="D23" s="8">
        <v>0.02</v>
      </c>
      <c r="E23" s="9">
        <f t="shared" ref="E23" si="7">(100%-D23)</f>
        <v>0.98</v>
      </c>
      <c r="F23" s="415"/>
    </row>
    <row r="24" spans="1:6">
      <c r="A24" s="12" t="s">
        <v>104</v>
      </c>
      <c r="B24" s="7">
        <v>5.0000000000000001E-3</v>
      </c>
      <c r="C24" s="6">
        <v>0.01</v>
      </c>
      <c r="D24" s="8">
        <v>0.01</v>
      </c>
      <c r="E24" s="9">
        <f t="shared" ref="E24" si="8">(100%-D24)</f>
        <v>0.99</v>
      </c>
      <c r="F24" s="415"/>
    </row>
    <row r="25" spans="1:6">
      <c r="A25" s="12" t="s">
        <v>105</v>
      </c>
      <c r="B25" s="7">
        <v>5.0000000000000001E-3</v>
      </c>
      <c r="C25" s="6">
        <v>0.01</v>
      </c>
      <c r="D25" s="8">
        <v>0.01</v>
      </c>
      <c r="E25" s="9">
        <f t="shared" ref="E25" si="9">(100%-D25)</f>
        <v>0.99</v>
      </c>
      <c r="F25" s="415"/>
    </row>
    <row r="26" spans="1:6">
      <c r="A26" s="12" t="s">
        <v>106</v>
      </c>
      <c r="B26" s="7">
        <v>2.5000000000000001E-2</v>
      </c>
      <c r="C26" s="6">
        <v>0.05</v>
      </c>
      <c r="D26" s="8">
        <v>0.04</v>
      </c>
      <c r="E26" s="9">
        <f t="shared" ref="E26" si="10">(100%-D26)</f>
        <v>0.96</v>
      </c>
      <c r="F26" s="416"/>
    </row>
    <row r="28" spans="1:6">
      <c r="B28" s="417" t="s">
        <v>95</v>
      </c>
      <c r="C28" s="418"/>
      <c r="D28" s="418"/>
      <c r="E28" s="418"/>
      <c r="F28" s="419"/>
    </row>
    <row r="29" spans="1:6">
      <c r="B29" s="5" t="s">
        <v>96</v>
      </c>
      <c r="C29" s="5" t="s">
        <v>97</v>
      </c>
      <c r="D29" s="5" t="s">
        <v>98</v>
      </c>
      <c r="E29" s="5" t="s">
        <v>99</v>
      </c>
      <c r="F29" s="5" t="s">
        <v>100</v>
      </c>
    </row>
    <row r="30" spans="1:6">
      <c r="A30" s="12" t="s">
        <v>101</v>
      </c>
      <c r="B30" s="6">
        <v>7.0000000000000007E-2</v>
      </c>
      <c r="C30" s="6">
        <v>0.18</v>
      </c>
      <c r="D30" s="8">
        <v>0.12</v>
      </c>
      <c r="E30" s="9">
        <f>(100%-D30)</f>
        <v>0.88</v>
      </c>
      <c r="F30" s="414">
        <f>E30*E31*E32*E33*E34*E35</f>
        <v>0.79925727974399996</v>
      </c>
    </row>
    <row r="31" spans="1:6">
      <c r="A31" s="12" t="s">
        <v>102</v>
      </c>
      <c r="B31" s="6">
        <v>0.01</v>
      </c>
      <c r="C31" s="6">
        <v>0.02</v>
      </c>
      <c r="D31" s="8">
        <v>1.4999999999999999E-2</v>
      </c>
      <c r="E31" s="9">
        <f t="shared" ref="E31:E35" si="11">(100%-D31)</f>
        <v>0.98499999999999999</v>
      </c>
      <c r="F31" s="415"/>
    </row>
    <row r="32" spans="1:6">
      <c r="A32" s="12" t="s">
        <v>103</v>
      </c>
      <c r="B32" s="6">
        <v>0.01</v>
      </c>
      <c r="C32" s="6">
        <v>0.08</v>
      </c>
      <c r="D32" s="8">
        <v>0.02</v>
      </c>
      <c r="E32" s="9">
        <f t="shared" si="11"/>
        <v>0.98</v>
      </c>
      <c r="F32" s="415"/>
    </row>
    <row r="33" spans="1:6">
      <c r="A33" s="12" t="s">
        <v>104</v>
      </c>
      <c r="B33" s="7">
        <v>5.0000000000000001E-3</v>
      </c>
      <c r="C33" s="6">
        <v>0.01</v>
      </c>
      <c r="D33" s="8">
        <v>0.01</v>
      </c>
      <c r="E33" s="9">
        <f t="shared" si="11"/>
        <v>0.99</v>
      </c>
      <c r="F33" s="415"/>
    </row>
    <row r="34" spans="1:6">
      <c r="A34" s="12" t="s">
        <v>105</v>
      </c>
      <c r="B34" s="7">
        <v>5.0000000000000001E-3</v>
      </c>
      <c r="C34" s="6">
        <v>0.01</v>
      </c>
      <c r="D34" s="8">
        <v>0.01</v>
      </c>
      <c r="E34" s="9">
        <f t="shared" si="11"/>
        <v>0.99</v>
      </c>
      <c r="F34" s="415"/>
    </row>
    <row r="35" spans="1:6">
      <c r="A35" s="12" t="s">
        <v>106</v>
      </c>
      <c r="B35" s="7">
        <v>2.5000000000000001E-2</v>
      </c>
      <c r="C35" s="6">
        <v>0.05</v>
      </c>
      <c r="D35" s="8">
        <v>0.04</v>
      </c>
      <c r="E35" s="9">
        <f t="shared" si="11"/>
        <v>0.96</v>
      </c>
      <c r="F35" s="416"/>
    </row>
    <row r="37" spans="1:6">
      <c r="B37" s="417" t="s">
        <v>95</v>
      </c>
      <c r="C37" s="418"/>
      <c r="D37" s="418"/>
      <c r="E37" s="418"/>
      <c r="F37" s="419"/>
    </row>
    <row r="38" spans="1:6">
      <c r="B38" s="5" t="s">
        <v>96</v>
      </c>
      <c r="C38" s="5" t="s">
        <v>97</v>
      </c>
      <c r="D38" s="5" t="s">
        <v>98</v>
      </c>
      <c r="E38" s="5" t="s">
        <v>99</v>
      </c>
      <c r="F38" s="5" t="s">
        <v>100</v>
      </c>
    </row>
    <row r="39" spans="1:6">
      <c r="A39" s="12" t="s">
        <v>101</v>
      </c>
      <c r="B39" s="6">
        <v>7.0000000000000007E-2</v>
      </c>
      <c r="C39" s="6">
        <v>0.18</v>
      </c>
      <c r="D39" s="8">
        <v>0.12</v>
      </c>
      <c r="E39" s="9">
        <f>(100%-D39)</f>
        <v>0.88</v>
      </c>
      <c r="F39" s="414">
        <f>E39*E40*E41*E42*E43*E44</f>
        <v>0.79925727974399996</v>
      </c>
    </row>
    <row r="40" spans="1:6">
      <c r="A40" s="12" t="s">
        <v>102</v>
      </c>
      <c r="B40" s="6">
        <v>0.01</v>
      </c>
      <c r="C40" s="6">
        <v>0.02</v>
      </c>
      <c r="D40" s="8">
        <v>1.4999999999999999E-2</v>
      </c>
      <c r="E40" s="9">
        <f t="shared" ref="E40:E44" si="12">(100%-D40)</f>
        <v>0.98499999999999999</v>
      </c>
      <c r="F40" s="415"/>
    </row>
    <row r="41" spans="1:6">
      <c r="A41" s="12" t="s">
        <v>103</v>
      </c>
      <c r="B41" s="6">
        <v>0.01</v>
      </c>
      <c r="C41" s="6">
        <v>0.08</v>
      </c>
      <c r="D41" s="8">
        <v>0.02</v>
      </c>
      <c r="E41" s="9">
        <f t="shared" si="12"/>
        <v>0.98</v>
      </c>
      <c r="F41" s="415"/>
    </row>
    <row r="42" spans="1:6">
      <c r="A42" s="12" t="s">
        <v>104</v>
      </c>
      <c r="B42" s="7">
        <v>5.0000000000000001E-3</v>
      </c>
      <c r="C42" s="6">
        <v>0.01</v>
      </c>
      <c r="D42" s="8">
        <v>0.01</v>
      </c>
      <c r="E42" s="9">
        <f t="shared" si="12"/>
        <v>0.99</v>
      </c>
      <c r="F42" s="415"/>
    </row>
    <row r="43" spans="1:6">
      <c r="A43" s="12" t="s">
        <v>105</v>
      </c>
      <c r="B43" s="7">
        <v>5.0000000000000001E-3</v>
      </c>
      <c r="C43" s="6">
        <v>0.01</v>
      </c>
      <c r="D43" s="8">
        <v>0.01</v>
      </c>
      <c r="E43" s="9">
        <f t="shared" si="12"/>
        <v>0.99</v>
      </c>
      <c r="F43" s="415"/>
    </row>
    <row r="44" spans="1:6">
      <c r="A44" s="12" t="s">
        <v>106</v>
      </c>
      <c r="B44" s="7">
        <v>2.5000000000000001E-2</v>
      </c>
      <c r="C44" s="6">
        <v>0.05</v>
      </c>
      <c r="D44" s="8">
        <v>0.04</v>
      </c>
      <c r="E44" s="9">
        <f t="shared" si="12"/>
        <v>0.96</v>
      </c>
      <c r="F44" s="416"/>
    </row>
  </sheetData>
  <mergeCells count="10">
    <mergeCell ref="F30:F35"/>
    <mergeCell ref="B37:F37"/>
    <mergeCell ref="F39:F44"/>
    <mergeCell ref="B19:F19"/>
    <mergeCell ref="F21:F26"/>
    <mergeCell ref="F3:F8"/>
    <mergeCell ref="B1:F1"/>
    <mergeCell ref="B10:F10"/>
    <mergeCell ref="F12:F17"/>
    <mergeCell ref="B28:F2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8E38-4E4E-4A99-AA28-AE01DC53C3BE}">
  <dimension ref="A1:G80"/>
  <sheetViews>
    <sheetView workbookViewId="0">
      <selection activeCell="A3" sqref="A3"/>
    </sheetView>
  </sheetViews>
  <sheetFormatPr defaultRowHeight="14.45"/>
  <cols>
    <col min="1" max="1" width="21.7109375" bestFit="1" customWidth="1"/>
    <col min="2" max="2" width="20.42578125" bestFit="1" customWidth="1"/>
    <col min="3" max="3" width="20.42578125" customWidth="1"/>
    <col min="5" max="5" width="15.28515625" bestFit="1" customWidth="1"/>
    <col min="6" max="7" width="15.42578125" bestFit="1" customWidth="1"/>
  </cols>
  <sheetData>
    <row r="1" spans="1:7" ht="21">
      <c r="A1" s="432" t="s">
        <v>107</v>
      </c>
      <c r="B1" s="432"/>
      <c r="C1" s="432"/>
      <c r="D1" s="432"/>
      <c r="E1" s="432"/>
    </row>
    <row r="2" spans="1:7" ht="21">
      <c r="A2" s="4" t="s">
        <v>74</v>
      </c>
      <c r="B2" s="434"/>
      <c r="C2" s="435"/>
      <c r="D2" s="435"/>
      <c r="E2" s="435"/>
    </row>
    <row r="3" spans="1:7">
      <c r="A3" s="441">
        <f>'PLANINHA CENTRAL'!P4</f>
        <v>89.149433028818436</v>
      </c>
      <c r="B3" s="13" t="s">
        <v>108</v>
      </c>
      <c r="C3" s="439" t="s">
        <v>109</v>
      </c>
      <c r="D3" s="427" t="s">
        <v>110</v>
      </c>
      <c r="E3" s="19" t="s">
        <v>75</v>
      </c>
      <c r="F3" s="15" t="s">
        <v>82</v>
      </c>
      <c r="G3" s="23" t="s">
        <v>111</v>
      </c>
    </row>
    <row r="4" spans="1:7">
      <c r="A4" s="424"/>
      <c r="B4" s="13" t="s">
        <v>112</v>
      </c>
      <c r="C4" s="440"/>
      <c r="D4" s="428"/>
      <c r="E4" s="426">
        <f>((A3*1000)/B7)</f>
        <v>324.1797564684307</v>
      </c>
      <c r="F4" s="422">
        <f>E4*D5</f>
        <v>518.68761034948909</v>
      </c>
      <c r="G4" s="423">
        <f>C7*E4</f>
        <v>307970.76864500914</v>
      </c>
    </row>
    <row r="5" spans="1:7">
      <c r="A5" s="424"/>
      <c r="B5" s="14">
        <v>260</v>
      </c>
      <c r="C5" s="21">
        <v>950</v>
      </c>
      <c r="D5" s="424">
        <v>1.6</v>
      </c>
      <c r="E5" s="426"/>
      <c r="F5" s="422"/>
      <c r="G5" s="423"/>
    </row>
    <row r="6" spans="1:7">
      <c r="A6" s="424"/>
      <c r="B6" s="17">
        <v>265</v>
      </c>
      <c r="C6" s="22">
        <v>950</v>
      </c>
      <c r="D6" s="424"/>
      <c r="E6" s="426"/>
      <c r="F6" s="422"/>
      <c r="G6" s="423"/>
    </row>
    <row r="7" spans="1:7">
      <c r="A7" s="424"/>
      <c r="B7" s="14">
        <v>275</v>
      </c>
      <c r="C7" s="21">
        <v>950</v>
      </c>
      <c r="D7" s="424"/>
      <c r="E7" s="19" t="s">
        <v>75</v>
      </c>
      <c r="F7" s="15" t="s">
        <v>82</v>
      </c>
      <c r="G7" s="23" t="s">
        <v>111</v>
      </c>
    </row>
    <row r="8" spans="1:7">
      <c r="A8" s="424"/>
      <c r="B8" s="13" t="s">
        <v>113</v>
      </c>
      <c r="C8" s="20" t="s">
        <v>114</v>
      </c>
      <c r="D8" s="91" t="s">
        <v>110</v>
      </c>
      <c r="E8" s="426">
        <f>((A3*1000)/B11)</f>
        <v>278.59197821505762</v>
      </c>
      <c r="F8" s="422">
        <f>E8*D9</f>
        <v>543.25435751936232</v>
      </c>
      <c r="G8" s="423">
        <f>C11*E8</f>
        <v>278591.97821505764</v>
      </c>
    </row>
    <row r="9" spans="1:7">
      <c r="A9" s="424"/>
      <c r="B9" s="14">
        <v>310</v>
      </c>
      <c r="C9" s="22">
        <v>1000</v>
      </c>
      <c r="D9" s="424">
        <v>1.95</v>
      </c>
      <c r="E9" s="426"/>
      <c r="F9" s="422"/>
      <c r="G9" s="423"/>
    </row>
    <row r="10" spans="1:7">
      <c r="A10" s="424"/>
      <c r="B10" s="14">
        <v>315</v>
      </c>
      <c r="C10" s="22">
        <v>1000</v>
      </c>
      <c r="D10" s="424"/>
      <c r="E10" s="426"/>
      <c r="F10" s="422"/>
      <c r="G10" s="423"/>
    </row>
    <row r="11" spans="1:7">
      <c r="A11" s="424"/>
      <c r="B11" s="17">
        <v>320</v>
      </c>
      <c r="C11" s="22">
        <v>1000</v>
      </c>
      <c r="D11" s="425"/>
      <c r="E11" s="19" t="s">
        <v>75</v>
      </c>
      <c r="F11" s="15" t="s">
        <v>82</v>
      </c>
      <c r="G11" s="23" t="s">
        <v>111</v>
      </c>
    </row>
    <row r="12" spans="1:7">
      <c r="A12" s="424"/>
      <c r="B12" s="13" t="s">
        <v>115</v>
      </c>
      <c r="C12" s="20" t="s">
        <v>114</v>
      </c>
      <c r="D12" s="18" t="s">
        <v>110</v>
      </c>
      <c r="E12" s="426">
        <f>((A3*1000)/B15)</f>
        <v>162.08987823421535</v>
      </c>
      <c r="F12" s="422">
        <f>E12*D13</f>
        <v>428.72772792949951</v>
      </c>
      <c r="G12" s="423">
        <f>E12*C14</f>
        <v>210716.84170447994</v>
      </c>
    </row>
    <row r="13" spans="1:7">
      <c r="A13" s="424"/>
      <c r="B13" s="14">
        <v>400</v>
      </c>
      <c r="C13" s="21">
        <v>1100</v>
      </c>
      <c r="D13" s="424">
        <f>2.3*1.15</f>
        <v>2.6449999999999996</v>
      </c>
      <c r="E13" s="426"/>
      <c r="F13" s="422"/>
      <c r="G13" s="423"/>
    </row>
    <row r="14" spans="1:7">
      <c r="A14" s="424"/>
      <c r="B14" s="14">
        <v>450</v>
      </c>
      <c r="C14" s="21">
        <v>1300</v>
      </c>
      <c r="D14" s="424"/>
      <c r="E14" s="426"/>
      <c r="F14" s="422"/>
      <c r="G14" s="423"/>
    </row>
    <row r="15" spans="1:7">
      <c r="A15" s="425"/>
      <c r="B15" s="17">
        <v>550</v>
      </c>
      <c r="C15" s="21">
        <v>1400</v>
      </c>
      <c r="D15" s="425"/>
      <c r="E15" s="426"/>
      <c r="F15" s="422"/>
      <c r="G15" s="423"/>
    </row>
    <row r="16" spans="1:7">
      <c r="A16" s="429"/>
      <c r="B16" s="429"/>
      <c r="C16" s="429"/>
      <c r="D16" s="429"/>
      <c r="E16" s="430"/>
      <c r="F16" s="88"/>
      <c r="G16" s="88"/>
    </row>
    <row r="17" spans="1:7" ht="21">
      <c r="A17" s="432" t="s">
        <v>116</v>
      </c>
      <c r="B17" s="432"/>
      <c r="C17" s="432"/>
      <c r="D17" s="432"/>
      <c r="E17" s="432"/>
    </row>
    <row r="18" spans="1:7" ht="21">
      <c r="A18" s="4" t="s">
        <v>74</v>
      </c>
      <c r="B18" s="434"/>
      <c r="C18" s="435"/>
      <c r="D18" s="435"/>
      <c r="E18" s="435"/>
    </row>
    <row r="19" spans="1:7">
      <c r="A19" s="441">
        <v>1.5</v>
      </c>
      <c r="B19" s="13" t="s">
        <v>108</v>
      </c>
      <c r="C19" s="439" t="s">
        <v>109</v>
      </c>
      <c r="D19" s="427" t="s">
        <v>110</v>
      </c>
      <c r="E19" s="19" t="s">
        <v>75</v>
      </c>
      <c r="F19" s="15" t="s">
        <v>82</v>
      </c>
      <c r="G19" s="23" t="s">
        <v>111</v>
      </c>
    </row>
    <row r="20" spans="1:7">
      <c r="A20" s="424"/>
      <c r="B20" s="13" t="s">
        <v>112</v>
      </c>
      <c r="C20" s="440"/>
      <c r="D20" s="428"/>
      <c r="E20" s="426">
        <f>((A19*1000)/B23)</f>
        <v>5.4545454545454541</v>
      </c>
      <c r="F20" s="422">
        <f>E20*D21</f>
        <v>8.7272727272727266</v>
      </c>
      <c r="G20" s="423">
        <f>C22*E20</f>
        <v>5181.8181818181811</v>
      </c>
    </row>
    <row r="21" spans="1:7">
      <c r="A21" s="424"/>
      <c r="B21" s="14">
        <v>260</v>
      </c>
      <c r="C21" s="21">
        <v>950</v>
      </c>
      <c r="D21" s="424">
        <v>1.6</v>
      </c>
      <c r="E21" s="426"/>
      <c r="F21" s="422"/>
      <c r="G21" s="423"/>
    </row>
    <row r="22" spans="1:7">
      <c r="A22" s="424"/>
      <c r="B22" s="17">
        <v>265</v>
      </c>
      <c r="C22" s="22">
        <v>950</v>
      </c>
      <c r="D22" s="424"/>
      <c r="E22" s="426"/>
      <c r="F22" s="422"/>
      <c r="G22" s="423"/>
    </row>
    <row r="23" spans="1:7">
      <c r="A23" s="424"/>
      <c r="B23" s="14">
        <v>275</v>
      </c>
      <c r="C23" s="21">
        <v>950</v>
      </c>
      <c r="D23" s="424"/>
      <c r="E23" s="19" t="s">
        <v>75</v>
      </c>
      <c r="F23" s="15" t="s">
        <v>82</v>
      </c>
      <c r="G23" s="23" t="s">
        <v>111</v>
      </c>
    </row>
    <row r="24" spans="1:7">
      <c r="A24" s="424"/>
      <c r="B24" s="13" t="s">
        <v>113</v>
      </c>
      <c r="C24" s="20" t="s">
        <v>114</v>
      </c>
      <c r="D24" s="91" t="s">
        <v>110</v>
      </c>
      <c r="E24" s="426">
        <f>((A19*1000)/B27)</f>
        <v>4.6875</v>
      </c>
      <c r="F24" s="422">
        <f>E24*D25</f>
        <v>9.140625</v>
      </c>
      <c r="G24" s="423">
        <f>C26*E24</f>
        <v>4687.5</v>
      </c>
    </row>
    <row r="25" spans="1:7">
      <c r="A25" s="424"/>
      <c r="B25" s="14">
        <v>310</v>
      </c>
      <c r="C25" s="22">
        <v>1000</v>
      </c>
      <c r="D25" s="424">
        <v>1.95</v>
      </c>
      <c r="E25" s="426"/>
      <c r="F25" s="422"/>
      <c r="G25" s="423"/>
    </row>
    <row r="26" spans="1:7">
      <c r="A26" s="424"/>
      <c r="B26" s="14">
        <v>315</v>
      </c>
      <c r="C26" s="22">
        <v>1000</v>
      </c>
      <c r="D26" s="424"/>
      <c r="E26" s="426"/>
      <c r="F26" s="422"/>
      <c r="G26" s="423"/>
    </row>
    <row r="27" spans="1:7">
      <c r="A27" s="424"/>
      <c r="B27" s="17">
        <v>320</v>
      </c>
      <c r="C27" s="22">
        <v>1000</v>
      </c>
      <c r="D27" s="425"/>
      <c r="E27" s="19" t="s">
        <v>75</v>
      </c>
      <c r="F27" s="15" t="s">
        <v>82</v>
      </c>
      <c r="G27" s="23" t="s">
        <v>111</v>
      </c>
    </row>
    <row r="28" spans="1:7">
      <c r="A28" s="424"/>
      <c r="B28" s="13" t="s">
        <v>115</v>
      </c>
      <c r="C28" s="20" t="s">
        <v>114</v>
      </c>
      <c r="D28" s="18" t="s">
        <v>110</v>
      </c>
      <c r="E28" s="426">
        <f>((A19*1000)/B29)</f>
        <v>3.75</v>
      </c>
      <c r="F28" s="422">
        <f>E28*D29</f>
        <v>9.0750000000000011</v>
      </c>
      <c r="G28" s="423">
        <f>C30*E28</f>
        <v>4125</v>
      </c>
    </row>
    <row r="29" spans="1:7">
      <c r="A29" s="424"/>
      <c r="B29" s="14">
        <v>400</v>
      </c>
      <c r="C29" s="21">
        <v>1100</v>
      </c>
      <c r="D29" s="424">
        <f>2.2*1.1</f>
        <v>2.4200000000000004</v>
      </c>
      <c r="E29" s="426"/>
      <c r="F29" s="422"/>
      <c r="G29" s="423"/>
    </row>
    <row r="30" spans="1:7">
      <c r="A30" s="424"/>
      <c r="B30" s="14">
        <v>450</v>
      </c>
      <c r="C30" s="21">
        <v>1100</v>
      </c>
      <c r="D30" s="424"/>
      <c r="E30" s="426"/>
      <c r="F30" s="422"/>
      <c r="G30" s="423"/>
    </row>
    <row r="31" spans="1:7">
      <c r="A31" s="425"/>
      <c r="B31" s="17">
        <v>500</v>
      </c>
      <c r="C31" s="21">
        <v>1300</v>
      </c>
      <c r="D31" s="425"/>
      <c r="E31" s="426"/>
      <c r="F31" s="422"/>
      <c r="G31" s="423"/>
    </row>
    <row r="32" spans="1:7">
      <c r="A32" s="429"/>
      <c r="B32" s="429"/>
      <c r="C32" s="429"/>
      <c r="D32" s="429"/>
      <c r="E32" s="431"/>
      <c r="F32" s="90"/>
      <c r="G32" s="88"/>
    </row>
    <row r="33" spans="1:7" ht="21">
      <c r="A33" s="432" t="s">
        <v>117</v>
      </c>
      <c r="B33" s="432"/>
      <c r="C33" s="432"/>
      <c r="D33" s="432"/>
      <c r="E33" s="433"/>
      <c r="F33" s="89"/>
    </row>
    <row r="34" spans="1:7" ht="21">
      <c r="A34" s="4" t="s">
        <v>74</v>
      </c>
      <c r="B34" s="434"/>
      <c r="C34" s="435"/>
      <c r="D34" s="435"/>
      <c r="E34" s="436"/>
      <c r="F34" s="89"/>
    </row>
    <row r="35" spans="1:7">
      <c r="A35" s="441">
        <v>2</v>
      </c>
      <c r="B35" s="13" t="s">
        <v>108</v>
      </c>
      <c r="C35" s="439" t="s">
        <v>109</v>
      </c>
      <c r="D35" s="427" t="s">
        <v>110</v>
      </c>
      <c r="E35" s="19" t="s">
        <v>75</v>
      </c>
      <c r="F35" s="15" t="s">
        <v>82</v>
      </c>
      <c r="G35" s="23" t="s">
        <v>111</v>
      </c>
    </row>
    <row r="36" spans="1:7">
      <c r="A36" s="424"/>
      <c r="B36" s="13" t="s">
        <v>112</v>
      </c>
      <c r="C36" s="440"/>
      <c r="D36" s="428"/>
      <c r="E36" s="426">
        <f>((A35*1000)/B39)</f>
        <v>7.2727272727272725</v>
      </c>
      <c r="F36" s="422">
        <f>E36*D37</f>
        <v>11.636363636363637</v>
      </c>
      <c r="G36" s="423">
        <f>C39*E36</f>
        <v>6909.090909090909</v>
      </c>
    </row>
    <row r="37" spans="1:7">
      <c r="A37" s="424"/>
      <c r="B37" s="14">
        <v>260</v>
      </c>
      <c r="C37" s="21">
        <v>950</v>
      </c>
      <c r="D37" s="424">
        <v>1.6</v>
      </c>
      <c r="E37" s="426"/>
      <c r="F37" s="422"/>
      <c r="G37" s="423"/>
    </row>
    <row r="38" spans="1:7">
      <c r="A38" s="424"/>
      <c r="B38" s="17">
        <v>265</v>
      </c>
      <c r="C38" s="22">
        <v>950</v>
      </c>
      <c r="D38" s="424"/>
      <c r="E38" s="426"/>
      <c r="F38" s="422"/>
      <c r="G38" s="423"/>
    </row>
    <row r="39" spans="1:7">
      <c r="A39" s="424"/>
      <c r="B39" s="14">
        <v>275</v>
      </c>
      <c r="C39" s="21">
        <v>950</v>
      </c>
      <c r="D39" s="424"/>
      <c r="E39" s="19" t="s">
        <v>75</v>
      </c>
      <c r="F39" s="15" t="s">
        <v>82</v>
      </c>
      <c r="G39" s="23" t="s">
        <v>111</v>
      </c>
    </row>
    <row r="40" spans="1:7">
      <c r="A40" s="424"/>
      <c r="B40" s="13" t="s">
        <v>113</v>
      </c>
      <c r="C40" s="20" t="s">
        <v>114</v>
      </c>
      <c r="D40" s="91" t="s">
        <v>110</v>
      </c>
      <c r="E40" s="426">
        <f>((A35*1000)/B43)</f>
        <v>6.25</v>
      </c>
      <c r="F40" s="422">
        <f>E40*D41</f>
        <v>12.1875</v>
      </c>
      <c r="G40" s="423">
        <f>C43*E40</f>
        <v>6250</v>
      </c>
    </row>
    <row r="41" spans="1:7">
      <c r="A41" s="424"/>
      <c r="B41" s="14">
        <v>310</v>
      </c>
      <c r="C41" s="22">
        <v>1000</v>
      </c>
      <c r="D41" s="424">
        <v>1.95</v>
      </c>
      <c r="E41" s="426"/>
      <c r="F41" s="422"/>
      <c r="G41" s="423"/>
    </row>
    <row r="42" spans="1:7">
      <c r="A42" s="424"/>
      <c r="B42" s="14">
        <v>315</v>
      </c>
      <c r="C42" s="22">
        <v>1000</v>
      </c>
      <c r="D42" s="424"/>
      <c r="E42" s="426"/>
      <c r="F42" s="422"/>
      <c r="G42" s="423"/>
    </row>
    <row r="43" spans="1:7">
      <c r="A43" s="424"/>
      <c r="B43" s="17">
        <v>320</v>
      </c>
      <c r="C43" s="22">
        <v>1000</v>
      </c>
      <c r="D43" s="425"/>
      <c r="E43" s="19" t="s">
        <v>75</v>
      </c>
      <c r="F43" s="15" t="s">
        <v>82</v>
      </c>
      <c r="G43" s="23" t="s">
        <v>111</v>
      </c>
    </row>
    <row r="44" spans="1:7">
      <c r="A44" s="424"/>
      <c r="B44" s="13" t="s">
        <v>115</v>
      </c>
      <c r="C44" s="20" t="s">
        <v>114</v>
      </c>
      <c r="D44" s="18" t="s">
        <v>110</v>
      </c>
      <c r="E44" s="426">
        <f>((A35*1000)/B46)</f>
        <v>4.4444444444444446</v>
      </c>
      <c r="F44" s="422">
        <f>E44*D45</f>
        <v>10.755555555555558</v>
      </c>
      <c r="G44" s="423">
        <f>C46*E44</f>
        <v>5777.7777777777783</v>
      </c>
    </row>
    <row r="45" spans="1:7">
      <c r="A45" s="424"/>
      <c r="B45" s="14">
        <v>400</v>
      </c>
      <c r="C45" s="21">
        <v>1300</v>
      </c>
      <c r="D45" s="424">
        <f>2.2*1.1</f>
        <v>2.4200000000000004</v>
      </c>
      <c r="E45" s="426"/>
      <c r="F45" s="422"/>
      <c r="G45" s="423"/>
    </row>
    <row r="46" spans="1:7">
      <c r="A46" s="424"/>
      <c r="B46" s="14">
        <v>450</v>
      </c>
      <c r="C46" s="21">
        <v>1300</v>
      </c>
      <c r="D46" s="424"/>
      <c r="E46" s="426"/>
      <c r="F46" s="422"/>
      <c r="G46" s="423"/>
    </row>
    <row r="47" spans="1:7">
      <c r="A47" s="425"/>
      <c r="B47" s="17">
        <v>550</v>
      </c>
      <c r="C47" s="21">
        <v>1300</v>
      </c>
      <c r="D47" s="425"/>
      <c r="E47" s="426"/>
      <c r="F47" s="422"/>
      <c r="G47" s="423"/>
    </row>
    <row r="48" spans="1:7">
      <c r="A48" s="437"/>
      <c r="B48" s="437"/>
      <c r="C48" s="437"/>
      <c r="D48" s="437"/>
      <c r="E48" s="438"/>
      <c r="F48" s="88"/>
      <c r="G48" s="88"/>
    </row>
    <row r="49" spans="1:7" ht="21">
      <c r="A49" s="432" t="s">
        <v>118</v>
      </c>
      <c r="B49" s="432"/>
      <c r="C49" s="432"/>
      <c r="D49" s="432"/>
      <c r="E49" s="432"/>
    </row>
    <row r="50" spans="1:7" ht="21">
      <c r="A50" s="4" t="s">
        <v>74</v>
      </c>
      <c r="B50" s="434"/>
      <c r="C50" s="435"/>
      <c r="D50" s="435"/>
      <c r="E50" s="435"/>
    </row>
    <row r="51" spans="1:7">
      <c r="A51" s="441">
        <v>2.5</v>
      </c>
      <c r="B51" s="13" t="s">
        <v>108</v>
      </c>
      <c r="C51" s="439" t="s">
        <v>109</v>
      </c>
      <c r="D51" s="427" t="s">
        <v>110</v>
      </c>
      <c r="E51" s="19" t="s">
        <v>75</v>
      </c>
      <c r="F51" s="15" t="s">
        <v>82</v>
      </c>
      <c r="G51" s="23" t="s">
        <v>111</v>
      </c>
    </row>
    <row r="52" spans="1:7">
      <c r="A52" s="424"/>
      <c r="B52" s="13" t="s">
        <v>112</v>
      </c>
      <c r="C52" s="440"/>
      <c r="D52" s="428"/>
      <c r="E52" s="426">
        <f>((A51*1000)/B55)</f>
        <v>9.0909090909090917</v>
      </c>
      <c r="F52" s="422">
        <f>E52*D53</f>
        <v>14.545454545454547</v>
      </c>
      <c r="G52" s="423">
        <f>C55*E52</f>
        <v>8636.3636363636379</v>
      </c>
    </row>
    <row r="53" spans="1:7">
      <c r="A53" s="424"/>
      <c r="B53" s="14">
        <v>260</v>
      </c>
      <c r="C53" s="21">
        <v>950</v>
      </c>
      <c r="D53" s="424">
        <v>1.6</v>
      </c>
      <c r="E53" s="426"/>
      <c r="F53" s="422"/>
      <c r="G53" s="423"/>
    </row>
    <row r="54" spans="1:7">
      <c r="A54" s="424"/>
      <c r="B54" s="17">
        <v>265</v>
      </c>
      <c r="C54" s="22">
        <v>950</v>
      </c>
      <c r="D54" s="424"/>
      <c r="E54" s="426"/>
      <c r="F54" s="422"/>
      <c r="G54" s="423"/>
    </row>
    <row r="55" spans="1:7">
      <c r="A55" s="424"/>
      <c r="B55" s="14">
        <v>275</v>
      </c>
      <c r="C55" s="21">
        <v>950</v>
      </c>
      <c r="D55" s="424"/>
      <c r="E55" s="19" t="s">
        <v>75</v>
      </c>
      <c r="F55" s="15" t="s">
        <v>82</v>
      </c>
      <c r="G55" s="23" t="s">
        <v>111</v>
      </c>
    </row>
    <row r="56" spans="1:7">
      <c r="A56" s="424"/>
      <c r="B56" s="13" t="s">
        <v>113</v>
      </c>
      <c r="C56" s="20" t="s">
        <v>114</v>
      </c>
      <c r="D56" s="91" t="s">
        <v>110</v>
      </c>
      <c r="E56" s="426">
        <f>((A51*1000)/B59)</f>
        <v>7.8125</v>
      </c>
      <c r="F56" s="422">
        <f>E56*D57</f>
        <v>15.234375</v>
      </c>
      <c r="G56" s="423">
        <f>C59*E56</f>
        <v>7812.5</v>
      </c>
    </row>
    <row r="57" spans="1:7">
      <c r="A57" s="424"/>
      <c r="B57" s="14">
        <v>310</v>
      </c>
      <c r="C57" s="22">
        <v>1000</v>
      </c>
      <c r="D57" s="424">
        <v>1.95</v>
      </c>
      <c r="E57" s="426"/>
      <c r="F57" s="422"/>
      <c r="G57" s="423"/>
    </row>
    <row r="58" spans="1:7">
      <c r="A58" s="424"/>
      <c r="B58" s="14">
        <v>315</v>
      </c>
      <c r="C58" s="22">
        <v>1000</v>
      </c>
      <c r="D58" s="424"/>
      <c r="E58" s="426"/>
      <c r="F58" s="422"/>
      <c r="G58" s="423"/>
    </row>
    <row r="59" spans="1:7">
      <c r="A59" s="424"/>
      <c r="B59" s="17">
        <v>320</v>
      </c>
      <c r="C59" s="22">
        <v>1000</v>
      </c>
      <c r="D59" s="425"/>
      <c r="E59" s="19" t="s">
        <v>75</v>
      </c>
      <c r="F59" s="15" t="s">
        <v>82</v>
      </c>
      <c r="G59" s="23" t="s">
        <v>111</v>
      </c>
    </row>
    <row r="60" spans="1:7">
      <c r="A60" s="424"/>
      <c r="B60" s="13" t="s">
        <v>115</v>
      </c>
      <c r="C60" s="20" t="s">
        <v>114</v>
      </c>
      <c r="D60" s="18" t="s">
        <v>110</v>
      </c>
      <c r="E60" s="426">
        <f>((A51*1000)/B62)</f>
        <v>5.5555555555555554</v>
      </c>
      <c r="F60" s="422">
        <f>E60*D61</f>
        <v>13.444444444444446</v>
      </c>
      <c r="G60" s="423">
        <f>C62*E60</f>
        <v>7222.2222222222217</v>
      </c>
    </row>
    <row r="61" spans="1:7">
      <c r="A61" s="424"/>
      <c r="B61" s="14">
        <v>400</v>
      </c>
      <c r="C61" s="21">
        <v>1300</v>
      </c>
      <c r="D61" s="424">
        <f>2.2*1.1</f>
        <v>2.4200000000000004</v>
      </c>
      <c r="E61" s="426"/>
      <c r="F61" s="422"/>
      <c r="G61" s="423"/>
    </row>
    <row r="62" spans="1:7">
      <c r="A62" s="424"/>
      <c r="B62" s="14">
        <v>450</v>
      </c>
      <c r="C62" s="21">
        <v>1300</v>
      </c>
      <c r="D62" s="424"/>
      <c r="E62" s="426"/>
      <c r="F62" s="422"/>
      <c r="G62" s="423"/>
    </row>
    <row r="63" spans="1:7">
      <c r="A63" s="425"/>
      <c r="B63" s="17">
        <v>550</v>
      </c>
      <c r="C63" s="21">
        <v>1300</v>
      </c>
      <c r="D63" s="425"/>
      <c r="E63" s="426"/>
      <c r="F63" s="422"/>
      <c r="G63" s="423"/>
    </row>
    <row r="64" spans="1:7">
      <c r="A64" s="429"/>
      <c r="B64" s="429"/>
      <c r="C64" s="429"/>
      <c r="D64" s="429"/>
      <c r="E64" s="430"/>
      <c r="F64" s="88"/>
      <c r="G64" s="88"/>
    </row>
    <row r="65" spans="1:7" ht="21">
      <c r="A65" s="432" t="s">
        <v>119</v>
      </c>
      <c r="B65" s="432"/>
      <c r="C65" s="432"/>
      <c r="D65" s="432"/>
      <c r="E65" s="432"/>
    </row>
    <row r="66" spans="1:7" ht="21">
      <c r="A66" s="4" t="s">
        <v>74</v>
      </c>
      <c r="B66" s="434"/>
      <c r="C66" s="435"/>
      <c r="D66" s="435"/>
      <c r="E66" s="435"/>
    </row>
    <row r="67" spans="1:7">
      <c r="A67" s="441">
        <f>'PLANINHA CENTRAL'!N62</f>
        <v>0</v>
      </c>
      <c r="B67" s="13" t="s">
        <v>108</v>
      </c>
      <c r="C67" s="439" t="s">
        <v>109</v>
      </c>
      <c r="D67" s="427" t="s">
        <v>110</v>
      </c>
      <c r="E67" s="19" t="s">
        <v>75</v>
      </c>
      <c r="F67" s="15" t="s">
        <v>82</v>
      </c>
      <c r="G67" s="23" t="s">
        <v>111</v>
      </c>
    </row>
    <row r="68" spans="1:7">
      <c r="A68" s="424"/>
      <c r="B68" s="13" t="s">
        <v>112</v>
      </c>
      <c r="C68" s="440"/>
      <c r="D68" s="428"/>
      <c r="E68" s="426">
        <f>((A67*1000)/B71)</f>
        <v>0</v>
      </c>
      <c r="F68" s="422">
        <f>E68*D69</f>
        <v>0</v>
      </c>
      <c r="G68" s="423">
        <f>C71*E68</f>
        <v>0</v>
      </c>
    </row>
    <row r="69" spans="1:7">
      <c r="A69" s="424"/>
      <c r="B69" s="14">
        <v>260</v>
      </c>
      <c r="C69" s="21">
        <v>950</v>
      </c>
      <c r="D69" s="424">
        <v>1.6</v>
      </c>
      <c r="E69" s="426"/>
      <c r="F69" s="422"/>
      <c r="G69" s="423"/>
    </row>
    <row r="70" spans="1:7">
      <c r="A70" s="424"/>
      <c r="B70" s="17">
        <v>265</v>
      </c>
      <c r="C70" s="22">
        <v>950</v>
      </c>
      <c r="D70" s="424"/>
      <c r="E70" s="426"/>
      <c r="F70" s="422"/>
      <c r="G70" s="423"/>
    </row>
    <row r="71" spans="1:7">
      <c r="A71" s="424"/>
      <c r="B71" s="14">
        <v>275</v>
      </c>
      <c r="C71" s="21">
        <v>950</v>
      </c>
      <c r="D71" s="424"/>
      <c r="E71" s="19" t="s">
        <v>75</v>
      </c>
      <c r="F71" s="15" t="s">
        <v>82</v>
      </c>
      <c r="G71" s="23" t="s">
        <v>111</v>
      </c>
    </row>
    <row r="72" spans="1:7">
      <c r="A72" s="424"/>
      <c r="B72" s="13" t="s">
        <v>113</v>
      </c>
      <c r="C72" s="20" t="s">
        <v>114</v>
      </c>
      <c r="D72" s="91" t="s">
        <v>110</v>
      </c>
      <c r="E72" s="426">
        <f>((A67*1000)/B75)</f>
        <v>0</v>
      </c>
      <c r="F72" s="422">
        <f>E72*D73</f>
        <v>0</v>
      </c>
      <c r="G72" s="423">
        <f>C75*E72</f>
        <v>0</v>
      </c>
    </row>
    <row r="73" spans="1:7">
      <c r="A73" s="424"/>
      <c r="B73" s="14">
        <v>310</v>
      </c>
      <c r="C73" s="22">
        <v>1000</v>
      </c>
      <c r="D73" s="424">
        <v>1.95</v>
      </c>
      <c r="E73" s="426"/>
      <c r="F73" s="422"/>
      <c r="G73" s="423"/>
    </row>
    <row r="74" spans="1:7">
      <c r="A74" s="424"/>
      <c r="B74" s="14">
        <v>315</v>
      </c>
      <c r="C74" s="22">
        <v>1000</v>
      </c>
      <c r="D74" s="424"/>
      <c r="E74" s="426"/>
      <c r="F74" s="422"/>
      <c r="G74" s="423"/>
    </row>
    <row r="75" spans="1:7">
      <c r="A75" s="424"/>
      <c r="B75" s="17">
        <v>320</v>
      </c>
      <c r="C75" s="22">
        <v>1000</v>
      </c>
      <c r="D75" s="425"/>
      <c r="E75" s="19" t="s">
        <v>75</v>
      </c>
      <c r="F75" s="15" t="s">
        <v>82</v>
      </c>
      <c r="G75" s="23" t="s">
        <v>111</v>
      </c>
    </row>
    <row r="76" spans="1:7">
      <c r="A76" s="424"/>
      <c r="B76" s="13" t="s">
        <v>115</v>
      </c>
      <c r="C76" s="20" t="s">
        <v>114</v>
      </c>
      <c r="D76" s="18" t="s">
        <v>110</v>
      </c>
      <c r="E76" s="426">
        <f>((A67*1000)/B78)</f>
        <v>0</v>
      </c>
      <c r="F76" s="422">
        <f>E76*D77</f>
        <v>0</v>
      </c>
      <c r="G76" s="423">
        <f>C78*E76</f>
        <v>0</v>
      </c>
    </row>
    <row r="77" spans="1:7">
      <c r="A77" s="424"/>
      <c r="B77" s="14">
        <v>400</v>
      </c>
      <c r="C77" s="21">
        <v>1300</v>
      </c>
      <c r="D77" s="424">
        <f>2.2*1.1</f>
        <v>2.4200000000000004</v>
      </c>
      <c r="E77" s="426"/>
      <c r="F77" s="422"/>
      <c r="G77" s="423"/>
    </row>
    <row r="78" spans="1:7">
      <c r="A78" s="424"/>
      <c r="B78" s="14">
        <v>450</v>
      </c>
      <c r="C78" s="21">
        <v>1100</v>
      </c>
      <c r="D78" s="424"/>
      <c r="E78" s="426"/>
      <c r="F78" s="422"/>
      <c r="G78" s="423"/>
    </row>
    <row r="79" spans="1:7">
      <c r="A79" s="425"/>
      <c r="B79" s="17">
        <v>500</v>
      </c>
      <c r="C79" s="21">
        <v>1300</v>
      </c>
      <c r="D79" s="425"/>
      <c r="E79" s="426"/>
      <c r="F79" s="422"/>
      <c r="G79" s="423"/>
    </row>
    <row r="80" spans="1:7">
      <c r="A80" s="429"/>
      <c r="B80" s="429"/>
      <c r="C80" s="429"/>
      <c r="D80" s="429"/>
      <c r="E80" s="430"/>
      <c r="F80" s="88"/>
      <c r="G80" s="88"/>
    </row>
  </sheetData>
  <mergeCells count="90">
    <mergeCell ref="A1:E1"/>
    <mergeCell ref="B2:E2"/>
    <mergeCell ref="A17:E17"/>
    <mergeCell ref="B18:E18"/>
    <mergeCell ref="A19:A31"/>
    <mergeCell ref="E20:E22"/>
    <mergeCell ref="A3:A15"/>
    <mergeCell ref="E4:E6"/>
    <mergeCell ref="G28:G31"/>
    <mergeCell ref="F4:F6"/>
    <mergeCell ref="G4:G6"/>
    <mergeCell ref="E8:E10"/>
    <mergeCell ref="C67:C68"/>
    <mergeCell ref="A49:E49"/>
    <mergeCell ref="B50:E50"/>
    <mergeCell ref="A51:A63"/>
    <mergeCell ref="E52:E54"/>
    <mergeCell ref="D51:D52"/>
    <mergeCell ref="E60:E63"/>
    <mergeCell ref="A35:A47"/>
    <mergeCell ref="E36:E38"/>
    <mergeCell ref="E44:E47"/>
    <mergeCell ref="C3:C4"/>
    <mergeCell ref="C19:C20"/>
    <mergeCell ref="B34:E34"/>
    <mergeCell ref="E28:E31"/>
    <mergeCell ref="A80:E80"/>
    <mergeCell ref="A48:E48"/>
    <mergeCell ref="A64:E64"/>
    <mergeCell ref="C35:C36"/>
    <mergeCell ref="C51:C52"/>
    <mergeCell ref="A65:E65"/>
    <mergeCell ref="B66:E66"/>
    <mergeCell ref="A67:A79"/>
    <mergeCell ref="E68:E70"/>
    <mergeCell ref="E72:E74"/>
    <mergeCell ref="E40:E42"/>
    <mergeCell ref="F40:F42"/>
    <mergeCell ref="G40:G42"/>
    <mergeCell ref="F8:F10"/>
    <mergeCell ref="G8:G10"/>
    <mergeCell ref="E12:E15"/>
    <mergeCell ref="F12:F15"/>
    <mergeCell ref="G12:G15"/>
    <mergeCell ref="F20:F22"/>
    <mergeCell ref="G20:G22"/>
    <mergeCell ref="E24:E26"/>
    <mergeCell ref="F24:F26"/>
    <mergeCell ref="G24:G26"/>
    <mergeCell ref="A16:E16"/>
    <mergeCell ref="A32:E32"/>
    <mergeCell ref="F28:F31"/>
    <mergeCell ref="A33:E33"/>
    <mergeCell ref="F44:F47"/>
    <mergeCell ref="G44:G47"/>
    <mergeCell ref="D3:D4"/>
    <mergeCell ref="D5:D7"/>
    <mergeCell ref="D9:D11"/>
    <mergeCell ref="D13:D15"/>
    <mergeCell ref="D19:D20"/>
    <mergeCell ref="D21:D23"/>
    <mergeCell ref="D25:D27"/>
    <mergeCell ref="D29:D31"/>
    <mergeCell ref="D35:D36"/>
    <mergeCell ref="D37:D39"/>
    <mergeCell ref="D41:D43"/>
    <mergeCell ref="D45:D47"/>
    <mergeCell ref="F36:F38"/>
    <mergeCell ref="G36:G38"/>
    <mergeCell ref="F52:F54"/>
    <mergeCell ref="G52:G54"/>
    <mergeCell ref="D53:D55"/>
    <mergeCell ref="E56:E58"/>
    <mergeCell ref="F56:F58"/>
    <mergeCell ref="G56:G58"/>
    <mergeCell ref="D57:D59"/>
    <mergeCell ref="F60:F63"/>
    <mergeCell ref="G60:G63"/>
    <mergeCell ref="D61:D63"/>
    <mergeCell ref="D67:D68"/>
    <mergeCell ref="F68:F70"/>
    <mergeCell ref="G68:G70"/>
    <mergeCell ref="D69:D71"/>
    <mergeCell ref="F72:F74"/>
    <mergeCell ref="G72:G74"/>
    <mergeCell ref="D73:D75"/>
    <mergeCell ref="E76:E79"/>
    <mergeCell ref="F76:F79"/>
    <mergeCell ref="G76:G79"/>
    <mergeCell ref="D77:D7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FBAB-CAFB-4E09-8ABB-C2141A4AC21B}">
  <dimension ref="A1:N86"/>
  <sheetViews>
    <sheetView topLeftCell="C5" workbookViewId="0">
      <selection activeCell="E24" sqref="E24"/>
    </sheetView>
  </sheetViews>
  <sheetFormatPr defaultRowHeight="14.45"/>
  <cols>
    <col min="2" max="2" width="30.85546875" bestFit="1" customWidth="1"/>
    <col min="6" max="6" width="15.42578125" customWidth="1"/>
    <col min="7" max="7" width="11.85546875" customWidth="1"/>
    <col min="8" max="8" width="14" customWidth="1"/>
    <col min="9" max="9" width="14.5703125" customWidth="1"/>
    <col min="10" max="10" width="11.28515625" customWidth="1"/>
    <col min="13" max="13" width="10.85546875" bestFit="1" customWidth="1"/>
    <col min="14" max="14" width="19.85546875" bestFit="1" customWidth="1"/>
  </cols>
  <sheetData>
    <row r="1" spans="1:14">
      <c r="A1" s="448" t="s">
        <v>120</v>
      </c>
      <c r="B1" s="448"/>
      <c r="C1" s="448"/>
      <c r="D1" s="448"/>
      <c r="E1" s="448"/>
      <c r="F1" s="448"/>
      <c r="G1" s="448"/>
      <c r="H1" s="448"/>
      <c r="I1" s="448"/>
      <c r="J1" s="449"/>
      <c r="K1" s="47"/>
      <c r="L1" s="47"/>
      <c r="M1" s="47"/>
    </row>
    <row r="2" spans="1:14">
      <c r="A2" s="448"/>
      <c r="B2" s="448"/>
      <c r="C2" s="448"/>
      <c r="D2" s="448"/>
      <c r="E2" s="448"/>
      <c r="F2" s="448"/>
      <c r="G2" s="448"/>
      <c r="H2" s="448"/>
      <c r="I2" s="448"/>
      <c r="J2" s="449"/>
      <c r="K2" s="47"/>
      <c r="L2" s="47"/>
      <c r="M2" s="47"/>
    </row>
    <row r="3" spans="1:14">
      <c r="A3" s="450"/>
      <c r="B3" s="450"/>
      <c r="C3" s="450"/>
      <c r="D3" s="450"/>
      <c r="E3" s="450"/>
      <c r="F3" s="450"/>
      <c r="G3" s="450"/>
      <c r="H3" s="450"/>
      <c r="I3" s="450"/>
      <c r="J3" s="451"/>
      <c r="K3" s="48"/>
      <c r="L3" s="48"/>
      <c r="M3" s="47"/>
    </row>
    <row r="4" spans="1:14">
      <c r="A4" s="452" t="s">
        <v>121</v>
      </c>
      <c r="B4" s="452" t="s">
        <v>122</v>
      </c>
      <c r="C4" s="455" t="s">
        <v>123</v>
      </c>
      <c r="D4" s="455" t="s">
        <v>124</v>
      </c>
      <c r="E4" s="442" t="s">
        <v>125</v>
      </c>
      <c r="F4" s="442" t="s">
        <v>126</v>
      </c>
      <c r="G4" s="442" t="s">
        <v>127</v>
      </c>
      <c r="H4" s="457" t="s">
        <v>128</v>
      </c>
      <c r="I4" s="459" t="s">
        <v>129</v>
      </c>
      <c r="J4" s="442" t="s">
        <v>130</v>
      </c>
      <c r="K4" s="444" t="s">
        <v>131</v>
      </c>
      <c r="L4" s="446" t="s">
        <v>132</v>
      </c>
      <c r="M4" s="105" t="s">
        <v>133</v>
      </c>
      <c r="N4" s="106" t="s">
        <v>134</v>
      </c>
    </row>
    <row r="5" spans="1:14" ht="36" customHeight="1">
      <c r="A5" s="453"/>
      <c r="B5" s="454"/>
      <c r="C5" s="456"/>
      <c r="D5" s="456"/>
      <c r="E5" s="443"/>
      <c r="F5" s="443"/>
      <c r="G5" s="443"/>
      <c r="H5" s="458"/>
      <c r="I5" s="442"/>
      <c r="J5" s="443"/>
      <c r="K5" s="445"/>
      <c r="L5" s="447"/>
      <c r="M5" s="107">
        <f>SUM(K6:K74)</f>
        <v>5247.2199999999993</v>
      </c>
      <c r="N5" s="108">
        <v>1500</v>
      </c>
    </row>
    <row r="6" spans="1:14">
      <c r="A6" s="49" t="s">
        <v>135</v>
      </c>
      <c r="B6" s="50" t="s">
        <v>136</v>
      </c>
      <c r="C6" s="51">
        <v>2</v>
      </c>
      <c r="D6" s="52">
        <v>1</v>
      </c>
      <c r="E6" s="53">
        <f>(C6-D6)</f>
        <v>1</v>
      </c>
      <c r="F6" s="54" t="str">
        <f t="shared" ref="F6:F86" si="0">IF(E6="","",IF(E6&lt;H6,"COMPRAR",IF(E6&gt;H6,"ACIMA","IDEAL")))</f>
        <v>COMPRAR</v>
      </c>
      <c r="G6" s="55">
        <f t="shared" ref="G6:G86" si="1">IF(E6="","",E6/H6-100%)</f>
        <v>-0.5</v>
      </c>
      <c r="H6" s="56">
        <v>2</v>
      </c>
      <c r="I6" s="57">
        <v>32.4</v>
      </c>
      <c r="J6" s="58">
        <f t="shared" ref="J6:J86" si="2">IF(I6="","",I6*E6)</f>
        <v>32.4</v>
      </c>
      <c r="K6" s="59">
        <f t="shared" ref="K6:K86" si="3">I6*C6</f>
        <v>64.8</v>
      </c>
      <c r="L6" s="60">
        <f t="shared" ref="L6:L86" si="4">I6*D6</f>
        <v>32.4</v>
      </c>
      <c r="M6" s="61" t="s">
        <v>137</v>
      </c>
    </row>
    <row r="7" spans="1:14">
      <c r="A7" s="49" t="s">
        <v>138</v>
      </c>
      <c r="B7" s="50" t="s">
        <v>139</v>
      </c>
      <c r="C7" s="51">
        <v>1</v>
      </c>
      <c r="D7" s="51">
        <v>1</v>
      </c>
      <c r="E7" s="53">
        <f t="shared" ref="E7:E70" si="5">C7-D7</f>
        <v>0</v>
      </c>
      <c r="F7" s="54" t="str">
        <f t="shared" si="0"/>
        <v>COMPRAR</v>
      </c>
      <c r="G7" s="55">
        <f t="shared" si="1"/>
        <v>-1</v>
      </c>
      <c r="H7" s="56">
        <v>1</v>
      </c>
      <c r="I7" s="57">
        <v>10.5</v>
      </c>
      <c r="J7" s="58">
        <f t="shared" si="2"/>
        <v>0</v>
      </c>
      <c r="K7" s="59">
        <f t="shared" si="3"/>
        <v>10.5</v>
      </c>
      <c r="L7" s="60">
        <f t="shared" si="4"/>
        <v>10.5</v>
      </c>
      <c r="M7" s="61" t="s">
        <v>137</v>
      </c>
    </row>
    <row r="8" spans="1:14">
      <c r="A8" s="49" t="s">
        <v>140</v>
      </c>
      <c r="B8" s="50" t="s">
        <v>141</v>
      </c>
      <c r="C8" s="51">
        <v>1</v>
      </c>
      <c r="D8" s="51">
        <v>1</v>
      </c>
      <c r="E8" s="53">
        <f t="shared" si="5"/>
        <v>0</v>
      </c>
      <c r="F8" s="62" t="str">
        <f t="shared" si="0"/>
        <v>IDEAL</v>
      </c>
      <c r="G8" s="63" t="e">
        <f t="shared" si="1"/>
        <v>#DIV/0!</v>
      </c>
      <c r="H8" s="56"/>
      <c r="I8" s="57">
        <v>13.5</v>
      </c>
      <c r="J8" s="58">
        <f t="shared" si="2"/>
        <v>0</v>
      </c>
      <c r="K8" s="59">
        <f t="shared" si="3"/>
        <v>13.5</v>
      </c>
      <c r="L8" s="60">
        <f t="shared" si="4"/>
        <v>13.5</v>
      </c>
      <c r="M8" s="61" t="s">
        <v>137</v>
      </c>
    </row>
    <row r="9" spans="1:14">
      <c r="A9" s="49" t="s">
        <v>142</v>
      </c>
      <c r="B9" s="50" t="s">
        <v>143</v>
      </c>
      <c r="C9" s="51">
        <v>1</v>
      </c>
      <c r="D9" s="51">
        <v>1</v>
      </c>
      <c r="E9" s="53">
        <f t="shared" si="5"/>
        <v>0</v>
      </c>
      <c r="F9" s="54" t="str">
        <f t="shared" si="0"/>
        <v>IDEAL</v>
      </c>
      <c r="G9" s="55" t="e">
        <f t="shared" si="1"/>
        <v>#DIV/0!</v>
      </c>
      <c r="H9" s="56"/>
      <c r="I9" s="57">
        <v>37.65</v>
      </c>
      <c r="J9" s="58">
        <f t="shared" si="2"/>
        <v>0</v>
      </c>
      <c r="K9" s="59">
        <f t="shared" si="3"/>
        <v>37.65</v>
      </c>
      <c r="L9" s="60">
        <f t="shared" si="4"/>
        <v>37.65</v>
      </c>
      <c r="M9" s="61" t="s">
        <v>137</v>
      </c>
    </row>
    <row r="10" spans="1:14">
      <c r="A10" s="49" t="s">
        <v>144</v>
      </c>
      <c r="B10" s="50" t="s">
        <v>145</v>
      </c>
      <c r="C10" s="51">
        <v>1</v>
      </c>
      <c r="D10" s="51">
        <v>1</v>
      </c>
      <c r="E10" s="53">
        <f t="shared" si="5"/>
        <v>0</v>
      </c>
      <c r="F10" s="54" t="str">
        <f t="shared" si="0"/>
        <v>IDEAL</v>
      </c>
      <c r="G10" s="55" t="e">
        <f t="shared" si="1"/>
        <v>#DIV/0!</v>
      </c>
      <c r="H10" s="56"/>
      <c r="I10" s="57">
        <v>1.99</v>
      </c>
      <c r="J10" s="58">
        <f t="shared" si="2"/>
        <v>0</v>
      </c>
      <c r="K10" s="59">
        <f t="shared" si="3"/>
        <v>1.99</v>
      </c>
      <c r="L10" s="60">
        <f t="shared" si="4"/>
        <v>1.99</v>
      </c>
      <c r="M10" s="61" t="s">
        <v>137</v>
      </c>
    </row>
    <row r="11" spans="1:14">
      <c r="A11" s="49" t="s">
        <v>146</v>
      </c>
      <c r="B11" s="1" t="s">
        <v>147</v>
      </c>
      <c r="C11" s="51">
        <v>1</v>
      </c>
      <c r="D11" s="51">
        <v>1</v>
      </c>
      <c r="E11" s="53">
        <f t="shared" si="5"/>
        <v>0</v>
      </c>
      <c r="F11" s="54" t="str">
        <f t="shared" si="0"/>
        <v>IDEAL</v>
      </c>
      <c r="G11" s="55" t="e">
        <f t="shared" si="1"/>
        <v>#DIV/0!</v>
      </c>
      <c r="H11" s="56"/>
      <c r="I11" s="57">
        <v>10</v>
      </c>
      <c r="J11" s="58">
        <f t="shared" si="2"/>
        <v>0</v>
      </c>
      <c r="K11" s="59">
        <f t="shared" si="3"/>
        <v>10</v>
      </c>
      <c r="L11" s="60">
        <f t="shared" si="4"/>
        <v>10</v>
      </c>
      <c r="M11" s="61" t="s">
        <v>137</v>
      </c>
    </row>
    <row r="12" spans="1:14">
      <c r="A12" s="49" t="s">
        <v>148</v>
      </c>
      <c r="B12" s="50" t="s">
        <v>149</v>
      </c>
      <c r="C12" s="51">
        <v>1</v>
      </c>
      <c r="D12" s="51">
        <v>1</v>
      </c>
      <c r="E12" s="53">
        <f t="shared" si="5"/>
        <v>0</v>
      </c>
      <c r="F12" s="62" t="str">
        <f t="shared" si="0"/>
        <v>IDEAL</v>
      </c>
      <c r="G12" s="63" t="e">
        <f t="shared" si="1"/>
        <v>#DIV/0!</v>
      </c>
      <c r="H12" s="56"/>
      <c r="I12" s="57">
        <v>15.9</v>
      </c>
      <c r="J12" s="58">
        <f t="shared" ref="J12:J21" si="6">IF(I12="","",I12*E12)</f>
        <v>0</v>
      </c>
      <c r="K12" s="59">
        <f t="shared" ref="K12:K21" si="7">I12*C12</f>
        <v>15.9</v>
      </c>
      <c r="L12" s="60">
        <f t="shared" ref="L12:L21" si="8">I12*D12</f>
        <v>15.9</v>
      </c>
      <c r="M12" s="61" t="s">
        <v>137</v>
      </c>
    </row>
    <row r="13" spans="1:14">
      <c r="A13" s="49" t="s">
        <v>150</v>
      </c>
      <c r="B13" s="50" t="s">
        <v>151</v>
      </c>
      <c r="C13" s="51">
        <v>2</v>
      </c>
      <c r="D13" s="51">
        <v>1</v>
      </c>
      <c r="E13" s="53">
        <f t="shared" si="5"/>
        <v>1</v>
      </c>
      <c r="F13" s="54" t="str">
        <f t="shared" si="0"/>
        <v>ACIMA</v>
      </c>
      <c r="G13" s="55" t="e">
        <f t="shared" si="1"/>
        <v>#DIV/0!</v>
      </c>
      <c r="H13" s="56"/>
      <c r="I13" s="57">
        <v>15.9</v>
      </c>
      <c r="J13" s="58">
        <f t="shared" si="6"/>
        <v>15.9</v>
      </c>
      <c r="K13" s="59">
        <f t="shared" si="7"/>
        <v>31.8</v>
      </c>
      <c r="L13" s="60">
        <f t="shared" si="8"/>
        <v>15.9</v>
      </c>
      <c r="M13" s="61" t="s">
        <v>137</v>
      </c>
    </row>
    <row r="14" spans="1:14">
      <c r="A14" s="49" t="s">
        <v>152</v>
      </c>
      <c r="B14" s="50" t="s">
        <v>153</v>
      </c>
      <c r="C14" s="51">
        <v>2</v>
      </c>
      <c r="D14" s="51">
        <v>1</v>
      </c>
      <c r="E14" s="53">
        <f t="shared" si="5"/>
        <v>1</v>
      </c>
      <c r="F14" s="64" t="str">
        <f t="shared" si="0"/>
        <v>ACIMA</v>
      </c>
      <c r="G14" s="65" t="e">
        <f t="shared" si="1"/>
        <v>#DIV/0!</v>
      </c>
      <c r="H14" s="56"/>
      <c r="I14" s="57">
        <v>19.899999999999999</v>
      </c>
      <c r="J14" s="58">
        <f t="shared" si="6"/>
        <v>19.899999999999999</v>
      </c>
      <c r="K14" s="59">
        <f t="shared" si="7"/>
        <v>39.799999999999997</v>
      </c>
      <c r="L14" s="60">
        <f t="shared" si="8"/>
        <v>19.899999999999999</v>
      </c>
      <c r="M14" s="61" t="s">
        <v>137</v>
      </c>
    </row>
    <row r="15" spans="1:14">
      <c r="A15" s="49" t="s">
        <v>154</v>
      </c>
      <c r="B15" s="50" t="s">
        <v>155</v>
      </c>
      <c r="C15" s="51">
        <v>1</v>
      </c>
      <c r="D15" s="51">
        <v>1</v>
      </c>
      <c r="E15" s="53">
        <f t="shared" si="5"/>
        <v>0</v>
      </c>
      <c r="F15" s="54" t="str">
        <f t="shared" si="0"/>
        <v>IDEAL</v>
      </c>
      <c r="G15" s="55" t="e">
        <f t="shared" si="1"/>
        <v>#DIV/0!</v>
      </c>
      <c r="H15" s="56"/>
      <c r="I15" s="57">
        <v>20.5</v>
      </c>
      <c r="J15" s="58">
        <f t="shared" si="6"/>
        <v>0</v>
      </c>
      <c r="K15" s="59">
        <f t="shared" si="7"/>
        <v>20.5</v>
      </c>
      <c r="L15" s="60">
        <f t="shared" si="8"/>
        <v>20.5</v>
      </c>
      <c r="M15" s="61" t="s">
        <v>137</v>
      </c>
    </row>
    <row r="16" spans="1:14">
      <c r="A16" s="49" t="s">
        <v>156</v>
      </c>
      <c r="B16" s="50" t="s">
        <v>157</v>
      </c>
      <c r="C16" s="51">
        <v>2</v>
      </c>
      <c r="D16" s="51">
        <v>2</v>
      </c>
      <c r="E16" s="53">
        <f t="shared" si="5"/>
        <v>0</v>
      </c>
      <c r="F16" s="54" t="str">
        <f t="shared" si="0"/>
        <v>IDEAL</v>
      </c>
      <c r="G16" s="55" t="e">
        <f t="shared" si="1"/>
        <v>#DIV/0!</v>
      </c>
      <c r="H16" s="56"/>
      <c r="I16" s="57">
        <v>23.2</v>
      </c>
      <c r="J16" s="58">
        <f t="shared" si="6"/>
        <v>0</v>
      </c>
      <c r="K16" s="59">
        <f t="shared" si="7"/>
        <v>46.4</v>
      </c>
      <c r="L16" s="60">
        <f t="shared" si="8"/>
        <v>46.4</v>
      </c>
      <c r="M16" s="61" t="s">
        <v>137</v>
      </c>
    </row>
    <row r="17" spans="1:13">
      <c r="A17" s="49" t="s">
        <v>158</v>
      </c>
      <c r="B17" s="50" t="s">
        <v>159</v>
      </c>
      <c r="C17" s="51">
        <v>1</v>
      </c>
      <c r="D17" s="51">
        <v>1</v>
      </c>
      <c r="E17" s="53">
        <f t="shared" si="5"/>
        <v>0</v>
      </c>
      <c r="F17" s="64" t="str">
        <f t="shared" si="0"/>
        <v>IDEAL</v>
      </c>
      <c r="G17" s="66" t="e">
        <f t="shared" si="1"/>
        <v>#DIV/0!</v>
      </c>
      <c r="H17" s="56"/>
      <c r="I17" s="57">
        <v>239</v>
      </c>
      <c r="J17" s="58">
        <f t="shared" si="6"/>
        <v>0</v>
      </c>
      <c r="K17" s="59">
        <f t="shared" si="7"/>
        <v>239</v>
      </c>
      <c r="L17" s="60">
        <f t="shared" si="8"/>
        <v>239</v>
      </c>
      <c r="M17" s="61" t="s">
        <v>137</v>
      </c>
    </row>
    <row r="18" spans="1:13">
      <c r="A18" s="49" t="s">
        <v>160</v>
      </c>
      <c r="B18" s="50" t="s">
        <v>161</v>
      </c>
      <c r="C18" s="51">
        <v>1</v>
      </c>
      <c r="D18" s="51">
        <v>1</v>
      </c>
      <c r="E18" s="53">
        <f t="shared" si="5"/>
        <v>0</v>
      </c>
      <c r="F18" s="64" t="str">
        <f t="shared" si="0"/>
        <v>IDEAL</v>
      </c>
      <c r="G18" s="66" t="e">
        <f t="shared" si="1"/>
        <v>#DIV/0!</v>
      </c>
      <c r="H18" s="56"/>
      <c r="I18" s="57">
        <v>19.899999999999999</v>
      </c>
      <c r="J18" s="58">
        <f t="shared" si="6"/>
        <v>0</v>
      </c>
      <c r="K18" s="59">
        <f t="shared" si="7"/>
        <v>19.899999999999999</v>
      </c>
      <c r="L18" s="60">
        <f t="shared" si="8"/>
        <v>19.899999999999999</v>
      </c>
      <c r="M18" s="61" t="s">
        <v>137</v>
      </c>
    </row>
    <row r="19" spans="1:13">
      <c r="A19" s="49" t="s">
        <v>162</v>
      </c>
      <c r="B19" s="50" t="s">
        <v>163</v>
      </c>
      <c r="C19" s="51">
        <v>1</v>
      </c>
      <c r="D19" s="51">
        <v>1</v>
      </c>
      <c r="E19" s="53">
        <f t="shared" si="5"/>
        <v>0</v>
      </c>
      <c r="F19" s="62" t="str">
        <f t="shared" si="0"/>
        <v>IDEAL</v>
      </c>
      <c r="G19" s="67" t="e">
        <f t="shared" si="1"/>
        <v>#DIV/0!</v>
      </c>
      <c r="H19" s="56"/>
      <c r="I19" s="57">
        <v>169</v>
      </c>
      <c r="J19" s="58">
        <f t="shared" si="6"/>
        <v>0</v>
      </c>
      <c r="K19" s="59">
        <f t="shared" si="7"/>
        <v>169</v>
      </c>
      <c r="L19" s="60">
        <f t="shared" si="8"/>
        <v>169</v>
      </c>
      <c r="M19" s="61" t="s">
        <v>137</v>
      </c>
    </row>
    <row r="20" spans="1:13">
      <c r="A20" s="49" t="s">
        <v>164</v>
      </c>
      <c r="B20" s="50" t="s">
        <v>165</v>
      </c>
      <c r="C20" s="51">
        <v>1</v>
      </c>
      <c r="D20" s="51">
        <v>1</v>
      </c>
      <c r="E20" s="53">
        <f t="shared" si="5"/>
        <v>0</v>
      </c>
      <c r="F20" s="64" t="str">
        <f t="shared" si="0"/>
        <v>IDEAL</v>
      </c>
      <c r="G20" s="66" t="e">
        <f t="shared" si="1"/>
        <v>#DIV/0!</v>
      </c>
      <c r="H20" s="56"/>
      <c r="I20" s="57">
        <v>27</v>
      </c>
      <c r="J20" s="58">
        <f t="shared" si="6"/>
        <v>0</v>
      </c>
      <c r="K20" s="59">
        <f t="shared" si="7"/>
        <v>27</v>
      </c>
      <c r="L20" s="60">
        <f t="shared" si="8"/>
        <v>27</v>
      </c>
      <c r="M20" s="61" t="s">
        <v>137</v>
      </c>
    </row>
    <row r="21" spans="1:13">
      <c r="A21" s="49" t="s">
        <v>166</v>
      </c>
      <c r="B21" s="50" t="s">
        <v>167</v>
      </c>
      <c r="C21" s="51">
        <v>2</v>
      </c>
      <c r="D21" s="51">
        <v>2</v>
      </c>
      <c r="E21" s="53">
        <f t="shared" si="5"/>
        <v>0</v>
      </c>
      <c r="F21" s="64" t="str">
        <f t="shared" si="0"/>
        <v>IDEAL</v>
      </c>
      <c r="G21" s="66" t="e">
        <f t="shared" si="1"/>
        <v>#DIV/0!</v>
      </c>
      <c r="H21" s="56"/>
      <c r="I21" s="57">
        <v>19.2</v>
      </c>
      <c r="J21" s="58">
        <f t="shared" si="6"/>
        <v>0</v>
      </c>
      <c r="K21" s="59">
        <f t="shared" si="7"/>
        <v>38.4</v>
      </c>
      <c r="L21" s="60">
        <f t="shared" si="8"/>
        <v>38.4</v>
      </c>
      <c r="M21" s="61" t="s">
        <v>137</v>
      </c>
    </row>
    <row r="22" spans="1:13">
      <c r="A22" s="49" t="s">
        <v>168</v>
      </c>
      <c r="B22" s="50" t="s">
        <v>169</v>
      </c>
      <c r="C22" s="51">
        <v>1</v>
      </c>
      <c r="D22" s="51">
        <v>1</v>
      </c>
      <c r="E22" s="53">
        <f t="shared" si="5"/>
        <v>0</v>
      </c>
      <c r="F22" s="64" t="str">
        <f t="shared" si="0"/>
        <v>IDEAL</v>
      </c>
      <c r="G22" s="66" t="e">
        <f t="shared" si="1"/>
        <v>#DIV/0!</v>
      </c>
      <c r="H22" s="56"/>
      <c r="I22" s="68">
        <v>1055.04</v>
      </c>
      <c r="J22" s="58">
        <f t="shared" si="2"/>
        <v>0</v>
      </c>
      <c r="K22" s="59">
        <f t="shared" si="3"/>
        <v>1055.04</v>
      </c>
      <c r="L22" s="60">
        <f t="shared" si="4"/>
        <v>1055.04</v>
      </c>
      <c r="M22" s="61" t="s">
        <v>137</v>
      </c>
    </row>
    <row r="23" spans="1:13">
      <c r="A23" s="49" t="s">
        <v>170</v>
      </c>
      <c r="B23" s="69" t="s">
        <v>171</v>
      </c>
      <c r="C23" s="51">
        <v>1</v>
      </c>
      <c r="D23" s="51">
        <v>1</v>
      </c>
      <c r="E23" s="53">
        <v>0</v>
      </c>
      <c r="F23" s="64" t="str">
        <f t="shared" si="0"/>
        <v>IDEAL</v>
      </c>
      <c r="G23" s="66" t="e">
        <f t="shared" si="1"/>
        <v>#DIV/0!</v>
      </c>
      <c r="H23" s="56"/>
      <c r="I23" s="70">
        <v>1282.9000000000001</v>
      </c>
      <c r="J23" s="58">
        <f>IF(I23="","",I23*E23)</f>
        <v>0</v>
      </c>
      <c r="K23" s="59">
        <f>I23*C23</f>
        <v>1282.9000000000001</v>
      </c>
      <c r="L23" s="60">
        <f>I23*D23</f>
        <v>1282.9000000000001</v>
      </c>
      <c r="M23" s="61" t="s">
        <v>137</v>
      </c>
    </row>
    <row r="24" spans="1:13" ht="28.9">
      <c r="A24" s="49" t="s">
        <v>172</v>
      </c>
      <c r="B24" s="71" t="s">
        <v>173</v>
      </c>
      <c r="C24" s="51">
        <v>1</v>
      </c>
      <c r="D24" s="51">
        <v>1</v>
      </c>
      <c r="E24" s="53">
        <f t="shared" si="5"/>
        <v>0</v>
      </c>
      <c r="F24" s="64" t="str">
        <f t="shared" si="0"/>
        <v>IDEAL</v>
      </c>
      <c r="G24" s="65" t="e">
        <f t="shared" si="1"/>
        <v>#DIV/0!</v>
      </c>
      <c r="H24" s="56"/>
      <c r="I24" s="57">
        <v>889.9</v>
      </c>
      <c r="J24" s="58">
        <f>IF(I24="","",I24*E24)</f>
        <v>0</v>
      </c>
      <c r="K24" s="59">
        <f>I24*C24</f>
        <v>889.9</v>
      </c>
      <c r="L24" s="60">
        <f>I24*D24</f>
        <v>889.9</v>
      </c>
      <c r="M24" s="61" t="s">
        <v>137</v>
      </c>
    </row>
    <row r="25" spans="1:13">
      <c r="A25" s="49" t="s">
        <v>174</v>
      </c>
      <c r="B25" s="72" t="s">
        <v>175</v>
      </c>
      <c r="C25" s="51">
        <v>1</v>
      </c>
      <c r="D25" s="51">
        <v>1</v>
      </c>
      <c r="E25" s="53">
        <f t="shared" si="5"/>
        <v>0</v>
      </c>
      <c r="F25" s="54" t="str">
        <f t="shared" si="0"/>
        <v>IDEAL</v>
      </c>
      <c r="G25" s="55" t="e">
        <f t="shared" si="1"/>
        <v>#DIV/0!</v>
      </c>
      <c r="H25" s="56"/>
      <c r="I25" s="57">
        <v>265.45999999999998</v>
      </c>
      <c r="J25" s="58">
        <f t="shared" si="2"/>
        <v>0</v>
      </c>
      <c r="K25" s="59">
        <f t="shared" si="3"/>
        <v>265.45999999999998</v>
      </c>
      <c r="L25" s="60">
        <f t="shared" si="4"/>
        <v>265.45999999999998</v>
      </c>
      <c r="M25" s="61" t="s">
        <v>137</v>
      </c>
    </row>
    <row r="26" spans="1:13">
      <c r="A26" s="49" t="s">
        <v>176</v>
      </c>
      <c r="B26" s="73" t="s">
        <v>177</v>
      </c>
      <c r="C26" s="51">
        <v>1</v>
      </c>
      <c r="D26" s="51">
        <v>1</v>
      </c>
      <c r="E26" s="53">
        <f t="shared" si="5"/>
        <v>0</v>
      </c>
      <c r="F26" s="54" t="str">
        <f t="shared" si="0"/>
        <v>IDEAL</v>
      </c>
      <c r="G26" s="55" t="e">
        <f t="shared" si="1"/>
        <v>#DIV/0!</v>
      </c>
      <c r="H26" s="56"/>
      <c r="I26" s="57">
        <v>147.96</v>
      </c>
      <c r="J26" s="58">
        <f t="shared" si="2"/>
        <v>0</v>
      </c>
      <c r="K26" s="59">
        <f t="shared" si="3"/>
        <v>147.96</v>
      </c>
      <c r="L26" s="60">
        <f t="shared" si="4"/>
        <v>147.96</v>
      </c>
      <c r="M26" s="61" t="s">
        <v>178</v>
      </c>
    </row>
    <row r="27" spans="1:13">
      <c r="A27" s="49" t="s">
        <v>179</v>
      </c>
      <c r="B27" s="72" t="s">
        <v>180</v>
      </c>
      <c r="C27" s="51">
        <v>10</v>
      </c>
      <c r="D27" s="51">
        <v>5</v>
      </c>
      <c r="E27" s="53">
        <f t="shared" si="5"/>
        <v>5</v>
      </c>
      <c r="F27" s="54" t="str">
        <f t="shared" si="0"/>
        <v>ACIMA</v>
      </c>
      <c r="G27" s="55" t="e">
        <f t="shared" si="1"/>
        <v>#DIV/0!</v>
      </c>
      <c r="H27" s="56"/>
      <c r="I27" s="57">
        <v>24</v>
      </c>
      <c r="J27" s="58">
        <f t="shared" si="2"/>
        <v>120</v>
      </c>
      <c r="K27" s="59">
        <f t="shared" si="3"/>
        <v>240</v>
      </c>
      <c r="L27" s="60">
        <f t="shared" si="4"/>
        <v>120</v>
      </c>
      <c r="M27" s="61" t="s">
        <v>178</v>
      </c>
    </row>
    <row r="28" spans="1:13">
      <c r="A28" s="49" t="s">
        <v>181</v>
      </c>
      <c r="B28" s="72" t="s">
        <v>182</v>
      </c>
      <c r="C28" s="51">
        <v>10</v>
      </c>
      <c r="D28" s="51">
        <v>10</v>
      </c>
      <c r="E28" s="53">
        <f t="shared" si="5"/>
        <v>0</v>
      </c>
      <c r="F28" s="54" t="str">
        <f t="shared" si="0"/>
        <v>IDEAL</v>
      </c>
      <c r="G28" s="55" t="e">
        <f t="shared" si="1"/>
        <v>#DIV/0!</v>
      </c>
      <c r="H28" s="56"/>
      <c r="I28" s="57">
        <v>20</v>
      </c>
      <c r="J28" s="58">
        <f t="shared" si="2"/>
        <v>0</v>
      </c>
      <c r="K28" s="59">
        <f t="shared" si="3"/>
        <v>200</v>
      </c>
      <c r="L28" s="60">
        <f t="shared" si="4"/>
        <v>200</v>
      </c>
      <c r="M28" s="61" t="s">
        <v>178</v>
      </c>
    </row>
    <row r="29" spans="1:13">
      <c r="A29" s="49" t="s">
        <v>183</v>
      </c>
      <c r="B29" s="72" t="s">
        <v>184</v>
      </c>
      <c r="C29" s="51">
        <v>5</v>
      </c>
      <c r="D29" s="51">
        <v>5</v>
      </c>
      <c r="E29" s="53">
        <f t="shared" si="5"/>
        <v>0</v>
      </c>
      <c r="F29" s="54" t="str">
        <f t="shared" si="0"/>
        <v>IDEAL</v>
      </c>
      <c r="G29" s="55" t="e">
        <f t="shared" si="1"/>
        <v>#DIV/0!</v>
      </c>
      <c r="H29" s="56"/>
      <c r="I29" s="74">
        <v>20</v>
      </c>
      <c r="J29" s="58">
        <f t="shared" si="2"/>
        <v>0</v>
      </c>
      <c r="K29" s="59">
        <f t="shared" si="3"/>
        <v>100</v>
      </c>
      <c r="L29" s="60">
        <f t="shared" si="4"/>
        <v>100</v>
      </c>
      <c r="M29" s="61" t="s">
        <v>178</v>
      </c>
    </row>
    <row r="30" spans="1:13">
      <c r="A30" s="49" t="s">
        <v>185</v>
      </c>
      <c r="B30" s="75" t="s">
        <v>186</v>
      </c>
      <c r="C30" s="51">
        <v>1</v>
      </c>
      <c r="D30" s="51">
        <v>1</v>
      </c>
      <c r="E30" s="53">
        <f t="shared" si="5"/>
        <v>0</v>
      </c>
      <c r="F30" s="54" t="str">
        <f t="shared" si="0"/>
        <v>IDEAL</v>
      </c>
      <c r="G30" s="55" t="e">
        <f t="shared" si="1"/>
        <v>#DIV/0!</v>
      </c>
      <c r="H30" s="56"/>
      <c r="I30" s="76">
        <v>279.82</v>
      </c>
      <c r="J30" s="58">
        <f t="shared" si="2"/>
        <v>0</v>
      </c>
      <c r="K30" s="59">
        <f t="shared" si="3"/>
        <v>279.82</v>
      </c>
      <c r="L30" s="60">
        <f t="shared" si="4"/>
        <v>279.82</v>
      </c>
      <c r="M30" s="61" t="s">
        <v>178</v>
      </c>
    </row>
    <row r="31" spans="1:13">
      <c r="A31" s="77" t="s">
        <v>187</v>
      </c>
      <c r="B31" s="72"/>
      <c r="C31" s="51"/>
      <c r="D31" s="51"/>
      <c r="E31" s="53">
        <f t="shared" si="5"/>
        <v>0</v>
      </c>
      <c r="F31" s="54" t="str">
        <f t="shared" si="0"/>
        <v>IDEAL</v>
      </c>
      <c r="G31" s="55" t="e">
        <f t="shared" si="1"/>
        <v>#DIV/0!</v>
      </c>
      <c r="H31" s="56"/>
      <c r="I31" s="74">
        <v>0</v>
      </c>
      <c r="J31" s="58">
        <f t="shared" si="2"/>
        <v>0</v>
      </c>
      <c r="K31" s="59">
        <f t="shared" si="3"/>
        <v>0</v>
      </c>
      <c r="L31" s="60">
        <f t="shared" si="4"/>
        <v>0</v>
      </c>
      <c r="M31" s="61" t="s">
        <v>178</v>
      </c>
    </row>
    <row r="32" spans="1:13">
      <c r="A32" s="77" t="s">
        <v>188</v>
      </c>
      <c r="B32" s="78"/>
      <c r="C32" s="51"/>
      <c r="D32" s="51"/>
      <c r="E32" s="53">
        <f t="shared" si="5"/>
        <v>0</v>
      </c>
      <c r="F32" s="54" t="str">
        <f t="shared" si="0"/>
        <v>IDEAL</v>
      </c>
      <c r="G32" s="55" t="e">
        <f t="shared" si="1"/>
        <v>#DIV/0!</v>
      </c>
      <c r="H32" s="56"/>
      <c r="I32" s="74">
        <v>0</v>
      </c>
      <c r="J32" s="58">
        <f t="shared" si="2"/>
        <v>0</v>
      </c>
      <c r="K32" s="59">
        <f t="shared" si="3"/>
        <v>0</v>
      </c>
      <c r="L32" s="60">
        <f t="shared" si="4"/>
        <v>0</v>
      </c>
      <c r="M32" s="61" t="s">
        <v>178</v>
      </c>
    </row>
    <row r="33" spans="1:13">
      <c r="A33" s="77" t="s">
        <v>189</v>
      </c>
      <c r="B33" s="78"/>
      <c r="C33" s="51"/>
      <c r="D33" s="51"/>
      <c r="E33" s="53">
        <f t="shared" si="5"/>
        <v>0</v>
      </c>
      <c r="F33" s="54" t="str">
        <f t="shared" si="0"/>
        <v>IDEAL</v>
      </c>
      <c r="G33" s="55" t="e">
        <f t="shared" si="1"/>
        <v>#DIV/0!</v>
      </c>
      <c r="H33" s="56"/>
      <c r="I33" s="74">
        <v>0</v>
      </c>
      <c r="J33" s="58">
        <f t="shared" si="2"/>
        <v>0</v>
      </c>
      <c r="K33" s="59">
        <f t="shared" si="3"/>
        <v>0</v>
      </c>
      <c r="L33" s="60">
        <f t="shared" si="4"/>
        <v>0</v>
      </c>
      <c r="M33" s="61" t="s">
        <v>178</v>
      </c>
    </row>
    <row r="34" spans="1:13">
      <c r="A34" s="77" t="s">
        <v>190</v>
      </c>
      <c r="B34" s="78"/>
      <c r="C34" s="51"/>
      <c r="D34" s="51"/>
      <c r="E34" s="53">
        <f t="shared" si="5"/>
        <v>0</v>
      </c>
      <c r="F34" s="54" t="str">
        <f t="shared" si="0"/>
        <v>IDEAL</v>
      </c>
      <c r="G34" s="55" t="e">
        <f t="shared" si="1"/>
        <v>#DIV/0!</v>
      </c>
      <c r="H34" s="56"/>
      <c r="I34" s="74">
        <v>0</v>
      </c>
      <c r="J34" s="58">
        <f t="shared" si="2"/>
        <v>0</v>
      </c>
      <c r="K34" s="59">
        <f t="shared" si="3"/>
        <v>0</v>
      </c>
      <c r="L34" s="60">
        <f t="shared" si="4"/>
        <v>0</v>
      </c>
      <c r="M34" s="61" t="s">
        <v>178</v>
      </c>
    </row>
    <row r="35" spans="1:13">
      <c r="A35" s="77" t="s">
        <v>191</v>
      </c>
      <c r="B35" s="78"/>
      <c r="C35" s="51"/>
      <c r="D35" s="51"/>
      <c r="E35" s="53">
        <f t="shared" si="5"/>
        <v>0</v>
      </c>
      <c r="F35" s="62" t="str">
        <f t="shared" si="0"/>
        <v>IDEAL</v>
      </c>
      <c r="G35" s="63" t="e">
        <f t="shared" si="1"/>
        <v>#DIV/0!</v>
      </c>
      <c r="H35" s="79"/>
      <c r="I35" s="60">
        <v>0</v>
      </c>
      <c r="J35" s="58">
        <f t="shared" si="2"/>
        <v>0</v>
      </c>
      <c r="K35" s="59">
        <f t="shared" si="3"/>
        <v>0</v>
      </c>
      <c r="L35" s="60">
        <f t="shared" si="4"/>
        <v>0</v>
      </c>
      <c r="M35" s="61" t="s">
        <v>178</v>
      </c>
    </row>
    <row r="36" spans="1:13">
      <c r="A36" s="77" t="s">
        <v>192</v>
      </c>
      <c r="B36" s="78"/>
      <c r="C36" s="51"/>
      <c r="D36" s="51"/>
      <c r="E36" s="53">
        <f t="shared" si="5"/>
        <v>0</v>
      </c>
      <c r="F36" s="54" t="str">
        <f t="shared" si="0"/>
        <v>IDEAL</v>
      </c>
      <c r="G36" s="55" t="e">
        <f t="shared" si="1"/>
        <v>#DIV/0!</v>
      </c>
      <c r="H36" s="79"/>
      <c r="I36" s="60">
        <v>0</v>
      </c>
      <c r="J36" s="58">
        <f t="shared" si="2"/>
        <v>0</v>
      </c>
      <c r="K36" s="59">
        <f t="shared" si="3"/>
        <v>0</v>
      </c>
      <c r="L36" s="60">
        <f t="shared" si="4"/>
        <v>0</v>
      </c>
      <c r="M36" s="61" t="s">
        <v>178</v>
      </c>
    </row>
    <row r="37" spans="1:13">
      <c r="A37" s="77" t="s">
        <v>193</v>
      </c>
      <c r="B37" s="78"/>
      <c r="C37" s="51"/>
      <c r="D37" s="51"/>
      <c r="E37" s="53">
        <f t="shared" si="5"/>
        <v>0</v>
      </c>
      <c r="F37" s="54" t="str">
        <f t="shared" si="0"/>
        <v>IDEAL</v>
      </c>
      <c r="G37" s="55" t="e">
        <f t="shared" si="1"/>
        <v>#DIV/0!</v>
      </c>
      <c r="H37" s="79"/>
      <c r="I37" s="60">
        <v>0</v>
      </c>
      <c r="J37" s="58">
        <f t="shared" si="2"/>
        <v>0</v>
      </c>
      <c r="K37" s="59">
        <f t="shared" si="3"/>
        <v>0</v>
      </c>
      <c r="L37" s="60">
        <f t="shared" si="4"/>
        <v>0</v>
      </c>
      <c r="M37" s="61" t="s">
        <v>178</v>
      </c>
    </row>
    <row r="38" spans="1:13">
      <c r="A38" s="77" t="s">
        <v>194</v>
      </c>
      <c r="B38" s="78"/>
      <c r="C38" s="51"/>
      <c r="D38" s="51"/>
      <c r="E38" s="53">
        <f t="shared" si="5"/>
        <v>0</v>
      </c>
      <c r="F38" s="54" t="str">
        <f t="shared" si="0"/>
        <v>IDEAL</v>
      </c>
      <c r="G38" s="55" t="e">
        <f t="shared" si="1"/>
        <v>#DIV/0!</v>
      </c>
      <c r="H38" s="79"/>
      <c r="I38" s="60">
        <v>0</v>
      </c>
      <c r="J38" s="58">
        <f t="shared" si="2"/>
        <v>0</v>
      </c>
      <c r="K38" s="59">
        <f t="shared" si="3"/>
        <v>0</v>
      </c>
      <c r="L38" s="60">
        <f t="shared" si="4"/>
        <v>0</v>
      </c>
      <c r="M38" s="61" t="s">
        <v>178</v>
      </c>
    </row>
    <row r="39" spans="1:13">
      <c r="A39" s="77" t="s">
        <v>195</v>
      </c>
      <c r="B39" s="78"/>
      <c r="C39" s="51"/>
      <c r="D39" s="51"/>
      <c r="E39" s="53">
        <f t="shared" si="5"/>
        <v>0</v>
      </c>
      <c r="F39" s="54" t="str">
        <f t="shared" si="0"/>
        <v>IDEAL</v>
      </c>
      <c r="G39" s="55" t="e">
        <f t="shared" si="1"/>
        <v>#DIV/0!</v>
      </c>
      <c r="H39" s="79"/>
      <c r="I39" s="60">
        <v>0</v>
      </c>
      <c r="J39" s="58">
        <f t="shared" si="2"/>
        <v>0</v>
      </c>
      <c r="K39" s="59">
        <f t="shared" si="3"/>
        <v>0</v>
      </c>
      <c r="L39" s="60">
        <f t="shared" si="4"/>
        <v>0</v>
      </c>
      <c r="M39" s="61" t="s">
        <v>178</v>
      </c>
    </row>
    <row r="40" spans="1:13">
      <c r="A40" s="77" t="s">
        <v>196</v>
      </c>
      <c r="B40" s="78"/>
      <c r="C40" s="51"/>
      <c r="D40" s="51"/>
      <c r="E40" s="53">
        <f t="shared" si="5"/>
        <v>0</v>
      </c>
      <c r="F40" s="54" t="str">
        <f t="shared" si="0"/>
        <v>IDEAL</v>
      </c>
      <c r="G40" s="55" t="e">
        <f t="shared" si="1"/>
        <v>#DIV/0!</v>
      </c>
      <c r="H40" s="79"/>
      <c r="I40" s="60">
        <v>0</v>
      </c>
      <c r="J40" s="58">
        <f t="shared" si="2"/>
        <v>0</v>
      </c>
      <c r="K40" s="59">
        <f t="shared" si="3"/>
        <v>0</v>
      </c>
      <c r="L40" s="60">
        <f t="shared" si="4"/>
        <v>0</v>
      </c>
      <c r="M40" s="61" t="s">
        <v>178</v>
      </c>
    </row>
    <row r="41" spans="1:13">
      <c r="A41" s="77" t="s">
        <v>197</v>
      </c>
      <c r="B41" s="78"/>
      <c r="C41" s="51"/>
      <c r="D41" s="51"/>
      <c r="E41" s="53">
        <f t="shared" si="5"/>
        <v>0</v>
      </c>
      <c r="F41" s="54" t="str">
        <f t="shared" si="0"/>
        <v>IDEAL</v>
      </c>
      <c r="G41" s="55" t="e">
        <f t="shared" si="1"/>
        <v>#DIV/0!</v>
      </c>
      <c r="H41" s="79"/>
      <c r="I41" s="60">
        <v>0</v>
      </c>
      <c r="J41" s="58">
        <f t="shared" si="2"/>
        <v>0</v>
      </c>
      <c r="K41" s="59">
        <f t="shared" si="3"/>
        <v>0</v>
      </c>
      <c r="L41" s="60">
        <f t="shared" si="4"/>
        <v>0</v>
      </c>
      <c r="M41" s="61" t="s">
        <v>178</v>
      </c>
    </row>
    <row r="42" spans="1:13">
      <c r="A42" s="77" t="s">
        <v>198</v>
      </c>
      <c r="B42" s="78"/>
      <c r="C42" s="51"/>
      <c r="D42" s="51"/>
      <c r="E42" s="53">
        <f t="shared" si="5"/>
        <v>0</v>
      </c>
      <c r="F42" s="54" t="str">
        <f t="shared" si="0"/>
        <v>IDEAL</v>
      </c>
      <c r="G42" s="55" t="e">
        <f t="shared" si="1"/>
        <v>#DIV/0!</v>
      </c>
      <c r="H42" s="79"/>
      <c r="I42" s="60">
        <v>0</v>
      </c>
      <c r="J42" s="58">
        <f t="shared" si="2"/>
        <v>0</v>
      </c>
      <c r="K42" s="59">
        <f t="shared" si="3"/>
        <v>0</v>
      </c>
      <c r="L42" s="60">
        <f t="shared" si="4"/>
        <v>0</v>
      </c>
      <c r="M42" s="61" t="s">
        <v>178</v>
      </c>
    </row>
    <row r="43" spans="1:13">
      <c r="A43" s="77" t="s">
        <v>199</v>
      </c>
      <c r="B43" s="78"/>
      <c r="C43" s="51"/>
      <c r="D43" s="51"/>
      <c r="E43" s="53">
        <f t="shared" si="5"/>
        <v>0</v>
      </c>
      <c r="F43" s="54" t="str">
        <f t="shared" si="0"/>
        <v>IDEAL</v>
      </c>
      <c r="G43" s="55" t="e">
        <f t="shared" si="1"/>
        <v>#DIV/0!</v>
      </c>
      <c r="H43" s="79"/>
      <c r="I43" s="60">
        <v>0</v>
      </c>
      <c r="J43" s="58">
        <f t="shared" si="2"/>
        <v>0</v>
      </c>
      <c r="K43" s="59">
        <f t="shared" si="3"/>
        <v>0</v>
      </c>
      <c r="L43" s="60">
        <f t="shared" si="4"/>
        <v>0</v>
      </c>
      <c r="M43" s="61" t="s">
        <v>178</v>
      </c>
    </row>
    <row r="44" spans="1:13">
      <c r="A44" s="77" t="s">
        <v>200</v>
      </c>
      <c r="B44" s="78"/>
      <c r="C44" s="51"/>
      <c r="D44" s="51"/>
      <c r="E44" s="53">
        <f t="shared" si="5"/>
        <v>0</v>
      </c>
      <c r="F44" s="62" t="str">
        <f t="shared" si="0"/>
        <v>IDEAL</v>
      </c>
      <c r="G44" s="67" t="e">
        <f t="shared" si="1"/>
        <v>#DIV/0!</v>
      </c>
      <c r="H44" s="79"/>
      <c r="I44" s="60">
        <v>0</v>
      </c>
      <c r="J44" s="58">
        <f t="shared" si="2"/>
        <v>0</v>
      </c>
      <c r="K44" s="59">
        <f t="shared" si="3"/>
        <v>0</v>
      </c>
      <c r="L44" s="60">
        <f t="shared" si="4"/>
        <v>0</v>
      </c>
      <c r="M44" s="61" t="s">
        <v>178</v>
      </c>
    </row>
    <row r="45" spans="1:13">
      <c r="A45" s="77" t="s">
        <v>201</v>
      </c>
      <c r="B45" s="78"/>
      <c r="C45" s="51"/>
      <c r="D45" s="51"/>
      <c r="E45" s="53">
        <f t="shared" si="5"/>
        <v>0</v>
      </c>
      <c r="F45" s="62" t="str">
        <f t="shared" si="0"/>
        <v>IDEAL</v>
      </c>
      <c r="G45" s="67" t="e">
        <f t="shared" si="1"/>
        <v>#DIV/0!</v>
      </c>
      <c r="H45" s="79"/>
      <c r="I45" s="60">
        <v>0</v>
      </c>
      <c r="J45" s="58">
        <f t="shared" si="2"/>
        <v>0</v>
      </c>
      <c r="K45" s="59">
        <f t="shared" si="3"/>
        <v>0</v>
      </c>
      <c r="L45" s="60">
        <f t="shared" si="4"/>
        <v>0</v>
      </c>
      <c r="M45" s="61" t="s">
        <v>178</v>
      </c>
    </row>
    <row r="46" spans="1:13">
      <c r="A46" s="77" t="s">
        <v>202</v>
      </c>
      <c r="B46" s="78"/>
      <c r="C46" s="51"/>
      <c r="D46" s="51"/>
      <c r="E46" s="53">
        <f t="shared" si="5"/>
        <v>0</v>
      </c>
      <c r="F46" s="62" t="str">
        <f t="shared" si="0"/>
        <v>IDEAL</v>
      </c>
      <c r="G46" s="67" t="e">
        <f t="shared" si="1"/>
        <v>#DIV/0!</v>
      </c>
      <c r="H46" s="79"/>
      <c r="I46" s="60">
        <v>0</v>
      </c>
      <c r="J46" s="58">
        <f t="shared" si="2"/>
        <v>0</v>
      </c>
      <c r="K46" s="59">
        <f t="shared" si="3"/>
        <v>0</v>
      </c>
      <c r="L46" s="60">
        <f t="shared" si="4"/>
        <v>0</v>
      </c>
      <c r="M46" s="61" t="s">
        <v>178</v>
      </c>
    </row>
    <row r="47" spans="1:13">
      <c r="A47" s="77" t="s">
        <v>203</v>
      </c>
      <c r="B47" s="78"/>
      <c r="C47" s="51"/>
      <c r="D47" s="51"/>
      <c r="E47" s="53">
        <f t="shared" si="5"/>
        <v>0</v>
      </c>
      <c r="F47" s="62" t="str">
        <f t="shared" si="0"/>
        <v>IDEAL</v>
      </c>
      <c r="G47" s="67" t="e">
        <f t="shared" si="1"/>
        <v>#DIV/0!</v>
      </c>
      <c r="H47" s="79"/>
      <c r="I47" s="60">
        <v>0</v>
      </c>
      <c r="J47" s="58">
        <f t="shared" si="2"/>
        <v>0</v>
      </c>
      <c r="K47" s="59">
        <f t="shared" si="3"/>
        <v>0</v>
      </c>
      <c r="L47" s="60">
        <f t="shared" si="4"/>
        <v>0</v>
      </c>
      <c r="M47" s="61" t="s">
        <v>178</v>
      </c>
    </row>
    <row r="48" spans="1:13">
      <c r="A48" s="77" t="s">
        <v>204</v>
      </c>
      <c r="B48" s="78"/>
      <c r="C48" s="51"/>
      <c r="D48" s="51"/>
      <c r="E48" s="53">
        <f t="shared" si="5"/>
        <v>0</v>
      </c>
      <c r="F48" s="62" t="str">
        <f t="shared" si="0"/>
        <v>IDEAL</v>
      </c>
      <c r="G48" s="67" t="e">
        <f t="shared" si="1"/>
        <v>#DIV/0!</v>
      </c>
      <c r="H48" s="79"/>
      <c r="I48" s="60">
        <v>0</v>
      </c>
      <c r="J48" s="58">
        <f t="shared" si="2"/>
        <v>0</v>
      </c>
      <c r="K48" s="59">
        <f t="shared" si="3"/>
        <v>0</v>
      </c>
      <c r="L48" s="60">
        <f t="shared" si="4"/>
        <v>0</v>
      </c>
      <c r="M48" s="61" t="s">
        <v>178</v>
      </c>
    </row>
    <row r="49" spans="1:13">
      <c r="A49" s="77" t="s">
        <v>205</v>
      </c>
      <c r="B49" s="78"/>
      <c r="C49" s="51"/>
      <c r="D49" s="51"/>
      <c r="E49" s="53">
        <f t="shared" si="5"/>
        <v>0</v>
      </c>
      <c r="F49" s="62" t="str">
        <f t="shared" si="0"/>
        <v>IDEAL</v>
      </c>
      <c r="G49" s="67" t="e">
        <f t="shared" si="1"/>
        <v>#DIV/0!</v>
      </c>
      <c r="H49" s="79"/>
      <c r="I49" s="60">
        <v>0</v>
      </c>
      <c r="J49" s="58">
        <f t="shared" si="2"/>
        <v>0</v>
      </c>
      <c r="K49" s="59">
        <f t="shared" si="3"/>
        <v>0</v>
      </c>
      <c r="L49" s="60">
        <f t="shared" si="4"/>
        <v>0</v>
      </c>
      <c r="M49" s="61" t="s">
        <v>178</v>
      </c>
    </row>
    <row r="50" spans="1:13">
      <c r="A50" s="77" t="s">
        <v>206</v>
      </c>
      <c r="B50" s="78"/>
      <c r="C50" s="51"/>
      <c r="D50" s="51"/>
      <c r="E50" s="53">
        <f t="shared" si="5"/>
        <v>0</v>
      </c>
      <c r="F50" s="62" t="str">
        <f t="shared" si="0"/>
        <v>IDEAL</v>
      </c>
      <c r="G50" s="63" t="e">
        <f t="shared" si="1"/>
        <v>#DIV/0!</v>
      </c>
      <c r="H50" s="79"/>
      <c r="I50" s="60">
        <v>0</v>
      </c>
      <c r="J50" s="58">
        <f t="shared" si="2"/>
        <v>0</v>
      </c>
      <c r="K50" s="59">
        <f t="shared" si="3"/>
        <v>0</v>
      </c>
      <c r="L50" s="60">
        <f t="shared" si="4"/>
        <v>0</v>
      </c>
      <c r="M50" s="61" t="s">
        <v>178</v>
      </c>
    </row>
    <row r="51" spans="1:13">
      <c r="A51" s="77" t="s">
        <v>207</v>
      </c>
      <c r="B51" s="78"/>
      <c r="C51" s="51"/>
      <c r="D51" s="51"/>
      <c r="E51" s="53">
        <f t="shared" si="5"/>
        <v>0</v>
      </c>
      <c r="F51" s="62" t="str">
        <f t="shared" si="0"/>
        <v>IDEAL</v>
      </c>
      <c r="G51" s="63" t="e">
        <f t="shared" si="1"/>
        <v>#DIV/0!</v>
      </c>
      <c r="H51" s="79"/>
      <c r="I51" s="60">
        <v>0</v>
      </c>
      <c r="J51" s="58">
        <f t="shared" si="2"/>
        <v>0</v>
      </c>
      <c r="K51" s="59">
        <f t="shared" si="3"/>
        <v>0</v>
      </c>
      <c r="L51" s="60">
        <f t="shared" si="4"/>
        <v>0</v>
      </c>
      <c r="M51" s="61" t="s">
        <v>178</v>
      </c>
    </row>
    <row r="52" spans="1:13">
      <c r="A52" s="77" t="s">
        <v>208</v>
      </c>
      <c r="B52" s="78"/>
      <c r="C52" s="51"/>
      <c r="D52" s="51"/>
      <c r="E52" s="53">
        <f t="shared" si="5"/>
        <v>0</v>
      </c>
      <c r="F52" s="62" t="str">
        <f t="shared" si="0"/>
        <v>IDEAL</v>
      </c>
      <c r="G52" s="67" t="e">
        <f t="shared" si="1"/>
        <v>#DIV/0!</v>
      </c>
      <c r="H52" s="79"/>
      <c r="I52" s="60">
        <v>0</v>
      </c>
      <c r="J52" s="58">
        <f t="shared" si="2"/>
        <v>0</v>
      </c>
      <c r="K52" s="59">
        <f t="shared" si="3"/>
        <v>0</v>
      </c>
      <c r="L52" s="60">
        <f t="shared" si="4"/>
        <v>0</v>
      </c>
      <c r="M52" s="61" t="s">
        <v>209</v>
      </c>
    </row>
    <row r="53" spans="1:13">
      <c r="A53" s="77" t="s">
        <v>210</v>
      </c>
      <c r="B53" s="78"/>
      <c r="C53" s="51"/>
      <c r="D53" s="51"/>
      <c r="E53" s="53">
        <f t="shared" si="5"/>
        <v>0</v>
      </c>
      <c r="F53" s="62" t="str">
        <f t="shared" si="0"/>
        <v>IDEAL</v>
      </c>
      <c r="G53" s="67" t="e">
        <f t="shared" si="1"/>
        <v>#DIV/0!</v>
      </c>
      <c r="H53" s="79"/>
      <c r="I53" s="60">
        <v>0</v>
      </c>
      <c r="J53" s="58">
        <f t="shared" si="2"/>
        <v>0</v>
      </c>
      <c r="K53" s="59">
        <f t="shared" si="3"/>
        <v>0</v>
      </c>
      <c r="L53" s="60">
        <f t="shared" si="4"/>
        <v>0</v>
      </c>
      <c r="M53" s="61" t="s">
        <v>209</v>
      </c>
    </row>
    <row r="54" spans="1:13">
      <c r="A54" s="77" t="s">
        <v>211</v>
      </c>
      <c r="B54" s="78"/>
      <c r="C54" s="51"/>
      <c r="D54" s="51"/>
      <c r="E54" s="53">
        <f t="shared" si="5"/>
        <v>0</v>
      </c>
      <c r="F54" s="62" t="str">
        <f t="shared" si="0"/>
        <v>IDEAL</v>
      </c>
      <c r="G54" s="67" t="e">
        <f t="shared" si="1"/>
        <v>#DIV/0!</v>
      </c>
      <c r="H54" s="79"/>
      <c r="I54" s="60">
        <v>0</v>
      </c>
      <c r="J54" s="58">
        <f t="shared" si="2"/>
        <v>0</v>
      </c>
      <c r="K54" s="59">
        <f t="shared" si="3"/>
        <v>0</v>
      </c>
      <c r="L54" s="60">
        <f t="shared" si="4"/>
        <v>0</v>
      </c>
      <c r="M54" s="61" t="s">
        <v>209</v>
      </c>
    </row>
    <row r="55" spans="1:13">
      <c r="A55" s="77" t="s">
        <v>212</v>
      </c>
      <c r="B55" s="78"/>
      <c r="C55" s="51"/>
      <c r="D55" s="51"/>
      <c r="E55" s="53">
        <f t="shared" si="5"/>
        <v>0</v>
      </c>
      <c r="F55" s="62" t="str">
        <f t="shared" si="0"/>
        <v>IDEAL</v>
      </c>
      <c r="G55" s="67" t="e">
        <f t="shared" si="1"/>
        <v>#DIV/0!</v>
      </c>
      <c r="H55" s="79"/>
      <c r="I55" s="60">
        <v>0</v>
      </c>
      <c r="J55" s="58">
        <f t="shared" si="2"/>
        <v>0</v>
      </c>
      <c r="K55" s="59">
        <f t="shared" si="3"/>
        <v>0</v>
      </c>
      <c r="L55" s="60">
        <f t="shared" si="4"/>
        <v>0</v>
      </c>
      <c r="M55" s="61" t="s">
        <v>209</v>
      </c>
    </row>
    <row r="56" spans="1:13">
      <c r="A56" s="77" t="s">
        <v>213</v>
      </c>
      <c r="B56" s="78"/>
      <c r="C56" s="51"/>
      <c r="D56" s="51"/>
      <c r="E56" s="53">
        <f t="shared" si="5"/>
        <v>0</v>
      </c>
      <c r="F56" s="62" t="str">
        <f t="shared" si="0"/>
        <v>IDEAL</v>
      </c>
      <c r="G56" s="67" t="e">
        <f t="shared" si="1"/>
        <v>#DIV/0!</v>
      </c>
      <c r="H56" s="79"/>
      <c r="I56" s="60">
        <v>0</v>
      </c>
      <c r="J56" s="58">
        <f t="shared" si="2"/>
        <v>0</v>
      </c>
      <c r="K56" s="59">
        <f t="shared" si="3"/>
        <v>0</v>
      </c>
      <c r="L56" s="60">
        <f t="shared" si="4"/>
        <v>0</v>
      </c>
      <c r="M56" s="61" t="s">
        <v>209</v>
      </c>
    </row>
    <row r="57" spans="1:13">
      <c r="A57" s="77" t="s">
        <v>214</v>
      </c>
      <c r="B57" s="78"/>
      <c r="C57" s="51"/>
      <c r="D57" s="51"/>
      <c r="E57" s="53">
        <f t="shared" si="5"/>
        <v>0</v>
      </c>
      <c r="F57" s="62" t="str">
        <f t="shared" si="0"/>
        <v>IDEAL</v>
      </c>
      <c r="G57" s="67" t="e">
        <f t="shared" si="1"/>
        <v>#DIV/0!</v>
      </c>
      <c r="H57" s="79"/>
      <c r="I57" s="60">
        <v>0</v>
      </c>
      <c r="J57" s="58">
        <f t="shared" si="2"/>
        <v>0</v>
      </c>
      <c r="K57" s="59">
        <f t="shared" si="3"/>
        <v>0</v>
      </c>
      <c r="L57" s="60">
        <f t="shared" si="4"/>
        <v>0</v>
      </c>
      <c r="M57" s="61"/>
    </row>
    <row r="58" spans="1:13">
      <c r="A58" s="77" t="s">
        <v>215</v>
      </c>
      <c r="B58" s="78"/>
      <c r="C58" s="51"/>
      <c r="D58" s="51"/>
      <c r="E58" s="53">
        <f t="shared" si="5"/>
        <v>0</v>
      </c>
      <c r="F58" s="62" t="str">
        <f t="shared" si="0"/>
        <v>IDEAL</v>
      </c>
      <c r="G58" s="67" t="e">
        <f t="shared" si="1"/>
        <v>#DIV/0!</v>
      </c>
      <c r="H58" s="79"/>
      <c r="I58" s="60">
        <v>0</v>
      </c>
      <c r="J58" s="58">
        <f t="shared" si="2"/>
        <v>0</v>
      </c>
      <c r="K58" s="59">
        <f t="shared" si="3"/>
        <v>0</v>
      </c>
      <c r="L58" s="60">
        <f t="shared" si="4"/>
        <v>0</v>
      </c>
      <c r="M58" s="61"/>
    </row>
    <row r="59" spans="1:13">
      <c r="A59" s="77" t="s">
        <v>216</v>
      </c>
      <c r="B59" s="78"/>
      <c r="C59" s="51"/>
      <c r="D59" s="51"/>
      <c r="E59" s="53">
        <f t="shared" si="5"/>
        <v>0</v>
      </c>
      <c r="F59" s="62" t="str">
        <f t="shared" si="0"/>
        <v>IDEAL</v>
      </c>
      <c r="G59" s="67" t="e">
        <f t="shared" si="1"/>
        <v>#DIV/0!</v>
      </c>
      <c r="H59" s="79"/>
      <c r="I59" s="60">
        <v>0</v>
      </c>
      <c r="J59" s="58">
        <f t="shared" si="2"/>
        <v>0</v>
      </c>
      <c r="K59" s="59">
        <f t="shared" si="3"/>
        <v>0</v>
      </c>
      <c r="L59" s="60">
        <f t="shared" si="4"/>
        <v>0</v>
      </c>
      <c r="M59" s="61"/>
    </row>
    <row r="60" spans="1:13">
      <c r="A60" s="77" t="s">
        <v>217</v>
      </c>
      <c r="B60" s="78"/>
      <c r="C60" s="51"/>
      <c r="D60" s="51"/>
      <c r="E60" s="53">
        <f t="shared" si="5"/>
        <v>0</v>
      </c>
      <c r="F60" s="62" t="str">
        <f t="shared" si="0"/>
        <v>IDEAL</v>
      </c>
      <c r="G60" s="67" t="e">
        <f t="shared" si="1"/>
        <v>#DIV/0!</v>
      </c>
      <c r="H60" s="79"/>
      <c r="I60" s="60">
        <v>0</v>
      </c>
      <c r="J60" s="58">
        <f t="shared" si="2"/>
        <v>0</v>
      </c>
      <c r="K60" s="59">
        <f t="shared" si="3"/>
        <v>0</v>
      </c>
      <c r="L60" s="60">
        <f t="shared" si="4"/>
        <v>0</v>
      </c>
      <c r="M60" s="61"/>
    </row>
    <row r="61" spans="1:13">
      <c r="A61" s="77" t="s">
        <v>218</v>
      </c>
      <c r="B61" s="78"/>
      <c r="C61" s="51"/>
      <c r="D61" s="51"/>
      <c r="E61" s="53">
        <f t="shared" si="5"/>
        <v>0</v>
      </c>
      <c r="F61" s="62" t="str">
        <f t="shared" si="0"/>
        <v>IDEAL</v>
      </c>
      <c r="G61" s="67" t="e">
        <f t="shared" si="1"/>
        <v>#DIV/0!</v>
      </c>
      <c r="H61" s="79"/>
      <c r="I61" s="60">
        <v>0</v>
      </c>
      <c r="J61" s="58">
        <f t="shared" si="2"/>
        <v>0</v>
      </c>
      <c r="K61" s="59">
        <f t="shared" si="3"/>
        <v>0</v>
      </c>
      <c r="L61" s="60">
        <f t="shared" si="4"/>
        <v>0</v>
      </c>
      <c r="M61" s="61"/>
    </row>
    <row r="62" spans="1:13">
      <c r="A62" s="77" t="s">
        <v>219</v>
      </c>
      <c r="B62" s="78"/>
      <c r="C62" s="51"/>
      <c r="D62" s="51"/>
      <c r="E62" s="53">
        <f t="shared" si="5"/>
        <v>0</v>
      </c>
      <c r="F62" s="62" t="str">
        <f t="shared" si="0"/>
        <v>IDEAL</v>
      </c>
      <c r="G62" s="67" t="e">
        <f t="shared" si="1"/>
        <v>#DIV/0!</v>
      </c>
      <c r="H62" s="79"/>
      <c r="I62" s="60">
        <v>0</v>
      </c>
      <c r="J62" s="58">
        <f t="shared" si="2"/>
        <v>0</v>
      </c>
      <c r="K62" s="59">
        <f t="shared" si="3"/>
        <v>0</v>
      </c>
      <c r="L62" s="60">
        <f t="shared" si="4"/>
        <v>0</v>
      </c>
      <c r="M62" s="61"/>
    </row>
    <row r="63" spans="1:13">
      <c r="A63" s="77" t="s">
        <v>220</v>
      </c>
      <c r="B63" s="78"/>
      <c r="C63" s="51"/>
      <c r="D63" s="51"/>
      <c r="E63" s="53">
        <f t="shared" si="5"/>
        <v>0</v>
      </c>
      <c r="F63" s="62" t="str">
        <f t="shared" si="0"/>
        <v>IDEAL</v>
      </c>
      <c r="G63" s="67" t="e">
        <f t="shared" si="1"/>
        <v>#DIV/0!</v>
      </c>
      <c r="H63" s="79"/>
      <c r="I63" s="60">
        <v>0</v>
      </c>
      <c r="J63" s="58">
        <f t="shared" si="2"/>
        <v>0</v>
      </c>
      <c r="K63" s="59">
        <f t="shared" si="3"/>
        <v>0</v>
      </c>
      <c r="L63" s="60">
        <f t="shared" si="4"/>
        <v>0</v>
      </c>
      <c r="M63" s="61"/>
    </row>
    <row r="64" spans="1:13">
      <c r="A64" s="77" t="s">
        <v>221</v>
      </c>
      <c r="B64" s="78"/>
      <c r="C64" s="51"/>
      <c r="D64" s="51"/>
      <c r="E64" s="53">
        <f t="shared" si="5"/>
        <v>0</v>
      </c>
      <c r="F64" s="62" t="str">
        <f t="shared" si="0"/>
        <v>IDEAL</v>
      </c>
      <c r="G64" s="67" t="e">
        <f t="shared" si="1"/>
        <v>#DIV/0!</v>
      </c>
      <c r="H64" s="79"/>
      <c r="I64" s="60">
        <v>0</v>
      </c>
      <c r="J64" s="58">
        <f t="shared" si="2"/>
        <v>0</v>
      </c>
      <c r="K64" s="59">
        <f t="shared" si="3"/>
        <v>0</v>
      </c>
      <c r="L64" s="60">
        <f t="shared" si="4"/>
        <v>0</v>
      </c>
      <c r="M64" s="61"/>
    </row>
    <row r="65" spans="1:13">
      <c r="A65" s="77" t="s">
        <v>222</v>
      </c>
      <c r="B65" s="78"/>
      <c r="C65" s="51"/>
      <c r="D65" s="51"/>
      <c r="E65" s="53">
        <f t="shared" si="5"/>
        <v>0</v>
      </c>
      <c r="F65" s="62" t="str">
        <f t="shared" si="0"/>
        <v>IDEAL</v>
      </c>
      <c r="G65" s="67" t="e">
        <f t="shared" si="1"/>
        <v>#DIV/0!</v>
      </c>
      <c r="H65" s="79"/>
      <c r="I65" s="60">
        <v>0</v>
      </c>
      <c r="J65" s="58">
        <f t="shared" si="2"/>
        <v>0</v>
      </c>
      <c r="K65" s="59">
        <f t="shared" si="3"/>
        <v>0</v>
      </c>
      <c r="L65" s="60">
        <f t="shared" si="4"/>
        <v>0</v>
      </c>
      <c r="M65" s="61"/>
    </row>
    <row r="66" spans="1:13">
      <c r="A66" s="77" t="s">
        <v>223</v>
      </c>
      <c r="B66" s="78"/>
      <c r="C66" s="51"/>
      <c r="D66" s="51"/>
      <c r="E66" s="53">
        <f t="shared" si="5"/>
        <v>0</v>
      </c>
      <c r="F66" s="62" t="str">
        <f t="shared" si="0"/>
        <v>IDEAL</v>
      </c>
      <c r="G66" s="67" t="e">
        <f t="shared" si="1"/>
        <v>#DIV/0!</v>
      </c>
      <c r="H66" s="79"/>
      <c r="I66" s="60">
        <v>0</v>
      </c>
      <c r="J66" s="58">
        <f t="shared" si="2"/>
        <v>0</v>
      </c>
      <c r="K66" s="59">
        <f t="shared" si="3"/>
        <v>0</v>
      </c>
      <c r="L66" s="60">
        <f t="shared" si="4"/>
        <v>0</v>
      </c>
      <c r="M66" s="61"/>
    </row>
    <row r="67" spans="1:13">
      <c r="A67" s="77" t="s">
        <v>224</v>
      </c>
      <c r="B67" s="78"/>
      <c r="C67" s="51"/>
      <c r="D67" s="51"/>
      <c r="E67" s="53">
        <f t="shared" si="5"/>
        <v>0</v>
      </c>
      <c r="F67" s="62" t="str">
        <f t="shared" si="0"/>
        <v>IDEAL</v>
      </c>
      <c r="G67" s="67" t="e">
        <f t="shared" si="1"/>
        <v>#DIV/0!</v>
      </c>
      <c r="H67" s="79"/>
      <c r="I67" s="60">
        <v>0</v>
      </c>
      <c r="J67" s="58">
        <f t="shared" si="2"/>
        <v>0</v>
      </c>
      <c r="K67" s="59">
        <f t="shared" si="3"/>
        <v>0</v>
      </c>
      <c r="L67" s="60">
        <f t="shared" si="4"/>
        <v>0</v>
      </c>
      <c r="M67" s="61"/>
    </row>
    <row r="68" spans="1:13">
      <c r="A68" s="77" t="s">
        <v>225</v>
      </c>
      <c r="B68" s="78"/>
      <c r="C68" s="51"/>
      <c r="D68" s="51"/>
      <c r="E68" s="53">
        <f t="shared" si="5"/>
        <v>0</v>
      </c>
      <c r="F68" s="62" t="str">
        <f t="shared" si="0"/>
        <v>IDEAL</v>
      </c>
      <c r="G68" s="67" t="e">
        <f t="shared" si="1"/>
        <v>#DIV/0!</v>
      </c>
      <c r="H68" s="79"/>
      <c r="I68" s="60">
        <v>0</v>
      </c>
      <c r="J68" s="58">
        <f t="shared" si="2"/>
        <v>0</v>
      </c>
      <c r="K68" s="59">
        <f t="shared" si="3"/>
        <v>0</v>
      </c>
      <c r="L68" s="60">
        <f t="shared" si="4"/>
        <v>0</v>
      </c>
      <c r="M68" s="61"/>
    </row>
    <row r="69" spans="1:13">
      <c r="A69" s="77" t="s">
        <v>226</v>
      </c>
      <c r="B69" s="78"/>
      <c r="C69" s="51"/>
      <c r="D69" s="51"/>
      <c r="E69" s="53">
        <f t="shared" si="5"/>
        <v>0</v>
      </c>
      <c r="F69" s="62" t="str">
        <f t="shared" si="0"/>
        <v>IDEAL</v>
      </c>
      <c r="G69" s="67" t="e">
        <f t="shared" si="1"/>
        <v>#DIV/0!</v>
      </c>
      <c r="H69" s="79"/>
      <c r="I69" s="60">
        <v>0</v>
      </c>
      <c r="J69" s="58">
        <f t="shared" si="2"/>
        <v>0</v>
      </c>
      <c r="K69" s="59">
        <f t="shared" si="3"/>
        <v>0</v>
      </c>
      <c r="L69" s="60">
        <f t="shared" si="4"/>
        <v>0</v>
      </c>
      <c r="M69" s="61"/>
    </row>
    <row r="70" spans="1:13">
      <c r="A70" s="77" t="s">
        <v>227</v>
      </c>
      <c r="B70" s="78"/>
      <c r="C70" s="51"/>
      <c r="D70" s="51"/>
      <c r="E70" s="53">
        <f t="shared" si="5"/>
        <v>0</v>
      </c>
      <c r="F70" s="62" t="str">
        <f t="shared" si="0"/>
        <v>IDEAL</v>
      </c>
      <c r="G70" s="67" t="e">
        <f t="shared" si="1"/>
        <v>#DIV/0!</v>
      </c>
      <c r="H70" s="79"/>
      <c r="I70" s="60">
        <v>0</v>
      </c>
      <c r="J70" s="58">
        <f t="shared" si="2"/>
        <v>0</v>
      </c>
      <c r="K70" s="59">
        <f t="shared" si="3"/>
        <v>0</v>
      </c>
      <c r="L70" s="60">
        <f t="shared" si="4"/>
        <v>0</v>
      </c>
      <c r="M70" s="61"/>
    </row>
    <row r="71" spans="1:13">
      <c r="A71" s="77" t="s">
        <v>228</v>
      </c>
      <c r="B71" s="78"/>
      <c r="C71" s="51"/>
      <c r="D71" s="51"/>
      <c r="E71" s="53">
        <f t="shared" ref="E71:E86" si="9">C71-D71</f>
        <v>0</v>
      </c>
      <c r="F71" s="62" t="str">
        <f t="shared" si="0"/>
        <v>COMPRAR</v>
      </c>
      <c r="G71" s="67">
        <f t="shared" si="1"/>
        <v>-1</v>
      </c>
      <c r="H71" s="79">
        <v>100</v>
      </c>
      <c r="I71" s="60">
        <v>0</v>
      </c>
      <c r="J71" s="58">
        <f t="shared" si="2"/>
        <v>0</v>
      </c>
      <c r="K71" s="59">
        <f t="shared" si="3"/>
        <v>0</v>
      </c>
      <c r="L71" s="60">
        <f t="shared" si="4"/>
        <v>0</v>
      </c>
      <c r="M71" s="61"/>
    </row>
    <row r="72" spans="1:13">
      <c r="A72" s="77" t="s">
        <v>229</v>
      </c>
      <c r="B72" s="78"/>
      <c r="C72" s="51"/>
      <c r="D72" s="51"/>
      <c r="E72" s="53">
        <f t="shared" si="9"/>
        <v>0</v>
      </c>
      <c r="F72" s="62" t="str">
        <f t="shared" si="0"/>
        <v>COMPRAR</v>
      </c>
      <c r="G72" s="67">
        <f t="shared" si="1"/>
        <v>-1</v>
      </c>
      <c r="H72" s="79">
        <v>100</v>
      </c>
      <c r="I72" s="60">
        <v>0</v>
      </c>
      <c r="J72" s="58">
        <f t="shared" si="2"/>
        <v>0</v>
      </c>
      <c r="K72" s="59">
        <f t="shared" si="3"/>
        <v>0</v>
      </c>
      <c r="L72" s="60">
        <f t="shared" si="4"/>
        <v>0</v>
      </c>
      <c r="M72" s="61"/>
    </row>
    <row r="73" spans="1:13">
      <c r="A73" s="77" t="s">
        <v>230</v>
      </c>
      <c r="B73" s="78"/>
      <c r="C73" s="51"/>
      <c r="D73" s="51"/>
      <c r="E73" s="53">
        <f t="shared" si="9"/>
        <v>0</v>
      </c>
      <c r="F73" s="62" t="str">
        <f t="shared" si="0"/>
        <v>COMPRAR</v>
      </c>
      <c r="G73" s="67">
        <f t="shared" si="1"/>
        <v>-1</v>
      </c>
      <c r="H73" s="79">
        <v>100</v>
      </c>
      <c r="I73" s="60">
        <v>0</v>
      </c>
      <c r="J73" s="58">
        <f t="shared" si="2"/>
        <v>0</v>
      </c>
      <c r="K73" s="59">
        <f t="shared" si="3"/>
        <v>0</v>
      </c>
      <c r="L73" s="60">
        <f t="shared" si="4"/>
        <v>0</v>
      </c>
      <c r="M73" s="61"/>
    </row>
    <row r="74" spans="1:13">
      <c r="A74" s="77" t="s">
        <v>231</v>
      </c>
      <c r="B74" s="78"/>
      <c r="C74" s="51"/>
      <c r="D74" s="51"/>
      <c r="E74" s="53">
        <f t="shared" si="9"/>
        <v>0</v>
      </c>
      <c r="F74" s="62" t="str">
        <f t="shared" si="0"/>
        <v>COMPRAR</v>
      </c>
      <c r="G74" s="67">
        <f t="shared" si="1"/>
        <v>-1</v>
      </c>
      <c r="H74" s="79">
        <v>100</v>
      </c>
      <c r="I74" s="60">
        <v>0</v>
      </c>
      <c r="J74" s="58">
        <f t="shared" si="2"/>
        <v>0</v>
      </c>
      <c r="K74" s="59">
        <f t="shared" si="3"/>
        <v>0</v>
      </c>
      <c r="L74" s="60">
        <f t="shared" si="4"/>
        <v>0</v>
      </c>
      <c r="M74" s="61"/>
    </row>
    <row r="75" spans="1:13">
      <c r="A75" s="77" t="s">
        <v>232</v>
      </c>
      <c r="B75" s="78"/>
      <c r="C75" s="51"/>
      <c r="D75" s="51"/>
      <c r="E75" s="53">
        <f t="shared" si="9"/>
        <v>0</v>
      </c>
      <c r="F75" s="62" t="str">
        <f t="shared" si="0"/>
        <v>COMPRAR</v>
      </c>
      <c r="G75" s="67">
        <f t="shared" si="1"/>
        <v>-1</v>
      </c>
      <c r="H75" s="79">
        <v>100</v>
      </c>
      <c r="I75" s="60">
        <v>0</v>
      </c>
      <c r="J75" s="58">
        <f t="shared" si="2"/>
        <v>0</v>
      </c>
      <c r="K75" s="59">
        <f t="shared" si="3"/>
        <v>0</v>
      </c>
      <c r="L75" s="60">
        <f t="shared" si="4"/>
        <v>0</v>
      </c>
      <c r="M75" s="61"/>
    </row>
    <row r="76" spans="1:13">
      <c r="A76" s="77" t="s">
        <v>233</v>
      </c>
      <c r="B76" s="78"/>
      <c r="C76" s="51"/>
      <c r="D76" s="51"/>
      <c r="E76" s="53">
        <f t="shared" si="9"/>
        <v>0</v>
      </c>
      <c r="F76" s="62" t="str">
        <f t="shared" si="0"/>
        <v>COMPRAR</v>
      </c>
      <c r="G76" s="67">
        <f t="shared" si="1"/>
        <v>-1</v>
      </c>
      <c r="H76" s="79">
        <v>100</v>
      </c>
      <c r="I76" s="60">
        <v>0</v>
      </c>
      <c r="J76" s="58">
        <f t="shared" si="2"/>
        <v>0</v>
      </c>
      <c r="K76" s="59">
        <f t="shared" si="3"/>
        <v>0</v>
      </c>
      <c r="L76" s="60">
        <f t="shared" si="4"/>
        <v>0</v>
      </c>
      <c r="M76" s="61"/>
    </row>
    <row r="77" spans="1:13">
      <c r="A77" s="77" t="s">
        <v>234</v>
      </c>
      <c r="B77" s="78"/>
      <c r="C77" s="51"/>
      <c r="D77" s="51"/>
      <c r="E77" s="53">
        <f t="shared" si="9"/>
        <v>0</v>
      </c>
      <c r="F77" s="62" t="str">
        <f t="shared" si="0"/>
        <v>COMPRAR</v>
      </c>
      <c r="G77" s="67">
        <f t="shared" si="1"/>
        <v>-1</v>
      </c>
      <c r="H77" s="79">
        <v>100</v>
      </c>
      <c r="I77" s="60">
        <v>0</v>
      </c>
      <c r="J77" s="58">
        <f t="shared" si="2"/>
        <v>0</v>
      </c>
      <c r="K77" s="59">
        <f t="shared" si="3"/>
        <v>0</v>
      </c>
      <c r="L77" s="60">
        <f t="shared" si="4"/>
        <v>0</v>
      </c>
      <c r="M77" s="61"/>
    </row>
    <row r="78" spans="1:13">
      <c r="A78" s="77" t="s">
        <v>235</v>
      </c>
      <c r="B78" s="78"/>
      <c r="C78" s="51"/>
      <c r="D78" s="51"/>
      <c r="E78" s="53">
        <f t="shared" si="9"/>
        <v>0</v>
      </c>
      <c r="F78" s="62" t="str">
        <f t="shared" si="0"/>
        <v>COMPRAR</v>
      </c>
      <c r="G78" s="67">
        <f t="shared" si="1"/>
        <v>-1</v>
      </c>
      <c r="H78" s="79">
        <v>100</v>
      </c>
      <c r="I78" s="60">
        <v>0</v>
      </c>
      <c r="J78" s="58">
        <f t="shared" si="2"/>
        <v>0</v>
      </c>
      <c r="K78" s="59">
        <f t="shared" si="3"/>
        <v>0</v>
      </c>
      <c r="L78" s="60">
        <f t="shared" si="4"/>
        <v>0</v>
      </c>
      <c r="M78" s="61"/>
    </row>
    <row r="79" spans="1:13">
      <c r="A79" s="77" t="s">
        <v>236</v>
      </c>
      <c r="B79" s="78"/>
      <c r="C79" s="51"/>
      <c r="D79" s="51"/>
      <c r="E79" s="53">
        <f t="shared" si="9"/>
        <v>0</v>
      </c>
      <c r="F79" s="62" t="str">
        <f t="shared" si="0"/>
        <v>COMPRAR</v>
      </c>
      <c r="G79" s="67">
        <f t="shared" si="1"/>
        <v>-1</v>
      </c>
      <c r="H79" s="79">
        <v>100</v>
      </c>
      <c r="I79" s="60">
        <v>0</v>
      </c>
      <c r="J79" s="58">
        <f t="shared" si="2"/>
        <v>0</v>
      </c>
      <c r="K79" s="59">
        <f t="shared" si="3"/>
        <v>0</v>
      </c>
      <c r="L79" s="60">
        <f t="shared" si="4"/>
        <v>0</v>
      </c>
      <c r="M79" s="61"/>
    </row>
    <row r="80" spans="1:13">
      <c r="A80" s="77" t="s">
        <v>237</v>
      </c>
      <c r="B80" s="78"/>
      <c r="C80" s="51"/>
      <c r="D80" s="51"/>
      <c r="E80" s="53">
        <f t="shared" si="9"/>
        <v>0</v>
      </c>
      <c r="F80" s="62" t="str">
        <f t="shared" si="0"/>
        <v>COMPRAR</v>
      </c>
      <c r="G80" s="67">
        <f t="shared" si="1"/>
        <v>-1</v>
      </c>
      <c r="H80" s="79">
        <v>100</v>
      </c>
      <c r="I80" s="60">
        <v>0</v>
      </c>
      <c r="J80" s="58">
        <f t="shared" si="2"/>
        <v>0</v>
      </c>
      <c r="K80" s="59">
        <f t="shared" si="3"/>
        <v>0</v>
      </c>
      <c r="L80" s="60">
        <f t="shared" si="4"/>
        <v>0</v>
      </c>
      <c r="M80" s="61"/>
    </row>
    <row r="81" spans="1:13">
      <c r="A81" s="77" t="s">
        <v>238</v>
      </c>
      <c r="B81" s="78"/>
      <c r="C81" s="51"/>
      <c r="D81" s="51"/>
      <c r="E81" s="53">
        <f t="shared" si="9"/>
        <v>0</v>
      </c>
      <c r="F81" s="62" t="str">
        <f t="shared" si="0"/>
        <v>COMPRAR</v>
      </c>
      <c r="G81" s="67">
        <f t="shared" si="1"/>
        <v>-1</v>
      </c>
      <c r="H81" s="79">
        <v>100</v>
      </c>
      <c r="I81" s="60">
        <v>0</v>
      </c>
      <c r="J81" s="58">
        <f t="shared" si="2"/>
        <v>0</v>
      </c>
      <c r="K81" s="59">
        <f t="shared" si="3"/>
        <v>0</v>
      </c>
      <c r="L81" s="60">
        <f t="shared" si="4"/>
        <v>0</v>
      </c>
      <c r="M81" s="61"/>
    </row>
    <row r="82" spans="1:13">
      <c r="A82" s="77" t="s">
        <v>239</v>
      </c>
      <c r="B82" s="78"/>
      <c r="C82" s="51"/>
      <c r="D82" s="51"/>
      <c r="E82" s="53">
        <f t="shared" si="9"/>
        <v>0</v>
      </c>
      <c r="F82" s="62" t="str">
        <f t="shared" si="0"/>
        <v>COMPRAR</v>
      </c>
      <c r="G82" s="67">
        <f t="shared" si="1"/>
        <v>-1</v>
      </c>
      <c r="H82" s="79">
        <v>100</v>
      </c>
      <c r="I82" s="60">
        <v>0</v>
      </c>
      <c r="J82" s="58">
        <f t="shared" si="2"/>
        <v>0</v>
      </c>
      <c r="K82" s="59">
        <f t="shared" si="3"/>
        <v>0</v>
      </c>
      <c r="L82" s="60">
        <f t="shared" si="4"/>
        <v>0</v>
      </c>
      <c r="M82" s="61"/>
    </row>
    <row r="83" spans="1:13">
      <c r="A83" s="77" t="s">
        <v>240</v>
      </c>
      <c r="B83" s="78"/>
      <c r="C83" s="51"/>
      <c r="D83" s="51"/>
      <c r="E83" s="53">
        <f t="shared" si="9"/>
        <v>0</v>
      </c>
      <c r="F83" s="62" t="str">
        <f t="shared" si="0"/>
        <v>COMPRAR</v>
      </c>
      <c r="G83" s="67">
        <f t="shared" si="1"/>
        <v>-1</v>
      </c>
      <c r="H83" s="79">
        <v>100</v>
      </c>
      <c r="I83" s="60">
        <v>0</v>
      </c>
      <c r="J83" s="58">
        <f t="shared" si="2"/>
        <v>0</v>
      </c>
      <c r="K83" s="59">
        <f t="shared" si="3"/>
        <v>0</v>
      </c>
      <c r="L83" s="60">
        <f t="shared" si="4"/>
        <v>0</v>
      </c>
      <c r="M83" s="47"/>
    </row>
    <row r="84" spans="1:13">
      <c r="A84" s="77" t="s">
        <v>241</v>
      </c>
      <c r="B84" s="78"/>
      <c r="C84" s="51"/>
      <c r="D84" s="51"/>
      <c r="E84" s="53">
        <f t="shared" si="9"/>
        <v>0</v>
      </c>
      <c r="F84" s="62" t="str">
        <f t="shared" si="0"/>
        <v>COMPRAR</v>
      </c>
      <c r="G84" s="67">
        <f t="shared" si="1"/>
        <v>-1</v>
      </c>
      <c r="H84" s="79">
        <v>100</v>
      </c>
      <c r="I84" s="60">
        <v>0</v>
      </c>
      <c r="J84" s="58">
        <f t="shared" si="2"/>
        <v>0</v>
      </c>
      <c r="K84" s="59">
        <f t="shared" si="3"/>
        <v>0</v>
      </c>
      <c r="L84" s="60">
        <f t="shared" si="4"/>
        <v>0</v>
      </c>
      <c r="M84" s="47"/>
    </row>
    <row r="85" spans="1:13">
      <c r="A85" s="77" t="s">
        <v>242</v>
      </c>
      <c r="B85" s="78"/>
      <c r="C85" s="51"/>
      <c r="D85" s="51"/>
      <c r="E85" s="53">
        <f t="shared" si="9"/>
        <v>0</v>
      </c>
      <c r="F85" s="62" t="str">
        <f t="shared" si="0"/>
        <v>COMPRAR</v>
      </c>
      <c r="G85" s="67">
        <f t="shared" si="1"/>
        <v>-1</v>
      </c>
      <c r="H85" s="79">
        <v>100</v>
      </c>
      <c r="I85" s="60">
        <v>0</v>
      </c>
      <c r="J85" s="58">
        <f t="shared" si="2"/>
        <v>0</v>
      </c>
      <c r="K85" s="59">
        <f t="shared" si="3"/>
        <v>0</v>
      </c>
      <c r="L85" s="60">
        <f t="shared" si="4"/>
        <v>0</v>
      </c>
      <c r="M85" s="47"/>
    </row>
    <row r="86" spans="1:13">
      <c r="A86" s="77" t="s">
        <v>243</v>
      </c>
      <c r="B86" s="78"/>
      <c r="C86" s="51"/>
      <c r="D86" s="51"/>
      <c r="E86" s="53">
        <f t="shared" si="9"/>
        <v>0</v>
      </c>
      <c r="F86" s="62" t="str">
        <f t="shared" si="0"/>
        <v>COMPRAR</v>
      </c>
      <c r="G86" s="67">
        <f t="shared" si="1"/>
        <v>-1</v>
      </c>
      <c r="H86" s="79">
        <v>100</v>
      </c>
      <c r="I86" s="60">
        <v>0</v>
      </c>
      <c r="J86" s="58">
        <f t="shared" si="2"/>
        <v>0</v>
      </c>
      <c r="K86" s="59">
        <f t="shared" si="3"/>
        <v>0</v>
      </c>
      <c r="L86" s="60">
        <f t="shared" si="4"/>
        <v>0</v>
      </c>
      <c r="M86" s="47"/>
    </row>
  </sheetData>
  <mergeCells count="13">
    <mergeCell ref="J4:J5"/>
    <mergeCell ref="K4:K5"/>
    <mergeCell ref="L4:L5"/>
    <mergeCell ref="A1:J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0CD3-5362-4340-8886-656F9653A33B}">
  <dimension ref="A1:J12"/>
  <sheetViews>
    <sheetView workbookViewId="0">
      <selection activeCell="H9" sqref="H9"/>
    </sheetView>
  </sheetViews>
  <sheetFormatPr defaultRowHeight="14.45"/>
  <cols>
    <col min="1" max="1" width="29.28515625" bestFit="1" customWidth="1"/>
    <col min="2" max="2" width="26" bestFit="1" customWidth="1"/>
    <col min="3" max="3" width="11.7109375" bestFit="1" customWidth="1"/>
    <col min="4" max="4" width="22" bestFit="1" customWidth="1"/>
    <col min="5" max="5" width="18" bestFit="1" customWidth="1"/>
    <col min="6" max="6" width="16.7109375" bestFit="1" customWidth="1"/>
    <col min="7" max="7" width="17.85546875" customWidth="1"/>
    <col min="8" max="8" width="16.85546875" bestFit="1" customWidth="1"/>
  </cols>
  <sheetData>
    <row r="1" spans="1:10" ht="18">
      <c r="A1" s="460" t="s">
        <v>244</v>
      </c>
      <c r="B1" s="460"/>
      <c r="C1" s="460"/>
      <c r="D1" s="460"/>
      <c r="E1" s="460"/>
      <c r="F1" s="461"/>
      <c r="G1" s="461"/>
      <c r="H1" s="461"/>
      <c r="I1" s="461"/>
      <c r="J1" s="461"/>
    </row>
    <row r="2" spans="1:10" ht="18.75">
      <c r="A2" s="462" t="s">
        <v>245</v>
      </c>
      <c r="B2" s="463"/>
      <c r="C2" s="463"/>
      <c r="D2" s="463"/>
      <c r="E2" s="463"/>
      <c r="F2" s="463"/>
      <c r="G2" s="463"/>
    </row>
    <row r="3" spans="1:10" ht="18.75">
      <c r="A3" s="81" t="s">
        <v>246</v>
      </c>
      <c r="B3" s="81" t="s">
        <v>247</v>
      </c>
      <c r="C3" s="81" t="s">
        <v>248</v>
      </c>
      <c r="D3" s="81" t="s">
        <v>249</v>
      </c>
      <c r="E3" s="82" t="s">
        <v>250</v>
      </c>
      <c r="F3" s="83" t="s">
        <v>251</v>
      </c>
      <c r="G3" s="82" t="s">
        <v>252</v>
      </c>
      <c r="H3" s="84" t="s">
        <v>253</v>
      </c>
    </row>
    <row r="4" spans="1:10" ht="15">
      <c r="A4" s="80" t="s">
        <v>254</v>
      </c>
      <c r="B4" s="80">
        <v>30</v>
      </c>
      <c r="C4" s="80">
        <v>10</v>
      </c>
      <c r="D4" s="80">
        <v>60</v>
      </c>
      <c r="E4" s="240">
        <f>F4/C4</f>
        <v>1800</v>
      </c>
      <c r="F4" s="240">
        <f>B4*C4*D4</f>
        <v>18000</v>
      </c>
      <c r="G4" s="464">
        <f>SUM(F4:F6)</f>
        <v>28200</v>
      </c>
      <c r="H4" s="85">
        <f>G4+F8</f>
        <v>58700</v>
      </c>
    </row>
    <row r="5" spans="1:10" ht="15">
      <c r="A5" s="80" t="s">
        <v>255</v>
      </c>
      <c r="B5" s="80">
        <v>5</v>
      </c>
      <c r="C5" s="80">
        <v>10</v>
      </c>
      <c r="D5" s="80">
        <v>60</v>
      </c>
      <c r="E5" s="240">
        <f t="shared" ref="E5:E6" si="0">F5/C5</f>
        <v>300</v>
      </c>
      <c r="F5" s="238">
        <f t="shared" ref="F5:F6" si="1">B5*C5*D5</f>
        <v>3000</v>
      </c>
      <c r="G5" s="465"/>
    </row>
    <row r="6" spans="1:10">
      <c r="A6" s="80" t="s">
        <v>256</v>
      </c>
      <c r="B6" s="80">
        <v>12</v>
      </c>
      <c r="C6" s="80">
        <v>10</v>
      </c>
      <c r="D6" s="80">
        <v>60</v>
      </c>
      <c r="E6" s="240">
        <f t="shared" si="0"/>
        <v>720</v>
      </c>
      <c r="F6" s="238">
        <f t="shared" si="1"/>
        <v>7200</v>
      </c>
      <c r="G6" s="465"/>
    </row>
    <row r="7" spans="1:10" ht="15.75">
      <c r="A7" s="82" t="s">
        <v>257</v>
      </c>
      <c r="B7" s="82" t="s">
        <v>258</v>
      </c>
      <c r="C7" s="82" t="s">
        <v>248</v>
      </c>
      <c r="D7" s="82" t="s">
        <v>259</v>
      </c>
      <c r="E7" s="82" t="s">
        <v>260</v>
      </c>
      <c r="F7" s="82" t="s">
        <v>252</v>
      </c>
      <c r="G7" s="466"/>
    </row>
    <row r="8" spans="1:10" ht="15">
      <c r="A8" s="80" t="s">
        <v>261</v>
      </c>
      <c r="B8" s="238">
        <v>4000</v>
      </c>
      <c r="C8" s="80">
        <v>1</v>
      </c>
      <c r="D8" s="80">
        <v>2</v>
      </c>
      <c r="E8" s="238">
        <f>B8*C8*D8</f>
        <v>8000</v>
      </c>
      <c r="F8" s="464">
        <f>SUM(E8:E11)</f>
        <v>30500</v>
      </c>
    </row>
    <row r="9" spans="1:10" ht="15">
      <c r="A9" s="86" t="s">
        <v>262</v>
      </c>
      <c r="B9" s="239">
        <v>1500</v>
      </c>
      <c r="C9" s="86">
        <v>3</v>
      </c>
      <c r="D9" s="80">
        <v>2</v>
      </c>
      <c r="E9" s="238">
        <f>B9*C9*D9</f>
        <v>9000</v>
      </c>
      <c r="F9" s="465"/>
    </row>
    <row r="10" spans="1:10" ht="15">
      <c r="A10" s="86" t="s">
        <v>263</v>
      </c>
      <c r="B10" s="239">
        <v>2000</v>
      </c>
      <c r="C10" s="86">
        <v>3</v>
      </c>
      <c r="D10" s="80">
        <v>2</v>
      </c>
      <c r="E10" s="239">
        <f>B10*C10*D10</f>
        <v>12000</v>
      </c>
      <c r="F10" s="465"/>
    </row>
    <row r="11" spans="1:10" ht="15">
      <c r="A11" s="80" t="s">
        <v>264</v>
      </c>
      <c r="B11" s="238">
        <v>1500</v>
      </c>
      <c r="C11" s="80">
        <v>1</v>
      </c>
      <c r="D11" s="80">
        <v>2</v>
      </c>
      <c r="E11" s="238">
        <f>B11</f>
        <v>1500</v>
      </c>
      <c r="F11" s="466"/>
    </row>
    <row r="12" spans="1:10" ht="15"/>
  </sheetData>
  <mergeCells count="4">
    <mergeCell ref="A1:J1"/>
    <mergeCell ref="A2:G2"/>
    <mergeCell ref="F8:F11"/>
    <mergeCell ref="G4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F214-DBCC-466C-9AB3-C540FCBE3340}">
  <dimension ref="A1:H47"/>
  <sheetViews>
    <sheetView topLeftCell="A7" workbookViewId="0">
      <selection activeCell="F7" sqref="F7"/>
    </sheetView>
  </sheetViews>
  <sheetFormatPr defaultColWidth="9.140625" defaultRowHeight="15"/>
  <cols>
    <col min="1" max="1" width="23.42578125" customWidth="1"/>
    <col min="2" max="2" width="16.42578125" bestFit="1" customWidth="1"/>
    <col min="4" max="4" width="45.5703125" bestFit="1" customWidth="1"/>
    <col min="5" max="5" width="41" bestFit="1" customWidth="1"/>
    <col min="6" max="6" width="40.28515625" bestFit="1" customWidth="1"/>
    <col min="7" max="7" width="26.85546875" bestFit="1" customWidth="1"/>
    <col min="8" max="8" width="22.7109375" bestFit="1" customWidth="1"/>
  </cols>
  <sheetData>
    <row r="1" spans="1:8" ht="27">
      <c r="B1" s="467" t="s">
        <v>265</v>
      </c>
      <c r="C1" s="467"/>
      <c r="D1" s="467"/>
      <c r="E1" s="467"/>
      <c r="F1" s="467"/>
      <c r="G1" s="467"/>
      <c r="H1" s="467"/>
    </row>
    <row r="2" spans="1:8" ht="18">
      <c r="B2" s="40" t="s">
        <v>266</v>
      </c>
      <c r="C2" s="40" t="s">
        <v>267</v>
      </c>
      <c r="D2" s="40" t="s">
        <v>268</v>
      </c>
      <c r="E2" s="40" t="s">
        <v>269</v>
      </c>
      <c r="F2" s="40" t="s">
        <v>270</v>
      </c>
      <c r="G2" s="40" t="s">
        <v>271</v>
      </c>
      <c r="H2" s="40" t="s">
        <v>272</v>
      </c>
    </row>
    <row r="3" spans="1:8">
      <c r="A3" s="36"/>
      <c r="B3" s="38" t="s">
        <v>273</v>
      </c>
      <c r="C3" s="39">
        <v>0</v>
      </c>
      <c r="D3" s="42">
        <v>0</v>
      </c>
      <c r="E3" s="42">
        <v>0</v>
      </c>
      <c r="F3" s="39">
        <f>VALORES!K3*-1</f>
        <v>-363476.95219424152</v>
      </c>
      <c r="G3" s="42">
        <v>0</v>
      </c>
      <c r="H3" s="42">
        <v>0</v>
      </c>
    </row>
    <row r="4" spans="1:8">
      <c r="A4" s="36"/>
      <c r="B4" s="38" t="s">
        <v>273</v>
      </c>
      <c r="C4" s="39">
        <v>1</v>
      </c>
      <c r="D4" s="39">
        <v>0.72</v>
      </c>
      <c r="E4" s="39">
        <f>'GERAÇÃO DE ENERGIA'!E19</f>
        <v>125049.59999999998</v>
      </c>
      <c r="F4" s="39">
        <f>F3+E4</f>
        <v>-238427.35219424154</v>
      </c>
      <c r="G4" s="39">
        <f>(((F3*2.66)/100)+F3)*-1</f>
        <v>373145.43912260834</v>
      </c>
      <c r="H4" s="39">
        <f>(((F3*1.4)/100)+F3)*-1</f>
        <v>368565.62952496088</v>
      </c>
    </row>
    <row r="5" spans="1:8">
      <c r="A5" s="36"/>
      <c r="B5" s="38" t="s">
        <v>273</v>
      </c>
      <c r="C5" s="39">
        <v>2</v>
      </c>
      <c r="D5" s="39">
        <f>D4+0.03</f>
        <v>0.75</v>
      </c>
      <c r="E5" s="39">
        <f>((($E$4*0.8)/100)-E4)*-1</f>
        <v>124049.20319999997</v>
      </c>
      <c r="F5" s="39">
        <f t="shared" ref="F5:F28" si="0">F4+E5</f>
        <v>-114378.14899424156</v>
      </c>
      <c r="G5" s="39">
        <f>(((G4*2.66)/100)+G4)</f>
        <v>383071.1078032697</v>
      </c>
      <c r="H5" s="39">
        <f>(((H4*2.66)/100)+H4)</f>
        <v>378369.47527032485</v>
      </c>
    </row>
    <row r="6" spans="1:8">
      <c r="B6" s="38" t="s">
        <v>273</v>
      </c>
      <c r="C6" s="39">
        <v>3</v>
      </c>
      <c r="D6" s="39">
        <f t="shared" ref="D6:D28" si="1">D5+0.03</f>
        <v>0.78</v>
      </c>
      <c r="E6" s="39">
        <f t="shared" ref="E6:E28" si="2">((($E$4*0.8)/100)-E5)*-1</f>
        <v>123048.80639999997</v>
      </c>
      <c r="F6" s="39">
        <f t="shared" si="0"/>
        <v>8670.6574057584075</v>
      </c>
      <c r="G6" s="39">
        <f t="shared" ref="G6:H21" si="3">(((G5*2.66)/100)+G5)</f>
        <v>393260.79927083669</v>
      </c>
      <c r="H6" s="39">
        <f t="shared" si="3"/>
        <v>388434.10331251548</v>
      </c>
    </row>
    <row r="7" spans="1:8">
      <c r="B7" s="38" t="s">
        <v>273</v>
      </c>
      <c r="C7" s="39">
        <v>4</v>
      </c>
      <c r="D7" s="39">
        <f t="shared" si="1"/>
        <v>0.81</v>
      </c>
      <c r="E7" s="39">
        <f t="shared" si="2"/>
        <v>122048.40959999997</v>
      </c>
      <c r="F7" s="39">
        <f t="shared" si="0"/>
        <v>130719.06700575838</v>
      </c>
      <c r="G7" s="39">
        <f t="shared" si="3"/>
        <v>403721.53653144097</v>
      </c>
      <c r="H7" s="39">
        <f t="shared" si="3"/>
        <v>398766.45046062837</v>
      </c>
    </row>
    <row r="8" spans="1:8">
      <c r="B8" s="37" t="s">
        <v>274</v>
      </c>
      <c r="C8" s="41">
        <v>5</v>
      </c>
      <c r="D8" s="41">
        <f t="shared" si="1"/>
        <v>0.84000000000000008</v>
      </c>
      <c r="E8" s="41">
        <f t="shared" si="2"/>
        <v>121048.01279999997</v>
      </c>
      <c r="F8" s="41">
        <f t="shared" si="0"/>
        <v>251767.07980575835</v>
      </c>
      <c r="G8" s="41">
        <f t="shared" si="3"/>
        <v>414460.52940317732</v>
      </c>
      <c r="H8" s="41">
        <f t="shared" si="3"/>
        <v>409373.6380428811</v>
      </c>
    </row>
    <row r="9" spans="1:8">
      <c r="B9" s="37" t="s">
        <v>274</v>
      </c>
      <c r="C9" s="41">
        <v>6</v>
      </c>
      <c r="D9" s="41">
        <f t="shared" si="1"/>
        <v>0.87000000000000011</v>
      </c>
      <c r="E9" s="41">
        <f t="shared" si="2"/>
        <v>120047.61599999997</v>
      </c>
      <c r="F9" s="41">
        <f t="shared" si="0"/>
        <v>371814.6958057583</v>
      </c>
      <c r="G9" s="41">
        <f t="shared" si="3"/>
        <v>425485.17948530184</v>
      </c>
      <c r="H9" s="41">
        <f t="shared" si="3"/>
        <v>420262.97681482171</v>
      </c>
    </row>
    <row r="10" spans="1:8">
      <c r="B10" s="37" t="s">
        <v>274</v>
      </c>
      <c r="C10" s="41">
        <v>7</v>
      </c>
      <c r="D10" s="41">
        <f t="shared" si="1"/>
        <v>0.90000000000000013</v>
      </c>
      <c r="E10" s="41">
        <f t="shared" si="2"/>
        <v>119047.21919999996</v>
      </c>
      <c r="F10" s="41">
        <f t="shared" si="0"/>
        <v>490861.91500575829</v>
      </c>
      <c r="G10" s="41">
        <f t="shared" si="3"/>
        <v>436803.08525961085</v>
      </c>
      <c r="H10" s="41">
        <f t="shared" si="3"/>
        <v>431441.97199809598</v>
      </c>
    </row>
    <row r="11" spans="1:8">
      <c r="B11" s="37" t="s">
        <v>274</v>
      </c>
      <c r="C11" s="41">
        <v>8</v>
      </c>
      <c r="D11" s="41">
        <f t="shared" si="1"/>
        <v>0.93000000000000016</v>
      </c>
      <c r="E11" s="41">
        <f t="shared" si="2"/>
        <v>118046.82239999996</v>
      </c>
      <c r="F11" s="41">
        <f t="shared" si="0"/>
        <v>608908.73740575823</v>
      </c>
      <c r="G11" s="41">
        <f t="shared" si="3"/>
        <v>448422.04732751648</v>
      </c>
      <c r="H11" s="41">
        <f t="shared" si="3"/>
        <v>442918.32845324534</v>
      </c>
    </row>
    <row r="12" spans="1:8">
      <c r="B12" s="37" t="s">
        <v>274</v>
      </c>
      <c r="C12" s="41">
        <v>9</v>
      </c>
      <c r="D12" s="41">
        <f t="shared" si="1"/>
        <v>0.96000000000000019</v>
      </c>
      <c r="E12" s="41">
        <f t="shared" si="2"/>
        <v>117046.42559999996</v>
      </c>
      <c r="F12" s="41">
        <f t="shared" si="0"/>
        <v>725955.16300575819</v>
      </c>
      <c r="G12" s="41">
        <f t="shared" si="3"/>
        <v>460350.07378642843</v>
      </c>
      <c r="H12" s="41">
        <f t="shared" si="3"/>
        <v>454699.95599010168</v>
      </c>
    </row>
    <row r="13" spans="1:8">
      <c r="B13" s="37" t="s">
        <v>274</v>
      </c>
      <c r="C13" s="41">
        <v>10</v>
      </c>
      <c r="D13" s="41">
        <f t="shared" si="1"/>
        <v>0.99000000000000021</v>
      </c>
      <c r="E13" s="41">
        <f t="shared" si="2"/>
        <v>116046.02879999996</v>
      </c>
      <c r="F13" s="41">
        <f t="shared" si="0"/>
        <v>842001.19180575816</v>
      </c>
      <c r="G13" s="41">
        <f t="shared" si="3"/>
        <v>472595.38574914745</v>
      </c>
      <c r="H13" s="41">
        <f t="shared" si="3"/>
        <v>466794.97481943836</v>
      </c>
    </row>
    <row r="14" spans="1:8">
      <c r="B14" s="37" t="s">
        <v>274</v>
      </c>
      <c r="C14" s="41">
        <v>11</v>
      </c>
      <c r="D14" s="41">
        <f t="shared" si="1"/>
        <v>1.0200000000000002</v>
      </c>
      <c r="E14" s="41">
        <f t="shared" si="2"/>
        <v>115045.63199999995</v>
      </c>
      <c r="F14" s="41">
        <f t="shared" si="0"/>
        <v>957046.82380575815</v>
      </c>
      <c r="G14" s="41">
        <f t="shared" si="3"/>
        <v>485166.42301007477</v>
      </c>
      <c r="H14" s="41">
        <f t="shared" si="3"/>
        <v>479211.72114963544</v>
      </c>
    </row>
    <row r="15" spans="1:8">
      <c r="B15" s="37" t="s">
        <v>274</v>
      </c>
      <c r="C15" s="41">
        <v>12</v>
      </c>
      <c r="D15" s="41">
        <f t="shared" si="1"/>
        <v>1.0500000000000003</v>
      </c>
      <c r="E15" s="41">
        <f t="shared" si="2"/>
        <v>114045.23519999995</v>
      </c>
      <c r="F15" s="41">
        <f t="shared" si="0"/>
        <v>1071092.059005758</v>
      </c>
      <c r="G15" s="41">
        <f t="shared" si="3"/>
        <v>498071.84986214276</v>
      </c>
      <c r="H15" s="41">
        <f t="shared" si="3"/>
        <v>491958.75293221575</v>
      </c>
    </row>
    <row r="16" spans="1:8">
      <c r="B16" s="37" t="s">
        <v>274</v>
      </c>
      <c r="C16" s="41">
        <v>13</v>
      </c>
      <c r="D16" s="41">
        <f t="shared" si="1"/>
        <v>1.0800000000000003</v>
      </c>
      <c r="E16" s="41">
        <f t="shared" si="2"/>
        <v>113044.83839999995</v>
      </c>
      <c r="F16" s="41">
        <f t="shared" si="0"/>
        <v>1184136.897405758</v>
      </c>
      <c r="G16" s="41">
        <f t="shared" si="3"/>
        <v>511320.56106847577</v>
      </c>
      <c r="H16" s="41">
        <f t="shared" si="3"/>
        <v>505044.8557602127</v>
      </c>
    </row>
    <row r="17" spans="2:8">
      <c r="B17" s="37" t="s">
        <v>274</v>
      </c>
      <c r="C17" s="41">
        <v>14</v>
      </c>
      <c r="D17" s="41">
        <f t="shared" si="1"/>
        <v>1.1100000000000003</v>
      </c>
      <c r="E17" s="41">
        <f t="shared" si="2"/>
        <v>112044.44159999995</v>
      </c>
      <c r="F17" s="41">
        <f t="shared" si="0"/>
        <v>1296181.3390057581</v>
      </c>
      <c r="G17" s="41">
        <f t="shared" si="3"/>
        <v>524921.68799289723</v>
      </c>
      <c r="H17" s="41">
        <f t="shared" si="3"/>
        <v>518479.04892343434</v>
      </c>
    </row>
    <row r="18" spans="2:8">
      <c r="B18" s="37" t="s">
        <v>274</v>
      </c>
      <c r="C18" s="41">
        <v>15</v>
      </c>
      <c r="D18" s="41">
        <f t="shared" si="1"/>
        <v>1.1400000000000003</v>
      </c>
      <c r="E18" s="41">
        <f t="shared" si="2"/>
        <v>111044.04479999995</v>
      </c>
      <c r="F18" s="41">
        <f t="shared" si="0"/>
        <v>1407225.3838057581</v>
      </c>
      <c r="G18" s="41">
        <f t="shared" si="3"/>
        <v>538884.60489350825</v>
      </c>
      <c r="H18" s="41">
        <f t="shared" si="3"/>
        <v>532270.59162479767</v>
      </c>
    </row>
    <row r="19" spans="2:8">
      <c r="B19" s="37" t="s">
        <v>274</v>
      </c>
      <c r="C19" s="41">
        <v>16</v>
      </c>
      <c r="D19" s="41">
        <f t="shared" si="1"/>
        <v>1.1700000000000004</v>
      </c>
      <c r="E19" s="41">
        <f t="shared" si="2"/>
        <v>110043.64799999994</v>
      </c>
      <c r="F19" s="41">
        <f t="shared" si="0"/>
        <v>1517269.0318057581</v>
      </c>
      <c r="G19" s="41">
        <f t="shared" si="3"/>
        <v>553218.93538367562</v>
      </c>
      <c r="H19" s="41">
        <f t="shared" si="3"/>
        <v>546428.98936201725</v>
      </c>
    </row>
    <row r="20" spans="2:8">
      <c r="B20" s="37" t="s">
        <v>274</v>
      </c>
      <c r="C20" s="41">
        <v>17</v>
      </c>
      <c r="D20" s="41">
        <f t="shared" si="1"/>
        <v>1.2000000000000004</v>
      </c>
      <c r="E20" s="41">
        <f t="shared" si="2"/>
        <v>109043.25119999994</v>
      </c>
      <c r="F20" s="41">
        <f t="shared" si="0"/>
        <v>1626312.2830057582</v>
      </c>
      <c r="G20" s="41">
        <f t="shared" si="3"/>
        <v>567934.55906488141</v>
      </c>
      <c r="H20" s="41">
        <f t="shared" si="3"/>
        <v>560964.00047904695</v>
      </c>
    </row>
    <row r="21" spans="2:8">
      <c r="B21" s="37" t="s">
        <v>274</v>
      </c>
      <c r="C21" s="41">
        <v>18</v>
      </c>
      <c r="D21" s="41">
        <f t="shared" si="1"/>
        <v>1.2300000000000004</v>
      </c>
      <c r="E21" s="41">
        <f t="shared" si="2"/>
        <v>108042.85439999994</v>
      </c>
      <c r="F21" s="41">
        <f t="shared" si="0"/>
        <v>1734355.137405758</v>
      </c>
      <c r="G21" s="41">
        <f t="shared" si="3"/>
        <v>583041.61833600723</v>
      </c>
      <c r="H21" s="41">
        <f t="shared" si="3"/>
        <v>575885.64289178955</v>
      </c>
    </row>
    <row r="22" spans="2:8">
      <c r="B22" s="37" t="s">
        <v>274</v>
      </c>
      <c r="C22" s="41">
        <v>19</v>
      </c>
      <c r="D22" s="41">
        <f t="shared" si="1"/>
        <v>1.2600000000000005</v>
      </c>
      <c r="E22" s="41">
        <f t="shared" si="2"/>
        <v>107042.45759999994</v>
      </c>
      <c r="F22" s="41">
        <f t="shared" si="0"/>
        <v>1841397.5950057579</v>
      </c>
      <c r="G22" s="41">
        <f t="shared" ref="G22:H28" si="4">(((G21*2.66)/100)+G21)</f>
        <v>598550.52538374497</v>
      </c>
      <c r="H22" s="41">
        <f t="shared" si="4"/>
        <v>591204.20099271112</v>
      </c>
    </row>
    <row r="23" spans="2:8">
      <c r="B23" s="37" t="s">
        <v>274</v>
      </c>
      <c r="C23" s="41">
        <v>20</v>
      </c>
      <c r="D23" s="41">
        <f t="shared" si="1"/>
        <v>1.2900000000000005</v>
      </c>
      <c r="E23" s="41">
        <f t="shared" si="2"/>
        <v>106042.06079999993</v>
      </c>
      <c r="F23" s="41">
        <f t="shared" si="0"/>
        <v>1947439.6558057577</v>
      </c>
      <c r="G23" s="41">
        <f t="shared" si="4"/>
        <v>614471.9693589526</v>
      </c>
      <c r="H23" s="41">
        <f t="shared" si="4"/>
        <v>606930.23273911723</v>
      </c>
    </row>
    <row r="24" spans="2:8">
      <c r="B24" s="37" t="s">
        <v>274</v>
      </c>
      <c r="C24" s="41">
        <v>21</v>
      </c>
      <c r="D24" s="41">
        <f t="shared" si="1"/>
        <v>1.3200000000000005</v>
      </c>
      <c r="E24" s="41">
        <f t="shared" si="2"/>
        <v>105041.66399999993</v>
      </c>
      <c r="F24" s="41">
        <f t="shared" si="0"/>
        <v>2052481.3198057576</v>
      </c>
      <c r="G24" s="41">
        <f t="shared" si="4"/>
        <v>630816.92374390073</v>
      </c>
      <c r="H24" s="41">
        <f t="shared" si="4"/>
        <v>623074.57692997775</v>
      </c>
    </row>
    <row r="25" spans="2:8">
      <c r="B25" s="37" t="s">
        <v>274</v>
      </c>
      <c r="C25" s="41">
        <v>22</v>
      </c>
      <c r="D25" s="41">
        <f t="shared" si="1"/>
        <v>1.3500000000000005</v>
      </c>
      <c r="E25" s="41">
        <f t="shared" si="2"/>
        <v>104041.26719999993</v>
      </c>
      <c r="F25" s="41">
        <f t="shared" si="0"/>
        <v>2156522.5870057577</v>
      </c>
      <c r="G25" s="41">
        <f t="shared" si="4"/>
        <v>647596.65391548851</v>
      </c>
      <c r="H25" s="41">
        <f t="shared" si="4"/>
        <v>639648.36067631515</v>
      </c>
    </row>
    <row r="26" spans="2:8">
      <c r="B26" s="37" t="s">
        <v>274</v>
      </c>
      <c r="C26" s="41">
        <v>23</v>
      </c>
      <c r="D26" s="41">
        <f t="shared" si="1"/>
        <v>1.3800000000000006</v>
      </c>
      <c r="E26" s="41">
        <f t="shared" si="2"/>
        <v>103040.87039999993</v>
      </c>
      <c r="F26" s="41">
        <f t="shared" si="0"/>
        <v>2259563.4574057576</v>
      </c>
      <c r="G26" s="41">
        <f t="shared" si="4"/>
        <v>664822.7249096405</v>
      </c>
      <c r="H26" s="41">
        <f t="shared" si="4"/>
        <v>656663.00707030518</v>
      </c>
    </row>
    <row r="27" spans="2:8">
      <c r="B27" s="37" t="s">
        <v>274</v>
      </c>
      <c r="C27" s="41">
        <v>24</v>
      </c>
      <c r="D27" s="41">
        <f t="shared" si="1"/>
        <v>1.4100000000000006</v>
      </c>
      <c r="E27" s="41">
        <f t="shared" si="2"/>
        <v>102040.47359999992</v>
      </c>
      <c r="F27" s="41">
        <f t="shared" si="0"/>
        <v>2361603.9310057578</v>
      </c>
      <c r="G27" s="41">
        <f t="shared" si="4"/>
        <v>682507.00939223694</v>
      </c>
      <c r="H27" s="41">
        <f t="shared" si="4"/>
        <v>674130.24305837532</v>
      </c>
    </row>
    <row r="28" spans="2:8">
      <c r="B28" s="37" t="s">
        <v>274</v>
      </c>
      <c r="C28" s="41">
        <v>25</v>
      </c>
      <c r="D28" s="41">
        <f t="shared" si="1"/>
        <v>1.4400000000000006</v>
      </c>
      <c r="E28" s="41">
        <f t="shared" si="2"/>
        <v>101040.07679999992</v>
      </c>
      <c r="F28" s="41">
        <f t="shared" si="0"/>
        <v>2462644.0078057577</v>
      </c>
      <c r="G28" s="41">
        <f t="shared" si="4"/>
        <v>700661.69584207039</v>
      </c>
      <c r="H28" s="41">
        <f t="shared" si="4"/>
        <v>692062.10752372805</v>
      </c>
    </row>
    <row r="37" spans="6:7">
      <c r="G37" s="44"/>
    </row>
    <row r="38" spans="6:7">
      <c r="G38" s="43"/>
    </row>
    <row r="40" spans="6:7">
      <c r="F40" s="44"/>
    </row>
    <row r="41" spans="6:7">
      <c r="G41" s="44"/>
    </row>
    <row r="42" spans="6:7">
      <c r="F42" s="44"/>
      <c r="G42" s="35"/>
    </row>
    <row r="43" spans="6:7">
      <c r="F43" s="44"/>
      <c r="G43" s="35"/>
    </row>
    <row r="44" spans="6:7">
      <c r="F44" s="44"/>
    </row>
    <row r="45" spans="6:7">
      <c r="F45" s="44"/>
    </row>
    <row r="46" spans="6:7">
      <c r="F46" s="44"/>
    </row>
    <row r="47" spans="6:7">
      <c r="F47" s="44"/>
    </row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0F05-8C91-4987-B6A7-CD252C809746}">
  <dimension ref="A1:K42"/>
  <sheetViews>
    <sheetView topLeftCell="A28" workbookViewId="0">
      <selection activeCell="H41" sqref="H41:H42"/>
    </sheetView>
  </sheetViews>
  <sheetFormatPr defaultRowHeight="14.45"/>
  <cols>
    <col min="1" max="1" width="20.42578125" bestFit="1" customWidth="1"/>
    <col min="4" max="4" width="16" customWidth="1"/>
    <col min="5" max="5" width="13.28515625" customWidth="1"/>
    <col min="6" max="6" width="19.140625" customWidth="1"/>
    <col min="7" max="7" width="15.85546875" customWidth="1"/>
    <col min="8" max="8" width="15.7109375" customWidth="1"/>
    <col min="9" max="9" width="13.5703125" customWidth="1"/>
  </cols>
  <sheetData>
    <row r="1" spans="1:11" ht="14.45" customHeight="1">
      <c r="D1" s="482" t="s">
        <v>275</v>
      </c>
      <c r="E1" s="482"/>
      <c r="F1" s="482"/>
      <c r="G1" s="482"/>
      <c r="H1" s="482"/>
      <c r="I1" s="482"/>
    </row>
    <row r="2" spans="1:11" ht="14.45" customHeight="1">
      <c r="D2" s="482"/>
      <c r="E2" s="482"/>
      <c r="F2" s="482"/>
      <c r="G2" s="482"/>
      <c r="H2" s="482"/>
      <c r="I2" s="482"/>
    </row>
    <row r="3" spans="1:11" ht="14.45" customHeight="1">
      <c r="D3" s="482"/>
      <c r="E3" s="482"/>
      <c r="F3" s="482"/>
      <c r="G3" s="482"/>
      <c r="H3" s="482"/>
      <c r="I3" s="482"/>
    </row>
    <row r="4" spans="1:11" ht="15">
      <c r="D4" s="482"/>
      <c r="E4" s="482"/>
      <c r="F4" s="482"/>
      <c r="G4" s="482"/>
      <c r="H4" s="482"/>
      <c r="I4" s="482"/>
    </row>
    <row r="5" spans="1:11" ht="39.6" customHeight="1">
      <c r="C5" s="24"/>
      <c r="D5" s="32" t="s">
        <v>276</v>
      </c>
      <c r="E5" s="32" t="s">
        <v>277</v>
      </c>
      <c r="F5" s="32" t="s">
        <v>278</v>
      </c>
      <c r="G5" s="32" t="s">
        <v>279</v>
      </c>
      <c r="H5" s="32" t="s">
        <v>280</v>
      </c>
      <c r="I5" s="241" t="s">
        <v>281</v>
      </c>
      <c r="J5" s="468" t="s">
        <v>282</v>
      </c>
      <c r="K5" s="469"/>
    </row>
    <row r="6" spans="1:11" ht="15.75" customHeight="1">
      <c r="A6" s="2" t="s">
        <v>283</v>
      </c>
      <c r="C6" s="25">
        <v>43891</v>
      </c>
      <c r="D6" s="30">
        <f>'PLANINHA CENTRAL'!K4</f>
        <v>9619.2000000000007</v>
      </c>
      <c r="E6" s="31">
        <f>D6</f>
        <v>9619.2000000000007</v>
      </c>
      <c r="F6" s="31">
        <f t="shared" ref="F6:F17" si="0">E6-D6</f>
        <v>0</v>
      </c>
      <c r="G6" s="31">
        <f>F6</f>
        <v>0</v>
      </c>
      <c r="H6" s="249">
        <f>D6*$A$36</f>
        <v>9138.24</v>
      </c>
      <c r="I6" s="242">
        <v>50</v>
      </c>
      <c r="J6" s="470">
        <f>H19-I19</f>
        <v>118147.12000000002</v>
      </c>
      <c r="K6" s="471"/>
    </row>
    <row r="7" spans="1:11" ht="15.75" customHeight="1">
      <c r="A7" s="414">
        <v>30</v>
      </c>
      <c r="C7" s="25">
        <v>43922</v>
      </c>
      <c r="D7" s="30">
        <f>'PLANINHA CENTRAL'!K5</f>
        <v>9619.2000000000007</v>
      </c>
      <c r="E7" s="378">
        <f>E6</f>
        <v>9619.2000000000007</v>
      </c>
      <c r="F7" s="31">
        <f t="shared" si="0"/>
        <v>0</v>
      </c>
      <c r="G7" s="29">
        <f>F7</f>
        <v>0</v>
      </c>
      <c r="H7" s="249">
        <f t="shared" ref="H7:H18" si="1">D7*$A$36</f>
        <v>9138.24</v>
      </c>
      <c r="I7" s="242">
        <v>50</v>
      </c>
      <c r="J7" s="472"/>
      <c r="K7" s="473"/>
    </row>
    <row r="8" spans="1:11" ht="15.75" customHeight="1">
      <c r="A8" s="415"/>
      <c r="C8" s="25">
        <v>43952</v>
      </c>
      <c r="D8" s="30">
        <f>'PLANINHA CENTRAL'!K6</f>
        <v>9619.2000000000007</v>
      </c>
      <c r="E8" s="31">
        <f t="shared" ref="E8:E18" si="2">E7</f>
        <v>9619.2000000000007</v>
      </c>
      <c r="F8" s="31">
        <v>0</v>
      </c>
      <c r="G8" s="31">
        <f t="shared" ref="G8:G18" si="3">F8</f>
        <v>0</v>
      </c>
      <c r="H8" s="249">
        <f t="shared" si="1"/>
        <v>9138.24</v>
      </c>
      <c r="I8" s="242">
        <v>50</v>
      </c>
      <c r="J8" s="472"/>
      <c r="K8" s="473"/>
    </row>
    <row r="9" spans="1:11" ht="15.75" customHeight="1">
      <c r="A9" s="416"/>
      <c r="C9" s="25">
        <v>43983</v>
      </c>
      <c r="D9" s="30">
        <f>'PLANINHA CENTRAL'!K7</f>
        <v>9619.2000000000007</v>
      </c>
      <c r="E9" s="378">
        <f t="shared" si="2"/>
        <v>9619.2000000000007</v>
      </c>
      <c r="F9" s="31">
        <f t="shared" si="0"/>
        <v>0</v>
      </c>
      <c r="G9" s="29">
        <f t="shared" si="3"/>
        <v>0</v>
      </c>
      <c r="H9" s="249">
        <f t="shared" si="1"/>
        <v>9138.24</v>
      </c>
      <c r="I9" s="242">
        <v>50</v>
      </c>
      <c r="J9" s="472"/>
      <c r="K9" s="473"/>
    </row>
    <row r="10" spans="1:11" ht="15.75" customHeight="1">
      <c r="A10" s="3" t="s">
        <v>284</v>
      </c>
      <c r="C10" s="25">
        <v>44013</v>
      </c>
      <c r="D10" s="30">
        <f>'PLANINHA CENTRAL'!K8</f>
        <v>9619.2000000000007</v>
      </c>
      <c r="E10" s="31">
        <f t="shared" si="2"/>
        <v>9619.2000000000007</v>
      </c>
      <c r="F10" s="31">
        <f t="shared" si="0"/>
        <v>0</v>
      </c>
      <c r="G10" s="31">
        <f t="shared" si="3"/>
        <v>0</v>
      </c>
      <c r="H10" s="249">
        <f t="shared" si="1"/>
        <v>9138.24</v>
      </c>
      <c r="I10" s="242">
        <v>50</v>
      </c>
      <c r="J10" s="472"/>
      <c r="K10" s="473"/>
    </row>
    <row r="11" spans="1:11" ht="15.75" customHeight="1">
      <c r="A11" s="414">
        <v>50</v>
      </c>
      <c r="C11" s="25">
        <v>44044</v>
      </c>
      <c r="D11" s="30">
        <f>'PLANINHA CENTRAL'!K9</f>
        <v>9619.2000000000007</v>
      </c>
      <c r="E11" s="378">
        <f t="shared" si="2"/>
        <v>9619.2000000000007</v>
      </c>
      <c r="F11" s="31">
        <v>0</v>
      </c>
      <c r="G11" s="29">
        <f t="shared" si="3"/>
        <v>0</v>
      </c>
      <c r="H11" s="249">
        <f t="shared" si="1"/>
        <v>9138.24</v>
      </c>
      <c r="I11" s="242">
        <v>50</v>
      </c>
      <c r="J11" s="472"/>
      <c r="K11" s="473"/>
    </row>
    <row r="12" spans="1:11" ht="15.75" customHeight="1">
      <c r="A12" s="415"/>
      <c r="C12" s="25">
        <v>44075</v>
      </c>
      <c r="D12" s="30">
        <f>'PLANINHA CENTRAL'!K10</f>
        <v>9619.2000000000007</v>
      </c>
      <c r="E12" s="31">
        <f t="shared" si="2"/>
        <v>9619.2000000000007</v>
      </c>
      <c r="F12" s="31">
        <f t="shared" si="0"/>
        <v>0</v>
      </c>
      <c r="G12" s="31">
        <f t="shared" si="3"/>
        <v>0</v>
      </c>
      <c r="H12" s="249">
        <f t="shared" si="1"/>
        <v>9138.24</v>
      </c>
      <c r="I12" s="242">
        <v>50</v>
      </c>
      <c r="J12" s="472"/>
      <c r="K12" s="473"/>
    </row>
    <row r="13" spans="1:11" ht="15.75" customHeight="1">
      <c r="A13" s="415"/>
      <c r="C13" s="25">
        <v>44105</v>
      </c>
      <c r="D13" s="30">
        <f>'PLANINHA CENTRAL'!K11</f>
        <v>9619.2000000000007</v>
      </c>
      <c r="E13" s="378">
        <f t="shared" si="2"/>
        <v>9619.2000000000007</v>
      </c>
      <c r="F13" s="31">
        <v>0</v>
      </c>
      <c r="G13" s="29">
        <f t="shared" si="3"/>
        <v>0</v>
      </c>
      <c r="H13" s="249">
        <f t="shared" si="1"/>
        <v>9138.24</v>
      </c>
      <c r="I13" s="242">
        <v>50</v>
      </c>
      <c r="J13" s="472"/>
      <c r="K13" s="473"/>
    </row>
    <row r="14" spans="1:11" ht="15.75" customHeight="1">
      <c r="A14" s="416"/>
      <c r="C14" s="25">
        <v>44136</v>
      </c>
      <c r="D14" s="30">
        <f>'PLANINHA CENTRAL'!K12</f>
        <v>9619.2000000000007</v>
      </c>
      <c r="E14" s="31">
        <f t="shared" si="2"/>
        <v>9619.2000000000007</v>
      </c>
      <c r="F14" s="31">
        <v>0</v>
      </c>
      <c r="G14" s="31">
        <f t="shared" si="3"/>
        <v>0</v>
      </c>
      <c r="H14" s="249">
        <f t="shared" si="1"/>
        <v>9138.24</v>
      </c>
      <c r="I14" s="242">
        <v>50</v>
      </c>
      <c r="J14" s="472"/>
      <c r="K14" s="473"/>
    </row>
    <row r="15" spans="1:11" ht="15.75" customHeight="1">
      <c r="A15" s="4" t="s">
        <v>285</v>
      </c>
      <c r="C15" s="25">
        <v>44166</v>
      </c>
      <c r="D15" s="30">
        <f>'PLANINHA CENTRAL'!K13</f>
        <v>9619.2000000000007</v>
      </c>
      <c r="E15" s="378">
        <f t="shared" si="2"/>
        <v>9619.2000000000007</v>
      </c>
      <c r="F15" s="31">
        <v>0</v>
      </c>
      <c r="G15" s="29">
        <f t="shared" si="3"/>
        <v>0</v>
      </c>
      <c r="H15" s="249">
        <f t="shared" si="1"/>
        <v>9138.24</v>
      </c>
      <c r="I15" s="242">
        <v>50</v>
      </c>
      <c r="J15" s="472"/>
      <c r="K15" s="473"/>
    </row>
    <row r="16" spans="1:11" ht="15.75" customHeight="1">
      <c r="A16" s="414">
        <v>100</v>
      </c>
      <c r="C16" s="25">
        <v>44197</v>
      </c>
      <c r="D16" s="30">
        <f>'PLANINHA CENTRAL'!K14</f>
        <v>9619.2000000000007</v>
      </c>
      <c r="E16" s="31">
        <f t="shared" si="2"/>
        <v>9619.2000000000007</v>
      </c>
      <c r="F16" s="31">
        <v>0</v>
      </c>
      <c r="G16" s="31">
        <f t="shared" si="3"/>
        <v>0</v>
      </c>
      <c r="H16" s="249">
        <f t="shared" si="1"/>
        <v>9138.24</v>
      </c>
      <c r="I16" s="242">
        <v>50</v>
      </c>
      <c r="J16" s="472"/>
      <c r="K16" s="473"/>
    </row>
    <row r="17" spans="1:11" ht="15.75" customHeight="1">
      <c r="A17" s="415"/>
      <c r="C17" s="25">
        <v>44228</v>
      </c>
      <c r="D17" s="30">
        <f>'PLANINHA CENTRAL'!K15</f>
        <v>9619.2000000000007</v>
      </c>
      <c r="E17" s="378">
        <f t="shared" si="2"/>
        <v>9619.2000000000007</v>
      </c>
      <c r="F17" s="31">
        <f t="shared" si="0"/>
        <v>0</v>
      </c>
      <c r="G17" s="29">
        <f t="shared" si="3"/>
        <v>0</v>
      </c>
      <c r="H17" s="249">
        <f t="shared" si="1"/>
        <v>9138.24</v>
      </c>
      <c r="I17" s="242">
        <v>50</v>
      </c>
      <c r="J17" s="472"/>
      <c r="K17" s="473"/>
    </row>
    <row r="18" spans="1:11" ht="15.75" customHeight="1">
      <c r="A18" s="415"/>
      <c r="C18" s="25">
        <v>44256</v>
      </c>
      <c r="D18" s="30">
        <f>'PLANINHA CENTRAL'!K16</f>
        <v>9619.2000000000007</v>
      </c>
      <c r="E18" s="31">
        <f t="shared" si="2"/>
        <v>9619.2000000000007</v>
      </c>
      <c r="F18" s="31">
        <v>0</v>
      </c>
      <c r="G18" s="31">
        <f t="shared" si="3"/>
        <v>0</v>
      </c>
      <c r="H18" s="249">
        <f t="shared" si="1"/>
        <v>9138.24</v>
      </c>
      <c r="I18" s="242">
        <v>50</v>
      </c>
      <c r="J18" s="472"/>
      <c r="K18" s="473"/>
    </row>
    <row r="19" spans="1:11" ht="15.6" customHeight="1">
      <c r="A19" s="416"/>
      <c r="C19" s="478" t="s">
        <v>286</v>
      </c>
      <c r="D19" s="477">
        <f t="shared" ref="D19:I19" si="4">SUM(D6:D18)</f>
        <v>125049.59999999998</v>
      </c>
      <c r="E19" s="477">
        <f t="shared" si="4"/>
        <v>125049.59999999998</v>
      </c>
      <c r="F19" s="480">
        <f t="shared" si="4"/>
        <v>0</v>
      </c>
      <c r="G19" s="480">
        <f t="shared" si="4"/>
        <v>0</v>
      </c>
      <c r="H19" s="476">
        <f>SUM(H6:H18)</f>
        <v>118797.12000000002</v>
      </c>
      <c r="I19" s="483">
        <f t="shared" si="4"/>
        <v>650</v>
      </c>
      <c r="J19" s="472"/>
      <c r="K19" s="473"/>
    </row>
    <row r="20" spans="1:11" ht="15" customHeight="1">
      <c r="C20" s="478"/>
      <c r="D20" s="479"/>
      <c r="E20" s="477"/>
      <c r="F20" s="481"/>
      <c r="G20" s="481"/>
      <c r="H20" s="476"/>
      <c r="I20" s="483"/>
      <c r="J20" s="474"/>
      <c r="K20" s="475"/>
    </row>
    <row r="21" spans="1:11" ht="15"/>
    <row r="22" spans="1:11" ht="15"/>
    <row r="23" spans="1:11" ht="15">
      <c r="D23" s="482" t="s">
        <v>275</v>
      </c>
      <c r="E23" s="482"/>
      <c r="F23" s="482"/>
      <c r="G23" s="482"/>
      <c r="H23" s="482"/>
      <c r="I23" s="482"/>
    </row>
    <row r="24" spans="1:11">
      <c r="D24" s="482"/>
      <c r="E24" s="482"/>
      <c r="F24" s="482"/>
      <c r="G24" s="482"/>
      <c r="H24" s="482"/>
      <c r="I24" s="482"/>
    </row>
    <row r="25" spans="1:11">
      <c r="D25" s="482"/>
      <c r="E25" s="482"/>
      <c r="F25" s="482"/>
      <c r="G25" s="482"/>
      <c r="H25" s="482"/>
      <c r="I25" s="482"/>
    </row>
    <row r="26" spans="1:11">
      <c r="D26" s="482"/>
      <c r="E26" s="482"/>
      <c r="F26" s="482"/>
      <c r="G26" s="482"/>
      <c r="H26" s="482"/>
      <c r="I26" s="482"/>
    </row>
    <row r="27" spans="1:11" ht="38.25">
      <c r="C27" s="24"/>
      <c r="D27" s="32" t="s">
        <v>276</v>
      </c>
      <c r="E27" s="32" t="s">
        <v>277</v>
      </c>
      <c r="F27" s="32" t="s">
        <v>278</v>
      </c>
      <c r="G27" s="32" t="s">
        <v>279</v>
      </c>
      <c r="H27" s="32" t="s">
        <v>280</v>
      </c>
      <c r="I27" s="32" t="s">
        <v>281</v>
      </c>
    </row>
    <row r="28" spans="1:11" ht="15.75">
      <c r="A28" s="244" t="s">
        <v>287</v>
      </c>
      <c r="C28" s="25">
        <v>43891</v>
      </c>
      <c r="D28" s="26">
        <f>D6-B31</f>
        <v>9619.2000000000007</v>
      </c>
      <c r="E28" s="378">
        <f>E6</f>
        <v>9619.2000000000007</v>
      </c>
      <c r="F28" s="378">
        <f t="shared" ref="F28:F40" si="5">E28-D28</f>
        <v>0</v>
      </c>
      <c r="G28" s="29">
        <f>F28</f>
        <v>0</v>
      </c>
      <c r="H28" s="33">
        <f>D28*0.9</f>
        <v>8657.2800000000007</v>
      </c>
      <c r="I28" s="33">
        <v>30</v>
      </c>
    </row>
    <row r="29" spans="1:11" ht="15.75">
      <c r="A29" s="245" t="s">
        <v>288</v>
      </c>
      <c r="C29" s="25">
        <v>43922</v>
      </c>
      <c r="D29" s="26">
        <f t="shared" ref="D29:D40" si="6">D7</f>
        <v>9619.2000000000007</v>
      </c>
      <c r="E29" s="378">
        <f>E28</f>
        <v>9619.2000000000007</v>
      </c>
      <c r="F29" s="378">
        <f t="shared" si="5"/>
        <v>0</v>
      </c>
      <c r="G29" s="29">
        <f>F29</f>
        <v>0</v>
      </c>
      <c r="H29" s="34">
        <f t="shared" ref="H29:H40" si="7">D29*0.9</f>
        <v>8657.2800000000007</v>
      </c>
      <c r="I29" s="34">
        <v>30</v>
      </c>
    </row>
    <row r="30" spans="1:11" ht="15.75">
      <c r="A30" s="243">
        <v>0.7</v>
      </c>
      <c r="C30" s="25">
        <v>43952</v>
      </c>
      <c r="D30" s="26">
        <f t="shared" si="6"/>
        <v>9619.2000000000007</v>
      </c>
      <c r="E30" s="378">
        <f t="shared" ref="E30:E40" si="8">E29</f>
        <v>9619.2000000000007</v>
      </c>
      <c r="F30" s="378">
        <f t="shared" si="5"/>
        <v>0</v>
      </c>
      <c r="G30" s="29">
        <f>(F30+SUM(G28:G29))</f>
        <v>0</v>
      </c>
      <c r="H30" s="33">
        <f t="shared" si="7"/>
        <v>8657.2800000000007</v>
      </c>
      <c r="I30" s="33">
        <v>41</v>
      </c>
    </row>
    <row r="31" spans="1:11" ht="15.75">
      <c r="A31" s="245" t="s">
        <v>289</v>
      </c>
      <c r="C31" s="25">
        <v>43983</v>
      </c>
      <c r="D31" s="26">
        <f t="shared" si="6"/>
        <v>9619.2000000000007</v>
      </c>
      <c r="E31" s="378">
        <f t="shared" si="8"/>
        <v>9619.2000000000007</v>
      </c>
      <c r="F31" s="378">
        <f t="shared" si="5"/>
        <v>0</v>
      </c>
      <c r="G31" s="29">
        <f t="shared" ref="G31:G39" si="9">F31</f>
        <v>0</v>
      </c>
      <c r="H31" s="34">
        <f t="shared" si="7"/>
        <v>8657.2800000000007</v>
      </c>
      <c r="I31" s="34">
        <v>30</v>
      </c>
    </row>
    <row r="32" spans="1:11" ht="15.75">
      <c r="A32" s="243">
        <v>0.83</v>
      </c>
      <c r="C32" s="25">
        <v>44013</v>
      </c>
      <c r="D32" s="26">
        <f t="shared" si="6"/>
        <v>9619.2000000000007</v>
      </c>
      <c r="E32" s="378">
        <f t="shared" si="8"/>
        <v>9619.2000000000007</v>
      </c>
      <c r="F32" s="378">
        <f t="shared" si="5"/>
        <v>0</v>
      </c>
      <c r="G32" s="29">
        <f t="shared" si="9"/>
        <v>0</v>
      </c>
      <c r="H32" s="33">
        <f t="shared" si="7"/>
        <v>8657.2800000000007</v>
      </c>
      <c r="I32" s="33">
        <v>30</v>
      </c>
    </row>
    <row r="33" spans="1:9" ht="15.75">
      <c r="A33" s="245" t="s">
        <v>290</v>
      </c>
      <c r="C33" s="25">
        <v>44044</v>
      </c>
      <c r="D33" s="26">
        <f t="shared" si="6"/>
        <v>9619.2000000000007</v>
      </c>
      <c r="E33" s="378">
        <f t="shared" si="8"/>
        <v>9619.2000000000007</v>
      </c>
      <c r="F33" s="378">
        <f t="shared" si="5"/>
        <v>0</v>
      </c>
      <c r="G33" s="29">
        <f>F33+SUM(G30:G32)</f>
        <v>0</v>
      </c>
      <c r="H33" s="34">
        <f t="shared" si="7"/>
        <v>8657.2800000000007</v>
      </c>
      <c r="I33" s="34">
        <v>40</v>
      </c>
    </row>
    <row r="34" spans="1:9" ht="15.75">
      <c r="A34" s="243">
        <v>0.9</v>
      </c>
      <c r="C34" s="25">
        <v>44075</v>
      </c>
      <c r="D34" s="26">
        <f t="shared" si="6"/>
        <v>9619.2000000000007</v>
      </c>
      <c r="E34" s="378">
        <f t="shared" si="8"/>
        <v>9619.2000000000007</v>
      </c>
      <c r="F34" s="378">
        <f t="shared" si="5"/>
        <v>0</v>
      </c>
      <c r="G34" s="29">
        <f t="shared" si="9"/>
        <v>0</v>
      </c>
      <c r="H34" s="33">
        <f t="shared" si="7"/>
        <v>8657.2800000000007</v>
      </c>
      <c r="I34" s="33">
        <v>30</v>
      </c>
    </row>
    <row r="35" spans="1:9" ht="15.75">
      <c r="A35" s="246" t="s">
        <v>291</v>
      </c>
      <c r="C35" s="25">
        <v>44105</v>
      </c>
      <c r="D35" s="26">
        <f t="shared" si="6"/>
        <v>9619.2000000000007</v>
      </c>
      <c r="E35" s="378">
        <f t="shared" si="8"/>
        <v>9619.2000000000007</v>
      </c>
      <c r="F35" s="378">
        <f t="shared" si="5"/>
        <v>0</v>
      </c>
      <c r="G35" s="29">
        <f>F35+SUM(G33:G34)</f>
        <v>0</v>
      </c>
      <c r="H35" s="34">
        <f t="shared" si="7"/>
        <v>8657.2800000000007</v>
      </c>
      <c r="I35" s="34">
        <v>35</v>
      </c>
    </row>
    <row r="36" spans="1:9" ht="15.75">
      <c r="A36" s="243">
        <v>0.95</v>
      </c>
      <c r="C36" s="25">
        <v>44136</v>
      </c>
      <c r="D36" s="26">
        <f t="shared" si="6"/>
        <v>9619.2000000000007</v>
      </c>
      <c r="E36" s="378">
        <f t="shared" si="8"/>
        <v>9619.2000000000007</v>
      </c>
      <c r="F36" s="378">
        <f t="shared" si="5"/>
        <v>0</v>
      </c>
      <c r="G36" s="29">
        <f>F36+G35</f>
        <v>0</v>
      </c>
      <c r="H36" s="33">
        <f t="shared" si="7"/>
        <v>8657.2800000000007</v>
      </c>
      <c r="I36" s="33">
        <v>38</v>
      </c>
    </row>
    <row r="37" spans="1:9" ht="15.6">
      <c r="C37" s="25">
        <v>44166</v>
      </c>
      <c r="D37" s="26">
        <f t="shared" si="6"/>
        <v>9619.2000000000007</v>
      </c>
      <c r="E37" s="378">
        <f t="shared" si="8"/>
        <v>9619.2000000000007</v>
      </c>
      <c r="F37" s="378">
        <f t="shared" si="5"/>
        <v>0</v>
      </c>
      <c r="G37" s="29">
        <f>F37+G36</f>
        <v>0</v>
      </c>
      <c r="H37" s="34">
        <f t="shared" si="7"/>
        <v>8657.2800000000007</v>
      </c>
      <c r="I37" s="34">
        <v>42</v>
      </c>
    </row>
    <row r="38" spans="1:9" ht="15.6">
      <c r="C38" s="25">
        <v>44197</v>
      </c>
      <c r="D38" s="26">
        <f t="shared" si="6"/>
        <v>9619.2000000000007</v>
      </c>
      <c r="E38" s="378">
        <f t="shared" si="8"/>
        <v>9619.2000000000007</v>
      </c>
      <c r="F38" s="378">
        <f t="shared" si="5"/>
        <v>0</v>
      </c>
      <c r="G38" s="29">
        <f>F38+G37</f>
        <v>0</v>
      </c>
      <c r="H38" s="33">
        <f t="shared" si="7"/>
        <v>8657.2800000000007</v>
      </c>
      <c r="I38" s="33">
        <v>45</v>
      </c>
    </row>
    <row r="39" spans="1:9" ht="15.6">
      <c r="C39" s="25">
        <v>44228</v>
      </c>
      <c r="D39" s="26">
        <f>D17</f>
        <v>9619.2000000000007</v>
      </c>
      <c r="E39" s="378">
        <f t="shared" si="8"/>
        <v>9619.2000000000007</v>
      </c>
      <c r="F39" s="378">
        <f t="shared" si="5"/>
        <v>0</v>
      </c>
      <c r="G39" s="29">
        <f t="shared" si="9"/>
        <v>0</v>
      </c>
      <c r="H39" s="34">
        <f t="shared" si="7"/>
        <v>8657.2800000000007</v>
      </c>
      <c r="I39" s="34">
        <v>36</v>
      </c>
    </row>
    <row r="40" spans="1:9" ht="15.6">
      <c r="C40" s="25">
        <v>44256</v>
      </c>
      <c r="D40" s="26">
        <f t="shared" si="6"/>
        <v>9619.2000000000007</v>
      </c>
      <c r="E40" s="378">
        <f t="shared" si="8"/>
        <v>9619.2000000000007</v>
      </c>
      <c r="F40" s="378">
        <f t="shared" si="5"/>
        <v>0</v>
      </c>
      <c r="G40" s="29">
        <f>F40+G39+G38</f>
        <v>0</v>
      </c>
      <c r="H40" s="33">
        <f t="shared" si="7"/>
        <v>8657.2800000000007</v>
      </c>
      <c r="I40" s="33">
        <v>30</v>
      </c>
    </row>
    <row r="41" spans="1:9" ht="15" customHeight="1">
      <c r="C41" s="478" t="s">
        <v>286</v>
      </c>
      <c r="D41" s="477">
        <f>SUM(D28:D40)</f>
        <v>125049.59999999998</v>
      </c>
      <c r="E41" s="477">
        <f>SUM(E28:E40)</f>
        <v>125049.59999999998</v>
      </c>
      <c r="F41" s="480">
        <f>SUM(F30,F33,F35,F36,F37,F38,F40)</f>
        <v>0</v>
      </c>
      <c r="G41" s="480">
        <f>SUM(G28:G40)</f>
        <v>0</v>
      </c>
      <c r="H41" s="476">
        <f>SUM(H28:H40)</f>
        <v>112544.64</v>
      </c>
      <c r="I41" s="477">
        <f>SUM(I28:I40)</f>
        <v>457</v>
      </c>
    </row>
    <row r="42" spans="1:9" ht="15" customHeight="1">
      <c r="C42" s="478"/>
      <c r="D42" s="479"/>
      <c r="E42" s="479"/>
      <c r="F42" s="481"/>
      <c r="G42" s="481"/>
      <c r="H42" s="476"/>
      <c r="I42" s="477"/>
    </row>
  </sheetData>
  <mergeCells count="21">
    <mergeCell ref="A7:A9"/>
    <mergeCell ref="A11:A14"/>
    <mergeCell ref="A16:A19"/>
    <mergeCell ref="D1:I4"/>
    <mergeCell ref="D23:I26"/>
    <mergeCell ref="F19:F20"/>
    <mergeCell ref="C19:C20"/>
    <mergeCell ref="E19:E20"/>
    <mergeCell ref="D19:D20"/>
    <mergeCell ref="G19:G20"/>
    <mergeCell ref="I19:I20"/>
    <mergeCell ref="C41:C42"/>
    <mergeCell ref="D41:D42"/>
    <mergeCell ref="E41:E42"/>
    <mergeCell ref="F41:F42"/>
    <mergeCell ref="G41:G42"/>
    <mergeCell ref="J5:K5"/>
    <mergeCell ref="J6:K20"/>
    <mergeCell ref="H41:H42"/>
    <mergeCell ref="I41:I42"/>
    <mergeCell ref="H19:H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</dc:creator>
  <cp:keywords/>
  <dc:description/>
  <cp:lastModifiedBy>thiago cruz esteves</cp:lastModifiedBy>
  <cp:revision/>
  <dcterms:created xsi:type="dcterms:W3CDTF">2021-06-15T10:26:05Z</dcterms:created>
  <dcterms:modified xsi:type="dcterms:W3CDTF">2021-09-27T19:27:30Z</dcterms:modified>
  <cp:category/>
  <cp:contentStatus/>
</cp:coreProperties>
</file>