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FET\6º período\Lab Fenômenos de Transporte\Trabalho 02\"/>
    </mc:Choice>
  </mc:AlternateContent>
  <xr:revisionPtr revIDLastSave="774" documentId="13_ncr:1_{EE529146-D272-4916-A690-F896BDA35823}" xr6:coauthVersionLast="47" xr6:coauthVersionMax="47" xr10:uidLastSave="{3C86F20E-7A62-4924-A483-F4950849C03A}"/>
  <bookViews>
    <workbookView xWindow="-120" yWindow="-120" windowWidth="20730" windowHeight="11160" activeTab="1" xr2:uid="{13AB6F45-8295-442E-96B9-503EA0F9AD2F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29" i="2"/>
  <c r="C29" i="1"/>
  <c r="C30" i="1"/>
  <c r="C27" i="1"/>
  <c r="C41" i="1"/>
  <c r="C43" i="1"/>
  <c r="C43" i="2"/>
  <c r="C34" i="1"/>
  <c r="C37" i="1" s="1"/>
  <c r="L9" i="1"/>
  <c r="L9" i="2"/>
  <c r="I9" i="2"/>
  <c r="K9" i="2"/>
  <c r="J3" i="2"/>
  <c r="L3" i="2"/>
  <c r="J4" i="2"/>
  <c r="L4" i="2"/>
  <c r="J5" i="2"/>
  <c r="L5" i="2"/>
  <c r="J6" i="2"/>
  <c r="L6" i="2"/>
  <c r="J7" i="2"/>
  <c r="L7" i="2"/>
  <c r="L7" i="1"/>
  <c r="J7" i="1"/>
  <c r="E20" i="2"/>
  <c r="E20" i="1"/>
  <c r="C20" i="2"/>
  <c r="C20" i="1"/>
  <c r="E18" i="1"/>
  <c r="E18" i="2"/>
  <c r="C18" i="1"/>
  <c r="C18" i="2"/>
  <c r="E16" i="2"/>
  <c r="E17" i="2"/>
  <c r="E17" i="1"/>
  <c r="C17" i="2"/>
  <c r="C17" i="1"/>
  <c r="C16" i="1"/>
  <c r="E16" i="1"/>
  <c r="C16" i="2"/>
  <c r="C26" i="2"/>
  <c r="C28" i="2"/>
  <c r="C33" i="2"/>
  <c r="C36" i="2"/>
  <c r="C28" i="1"/>
  <c r="C26" i="1"/>
  <c r="L4" i="1"/>
  <c r="L5" i="1"/>
  <c r="L6" i="1"/>
  <c r="L3" i="1"/>
  <c r="J4" i="1"/>
  <c r="J5" i="1"/>
  <c r="J6" i="1"/>
  <c r="J3" i="1"/>
  <c r="J9" i="1" s="1"/>
  <c r="K9" i="1"/>
  <c r="I9" i="1"/>
  <c r="E21" i="2" l="1"/>
  <c r="E22" i="2" s="1"/>
  <c r="J9" i="2"/>
  <c r="C21" i="2" s="1"/>
  <c r="C22" i="2" s="1"/>
  <c r="E23" i="2"/>
  <c r="C27" i="2" s="1"/>
  <c r="C33" i="1"/>
  <c r="C36" i="1"/>
  <c r="C21" i="1"/>
  <c r="E21" i="1"/>
  <c r="C34" i="2" l="1"/>
  <c r="C37" i="2" s="1"/>
  <c r="C22" i="1"/>
  <c r="E22" i="1"/>
  <c r="E23" i="1" l="1"/>
</calcChain>
</file>

<file path=xl/sharedStrings.xml><?xml version="1.0" encoding="utf-8"?>
<sst xmlns="http://schemas.openxmlformats.org/spreadsheetml/2006/main" count="264" uniqueCount="114">
  <si>
    <t>Tabela 1: Dados Iniciais</t>
  </si>
  <si>
    <t>Valores</t>
  </si>
  <si>
    <r>
      <rPr>
        <b/>
        <sz val="11"/>
        <color theme="1"/>
        <rFont val="Calibri"/>
        <family val="2"/>
        <scheme val="minor"/>
      </rPr>
      <t>Tabela 6: Perda de Carga dos acessórios:</t>
    </r>
    <r>
      <rPr>
        <sz val="11"/>
        <color theme="1"/>
        <rFont val="Calibri"/>
        <family val="2"/>
        <scheme val="minor"/>
      </rPr>
      <t xml:space="preserve"> (Apostila Tab 8.3)</t>
    </r>
  </si>
  <si>
    <t>Vazão</t>
  </si>
  <si>
    <t>Q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</si>
  <si>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</si>
  <si>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 xml:space="preserve">Item </t>
  </si>
  <si>
    <t>Elemento(acessórios)</t>
  </si>
  <si>
    <t xml:space="preserve">Coeficiente K </t>
  </si>
  <si>
    <t>Quantidade Aspiração</t>
  </si>
  <si>
    <t>Total Aspiração (∑K0)</t>
  </si>
  <si>
    <t xml:space="preserve">Quantidade Recalque </t>
  </si>
  <si>
    <t>Total Recalque (∑Kf)</t>
  </si>
  <si>
    <t>Altura estática de aspiração</t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</si>
  <si>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</si>
  <si>
    <t>m</t>
  </si>
  <si>
    <t xml:space="preserve">Curva 90° raio longo </t>
  </si>
  <si>
    <t>Altura estática de recalque</t>
  </si>
  <si>
    <r>
      <t>h</t>
    </r>
    <r>
      <rPr>
        <vertAlign val="subscript"/>
        <sz val="11"/>
        <color theme="1"/>
        <rFont val="Calibri"/>
        <family val="2"/>
        <scheme val="minor"/>
      </rPr>
      <t>r</t>
    </r>
  </si>
  <si>
    <t>Registro tipo Gaveta</t>
  </si>
  <si>
    <t>Comprimento da tubulação de aspiração</t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</si>
  <si>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</si>
  <si>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t>Válvula Pé com Crivo</t>
  </si>
  <si>
    <t>Comprimento da tubulação de recalque</t>
  </si>
  <si>
    <r>
      <t>L</t>
    </r>
    <r>
      <rPr>
        <vertAlign val="subscript"/>
        <sz val="11"/>
        <color theme="1"/>
        <rFont val="Calibri"/>
        <family val="2"/>
        <scheme val="minor"/>
      </rPr>
      <t>r</t>
    </r>
  </si>
  <si>
    <t>Válvula de Retenção</t>
  </si>
  <si>
    <t>Material da tubulação</t>
  </si>
  <si>
    <t>Tabela 8.1</t>
  </si>
  <si>
    <t>Saída de Canalização</t>
  </si>
  <si>
    <t>Rugosidade</t>
  </si>
  <si>
    <t>ε</t>
  </si>
  <si>
    <t>mm</t>
  </si>
  <si>
    <t>Fluido</t>
  </si>
  <si>
    <t>Tabelas ou Eqs.</t>
  </si>
  <si>
    <t>Total</t>
  </si>
  <si>
    <t>Temperatura</t>
  </si>
  <si>
    <t>T</t>
  </si>
  <si>
    <t>°C</t>
  </si>
  <si>
    <t>Massa específica</t>
  </si>
  <si>
    <t>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</si>
  <si>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</si>
  <si>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Viscosidade cinemática (</t>
    </r>
    <r>
      <rPr>
        <sz val="11"/>
        <color theme="1"/>
        <rFont val="Calibri"/>
        <family val="2"/>
      </rPr>
      <t>µ/ρ</t>
    </r>
    <r>
      <rPr>
        <sz val="11"/>
        <color theme="1"/>
        <rFont val="Calibri"/>
        <family val="2"/>
        <scheme val="minor"/>
      </rPr>
      <t>)</t>
    </r>
  </si>
  <si>
    <t>ν</t>
  </si>
  <si>
    <t>m2/s</t>
  </si>
  <si>
    <t>Tabela 2 : Perda de Carga</t>
  </si>
  <si>
    <t>Aspiração</t>
  </si>
  <si>
    <t>Recalque</t>
  </si>
  <si>
    <t>Diâmetro da tubulação -  (Cal: Calculada e Com: Comercial</t>
  </si>
  <si>
    <r>
      <t>D</t>
    </r>
    <r>
      <rPr>
        <vertAlign val="subscript"/>
        <sz val="11"/>
        <color theme="1"/>
        <rFont val="Calibri"/>
        <family val="2"/>
        <scheme val="minor"/>
      </rPr>
      <t>a</t>
    </r>
  </si>
  <si>
    <t>Dcal: 631,77
Dcom: 660,4(26'')</t>
  </si>
  <si>
    <r>
      <t>D</t>
    </r>
    <r>
      <rPr>
        <vertAlign val="subscript"/>
        <sz val="11"/>
        <color theme="1"/>
        <rFont val="Calibri"/>
        <family val="2"/>
        <scheme val="minor"/>
      </rPr>
      <t>r</t>
    </r>
  </si>
  <si>
    <t>Dcal: 631,77
Dcom: 609,6(24'')</t>
  </si>
  <si>
    <t>Velocidade da tubulação</t>
  </si>
  <si>
    <r>
      <t>V</t>
    </r>
    <r>
      <rPr>
        <vertAlign val="subscript"/>
        <sz val="11"/>
        <color theme="1"/>
        <rFont val="Calibri"/>
        <family val="2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</si>
  <si>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r</t>
    </r>
  </si>
  <si>
    <t>m/s</t>
  </si>
  <si>
    <t>N° de Reynolds da tubulação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</si>
  <si>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</si>
  <si>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r</t>
    </r>
  </si>
  <si>
    <t>-</t>
  </si>
  <si>
    <t>Rugosidade relativa</t>
  </si>
  <si>
    <r>
      <t>ε/D</t>
    </r>
    <r>
      <rPr>
        <vertAlign val="subscript"/>
        <sz val="11"/>
        <color theme="1"/>
        <rFont val="Calibri"/>
        <family val="2"/>
      </rPr>
      <t>a</t>
    </r>
  </si>
  <si>
    <r>
      <t>ε/D</t>
    </r>
    <r>
      <rPr>
        <vertAlign val="subscript"/>
        <sz val="11"/>
        <color theme="1"/>
        <rFont val="Calibri"/>
        <family val="2"/>
      </rPr>
      <t>r</t>
    </r>
  </si>
  <si>
    <t>Fator de atrito - Eq. Explícita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</si>
  <si>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</si>
  <si>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</si>
  <si>
    <t>Perda de carga da tubulação</t>
  </si>
  <si>
    <r>
      <t>h</t>
    </r>
    <r>
      <rPr>
        <vertAlign val="subscript"/>
        <sz val="11"/>
        <color theme="1"/>
        <rFont val="Calibri"/>
        <family val="2"/>
        <scheme val="minor"/>
      </rPr>
      <t>LDa</t>
    </r>
  </si>
  <si>
    <r>
      <t>h</t>
    </r>
    <r>
      <rPr>
        <vertAlign val="subscript"/>
        <sz val="11"/>
        <color theme="1"/>
        <rFont val="Calibri"/>
        <family val="2"/>
        <scheme val="minor"/>
      </rPr>
      <t>LDr</t>
    </r>
  </si>
  <si>
    <t>Perda de carga dos acessórios</t>
  </si>
  <si>
    <r>
      <t>h</t>
    </r>
    <r>
      <rPr>
        <vertAlign val="subscript"/>
        <sz val="11"/>
        <color theme="1"/>
        <rFont val="Calibri"/>
        <family val="2"/>
        <scheme val="minor"/>
      </rPr>
      <t>Lka</t>
    </r>
  </si>
  <si>
    <r>
      <t>h</t>
    </r>
    <r>
      <rPr>
        <vertAlign val="subscript"/>
        <sz val="11"/>
        <color theme="1"/>
        <rFont val="Calibri"/>
        <family val="2"/>
        <scheme val="minor"/>
      </rPr>
      <t>Lkr</t>
    </r>
  </si>
  <si>
    <t>Perda de carga (Tubulação + Acessórios)</t>
  </si>
  <si>
    <r>
      <t>h</t>
    </r>
    <r>
      <rPr>
        <vertAlign val="subscript"/>
        <sz val="11"/>
        <color theme="1"/>
        <rFont val="Calibri"/>
        <family val="2"/>
        <scheme val="minor"/>
      </rPr>
      <t>La</t>
    </r>
  </si>
  <si>
    <r>
      <t>h</t>
    </r>
    <r>
      <rPr>
        <vertAlign val="subscript"/>
        <sz val="11"/>
        <color theme="1"/>
        <rFont val="Calibri"/>
        <family val="2"/>
        <scheme val="minor"/>
      </rPr>
      <t>Lr</t>
    </r>
  </si>
  <si>
    <t>Perda de carga total(Aspiração + Recalque)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</si>
  <si>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L</t>
    </r>
  </si>
  <si>
    <t>Tabela 3: Potência de acionamento</t>
  </si>
  <si>
    <t>Altura total de elevação</t>
  </si>
  <si>
    <r>
      <t>h</t>
    </r>
    <r>
      <rPr>
        <vertAlign val="subscript"/>
        <sz val="11"/>
        <color theme="1"/>
        <rFont val="Calibri"/>
        <family val="2"/>
      </rPr>
      <t>e</t>
    </r>
  </si>
  <si>
    <t>Altura manométrica</t>
  </si>
  <si>
    <r>
      <t>H</t>
    </r>
    <r>
      <rPr>
        <vertAlign val="subscript"/>
        <sz val="11"/>
        <color theme="1"/>
        <rFont val="Calibri"/>
        <family val="2"/>
      </rPr>
      <t>man</t>
    </r>
  </si>
  <si>
    <t>Rendimento global estimado</t>
  </si>
  <si>
    <r>
      <t>η</t>
    </r>
    <r>
      <rPr>
        <vertAlign val="subscript"/>
        <sz val="11"/>
        <color theme="1"/>
        <rFont val="Calibri"/>
        <family val="2"/>
      </rPr>
      <t>G</t>
    </r>
  </si>
  <si>
    <t>%</t>
  </si>
  <si>
    <t>Potência de acionamento</t>
  </si>
  <si>
    <t xml:space="preserve">W </t>
  </si>
  <si>
    <t>W</t>
  </si>
  <si>
    <t>Modelo Bomba</t>
  </si>
  <si>
    <t>Megaline 032-032-160</t>
  </si>
  <si>
    <t>Tabela 4: Curva Característica do Sistema</t>
  </si>
  <si>
    <r>
      <t>h</t>
    </r>
    <r>
      <rPr>
        <vertAlign val="subscript"/>
        <sz val="11"/>
        <color theme="1"/>
        <rFont val="Calibri"/>
        <family val="2"/>
        <scheme val="minor"/>
      </rPr>
      <t>e</t>
    </r>
  </si>
  <si>
    <t>Altura monométrica</t>
  </si>
  <si>
    <r>
      <t>H</t>
    </r>
    <r>
      <rPr>
        <vertAlign val="subscript"/>
        <sz val="11"/>
        <color theme="1"/>
        <rFont val="Calibri"/>
        <family val="2"/>
        <scheme val="minor"/>
      </rPr>
      <t>man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</si>
  <si>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</si>
  <si>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Constante k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h</t>
    </r>
    <r>
      <rPr>
        <vertAlign val="subscript"/>
        <sz val="11"/>
        <color theme="1"/>
        <rFont val="Calibri"/>
        <family val="2"/>
        <scheme val="minor"/>
      </rPr>
      <t>e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</si>
  <si>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</si>
  <si>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Constante k2= (Hman - k1)/Q^2</t>
  </si>
  <si>
    <t>k2</t>
  </si>
  <si>
    <t>Equação da Altura Manométrica</t>
  </si>
  <si>
    <t>Hman = 48,6 + 0,001740762Q^2</t>
  </si>
  <si>
    <t>Tabela 5: Verificação de Cavitação (OK se NPSH Disp &gt; NPSH Req)</t>
  </si>
  <si>
    <t>NPSH disponível pelo sistema</t>
  </si>
  <si>
    <r>
      <t>NPSH</t>
    </r>
    <r>
      <rPr>
        <vertAlign val="subscript"/>
        <sz val="11"/>
        <color theme="1"/>
        <rFont val="Calibri"/>
        <family val="2"/>
        <scheme val="minor"/>
      </rPr>
      <t>Disp</t>
    </r>
  </si>
  <si>
    <t>NPSH requerido pela bomba</t>
  </si>
  <si>
    <r>
      <t>NPSH</t>
    </r>
    <r>
      <rPr>
        <vertAlign val="subscript"/>
        <sz val="11"/>
        <color theme="1"/>
        <rFont val="Calibri"/>
        <family val="2"/>
        <scheme val="minor"/>
      </rPr>
      <t>Req</t>
    </r>
  </si>
  <si>
    <t>Altura de aspiração limite para não ocorrer cavitação.</t>
  </si>
  <si>
    <r>
      <t>ha</t>
    </r>
    <r>
      <rPr>
        <vertAlign val="subscript"/>
        <sz val="11"/>
        <color theme="1"/>
        <rFont val="Calibri"/>
        <family val="2"/>
        <scheme val="minor"/>
      </rPr>
      <t>Lim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</si>
  <si>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</si>
  <si>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Diâmetro da tubulação (Cal: Calculada e Com: Comercial</t>
  </si>
  <si>
    <t>Dcal: 478,6
Dcom: 508 (20")</t>
  </si>
  <si>
    <t>Dcal: 478,6
Dcom: 457,2 (18")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</si>
  <si>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</si>
  <si>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Hman = 48,6 + 0,005708964Q^2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</si>
</sst>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8" formatCode="0.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444444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3" borderId="1" xfId="0" applyFill="1" applyBorder="1"/>
    <xf numFmtId="0" fontId="0" fillId="4" borderId="0" xfId="0" applyFill="1"/>
    <xf numFmtId="0" fontId="8" fillId="0" borderId="5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4" borderId="0" xfId="0" applyFont="1" applyFill="1"/>
    <xf numFmtId="0" fontId="8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  <xf numFmtId="11" fontId="8" fillId="0" borderId="5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2" xfId="0" applyFont="1" applyFill="1" applyBorder="1"/>
    <xf numFmtId="164" fontId="1" fillId="3" borderId="4" xfId="0" applyNumberFormat="1" applyFont="1" applyFill="1" applyBorder="1" applyAlignment="1">
      <alignment horizontal="center"/>
    </xf>
    <xf numFmtId="0" fontId="0" fillId="0" borderId="7" xfId="0" applyBorder="1"/>
    <xf numFmtId="164" fontId="0" fillId="0" borderId="7" xfId="0" applyNumberForma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1" fontId="11" fillId="0" borderId="5" xfId="0" applyNumberFormat="1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7" borderId="0" xfId="0" applyFill="1"/>
    <xf numFmtId="0" fontId="15" fillId="7" borderId="0" xfId="0" applyFont="1" applyFill="1"/>
    <xf numFmtId="0" fontId="0" fillId="0" borderId="5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168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8</xdr:row>
      <xdr:rowOff>185737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CC52C49-BB99-4E55-8275-9BE8F1058DA3}"/>
            </a:ext>
          </a:extLst>
        </xdr:cNvPr>
        <xdr:cNvSpPr txBox="1"/>
      </xdr:nvSpPr>
      <xdr:spPr>
        <a:xfrm>
          <a:off x="6181725" y="1890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8</xdr:row>
      <xdr:rowOff>185737</xdr:rowOff>
    </xdr:from>
    <xdr:ext cx="65" cy="172227"/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4CDA6DF8-C30E-470D-BFC8-E8BC805A8424}"/>
            </a:ext>
          </a:extLst>
        </xdr:cNvPr>
        <xdr:cNvSpPr txBox="1"/>
      </xdr:nvSpPr>
      <xdr:spPr>
        <a:xfrm>
          <a:off x="7239000" y="200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5</xdr:col>
      <xdr:colOff>285750</xdr:colOff>
      <xdr:row>8</xdr:row>
      <xdr:rowOff>185737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38E5216-ED8F-4ACE-AEE3-709974BCB6D1}"/>
            </a:ext>
            <a:ext uri="{147F2762-F138-4A5C-976F-8EAC2B608ADB}">
              <a16:predDERef xmlns:a16="http://schemas.microsoft.com/office/drawing/2014/main" pred="{4CDA6DF8-C30E-470D-BFC8-E8BC805A8424}"/>
            </a:ext>
          </a:extLst>
        </xdr:cNvPr>
        <xdr:cNvSpPr txBox="1"/>
      </xdr:nvSpPr>
      <xdr:spPr>
        <a:xfrm>
          <a:off x="7334250" y="200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57A4-5968-4BCB-B9FA-9CA1C21D7BFB}">
  <dimension ref="A1:M43"/>
  <sheetViews>
    <sheetView topLeftCell="A37" workbookViewId="0">
      <selection activeCell="E35" sqref="E35"/>
    </sheetView>
  </sheetViews>
  <sheetFormatPr defaultRowHeight="15"/>
  <cols>
    <col min="1" max="1" width="53.28515625" style="19" bestFit="1" customWidth="1"/>
    <col min="2" max="2" width="9.140625" style="19"/>
    <col min="3" max="3" width="16" style="19" customWidth="1"/>
    <col min="4" max="4" width="9.140625" style="19" customWidth="1"/>
    <col min="5" max="5" width="18.140625" style="19" customWidth="1"/>
    <col min="6" max="6" width="14.85546875" style="19" customWidth="1"/>
    <col min="7" max="7" width="22.140625" style="19" bestFit="1" customWidth="1"/>
    <col min="8" max="8" width="18.42578125" style="19" bestFit="1" customWidth="1"/>
    <col min="9" max="9" width="14.85546875" style="19" customWidth="1"/>
    <col min="10" max="10" width="14.5703125" style="19" customWidth="1"/>
    <col min="11" max="11" width="11.42578125" style="19" customWidth="1"/>
    <col min="12" max="12" width="13.28515625" style="19" customWidth="1"/>
    <col min="13" max="16384" width="9.140625" style="19"/>
  </cols>
  <sheetData>
    <row r="1" spans="1:13">
      <c r="A1" s="1" t="s">
        <v>0</v>
      </c>
      <c r="B1" s="2"/>
      <c r="C1" s="3" t="s">
        <v>1</v>
      </c>
      <c r="D1" s="4"/>
      <c r="F1" t="s">
        <v>2</v>
      </c>
      <c r="G1"/>
      <c r="H1"/>
    </row>
    <row r="2" spans="1:13" ht="38.25" customHeight="1">
      <c r="A2" s="11" t="s">
        <v>3</v>
      </c>
      <c r="B2" s="8" t="s">
        <v>4</v>
      </c>
      <c r="C2" s="23">
        <v>0.33400000000000002</v>
      </c>
      <c r="D2" s="8" t="s">
        <v>5</v>
      </c>
      <c r="F2" s="9" t="s">
        <v>6</v>
      </c>
      <c r="G2" s="9" t="s">
        <v>7</v>
      </c>
      <c r="H2" s="9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3">
      <c r="A3" s="11" t="s">
        <v>13</v>
      </c>
      <c r="B3" s="8" t="s">
        <v>14</v>
      </c>
      <c r="C3" s="20">
        <v>2.4</v>
      </c>
      <c r="D3" s="8" t="s">
        <v>15</v>
      </c>
      <c r="F3" s="8">
        <v>1</v>
      </c>
      <c r="G3" s="29" t="s">
        <v>16</v>
      </c>
      <c r="H3" s="8">
        <v>0.4</v>
      </c>
      <c r="I3" s="28">
        <v>1</v>
      </c>
      <c r="J3" s="7">
        <f>H3*I3</f>
        <v>0.4</v>
      </c>
      <c r="K3" s="7">
        <v>6</v>
      </c>
      <c r="L3" s="7">
        <f>H3*K3</f>
        <v>2.4000000000000004</v>
      </c>
    </row>
    <row r="4" spans="1:13">
      <c r="A4" s="11" t="s">
        <v>17</v>
      </c>
      <c r="B4" s="8" t="s">
        <v>18</v>
      </c>
      <c r="C4" s="20">
        <v>46.2</v>
      </c>
      <c r="D4" s="8" t="s">
        <v>15</v>
      </c>
      <c r="F4" s="8">
        <v>2</v>
      </c>
      <c r="G4" s="29" t="s">
        <v>19</v>
      </c>
      <c r="H4" s="8">
        <v>0.2</v>
      </c>
      <c r="I4" s="28">
        <v>1</v>
      </c>
      <c r="J4" s="7">
        <f>H4*I4</f>
        <v>0.2</v>
      </c>
      <c r="K4" s="7">
        <v>1</v>
      </c>
      <c r="L4" s="7">
        <f>H4*K4</f>
        <v>0.2</v>
      </c>
    </row>
    <row r="5" spans="1:13">
      <c r="A5" s="11" t="s">
        <v>20</v>
      </c>
      <c r="B5" s="8" t="s">
        <v>21</v>
      </c>
      <c r="C5" s="20">
        <v>4.2</v>
      </c>
      <c r="D5" s="8" t="s">
        <v>15</v>
      </c>
      <c r="F5" s="8">
        <v>3</v>
      </c>
      <c r="G5" s="29" t="s">
        <v>22</v>
      </c>
      <c r="H5" s="8">
        <v>1.75</v>
      </c>
      <c r="I5" s="28">
        <v>1</v>
      </c>
      <c r="J5" s="7">
        <f>H5*I5</f>
        <v>1.75</v>
      </c>
      <c r="K5" s="7">
        <v>0</v>
      </c>
      <c r="L5" s="7">
        <f>H5*K5</f>
        <v>0</v>
      </c>
    </row>
    <row r="6" spans="1:13">
      <c r="A6" s="11" t="s">
        <v>23</v>
      </c>
      <c r="B6" s="8" t="s">
        <v>24</v>
      </c>
      <c r="C6" s="20">
        <v>69.900000000000006</v>
      </c>
      <c r="D6" s="8" t="s">
        <v>15</v>
      </c>
      <c r="F6" s="8">
        <v>4</v>
      </c>
      <c r="G6" s="29" t="s">
        <v>25</v>
      </c>
      <c r="H6" s="8">
        <v>2.5</v>
      </c>
      <c r="I6" s="28">
        <v>0</v>
      </c>
      <c r="J6" s="7">
        <f>H6*I6</f>
        <v>0</v>
      </c>
      <c r="K6" s="7">
        <v>1</v>
      </c>
      <c r="L6" s="7">
        <f>H6*K6</f>
        <v>2.5</v>
      </c>
    </row>
    <row r="7" spans="1:13">
      <c r="A7" s="12" t="s">
        <v>26</v>
      </c>
      <c r="B7" s="13"/>
      <c r="C7" s="21" t="s">
        <v>27</v>
      </c>
      <c r="D7" s="13"/>
      <c r="F7" s="8">
        <v>5</v>
      </c>
      <c r="G7" s="29" t="s">
        <v>28</v>
      </c>
      <c r="H7" s="8">
        <v>1</v>
      </c>
      <c r="I7" s="28">
        <v>0</v>
      </c>
      <c r="J7" s="7">
        <f>H7*I7</f>
        <v>0</v>
      </c>
      <c r="K7" s="7">
        <v>1</v>
      </c>
      <c r="L7" s="7">
        <f>H7*K7</f>
        <v>1</v>
      </c>
    </row>
    <row r="8" spans="1:13">
      <c r="A8" s="11" t="s">
        <v>29</v>
      </c>
      <c r="B8" s="14" t="s">
        <v>30</v>
      </c>
      <c r="C8" s="20">
        <v>4.5999999999999999E-2</v>
      </c>
      <c r="D8" s="8" t="s">
        <v>31</v>
      </c>
      <c r="F8" s="8">
        <v>6</v>
      </c>
      <c r="G8" s="29"/>
      <c r="H8" s="8"/>
      <c r="I8" s="28"/>
      <c r="J8" s="7"/>
      <c r="K8" s="7"/>
      <c r="L8" s="7"/>
    </row>
    <row r="9" spans="1:13">
      <c r="A9" s="12" t="s">
        <v>32</v>
      </c>
      <c r="B9" s="13"/>
      <c r="C9" s="21" t="s">
        <v>33</v>
      </c>
      <c r="D9" s="13"/>
      <c r="F9" s="64" t="s">
        <v>34</v>
      </c>
      <c r="G9" s="65"/>
      <c r="H9" s="66"/>
      <c r="I9" s="30">
        <f>SUM(I3:I8)</f>
        <v>3</v>
      </c>
      <c r="J9" s="31">
        <f>SUM(J3:J8)</f>
        <v>2.35</v>
      </c>
      <c r="K9" s="32">
        <f>SUM(K3:K8)</f>
        <v>9</v>
      </c>
      <c r="L9" s="3">
        <f xml:space="preserve"> SUM(L3:L8)</f>
        <v>6.1000000000000005</v>
      </c>
    </row>
    <row r="10" spans="1:13">
      <c r="A10" s="11" t="s">
        <v>35</v>
      </c>
      <c r="B10" s="8" t="s">
        <v>36</v>
      </c>
      <c r="C10" s="20">
        <v>20</v>
      </c>
      <c r="D10" s="8" t="s">
        <v>37</v>
      </c>
      <c r="E10" s="22"/>
    </row>
    <row r="11" spans="1:13">
      <c r="A11" s="11" t="s">
        <v>38</v>
      </c>
      <c r="B11" s="8" t="s">
        <v>39</v>
      </c>
      <c r="C11" s="20">
        <v>998.2</v>
      </c>
      <c r="D11" s="8" t="s">
        <v>40</v>
      </c>
    </row>
    <row r="12" spans="1:13">
      <c r="A12" s="11" t="s">
        <v>41</v>
      </c>
      <c r="B12" s="14" t="s">
        <v>42</v>
      </c>
      <c r="C12" s="26">
        <v>1.004E-6</v>
      </c>
      <c r="D12" s="8" t="s">
        <v>43</v>
      </c>
    </row>
    <row r="14" spans="1:13">
      <c r="A14" s="15" t="s">
        <v>44</v>
      </c>
      <c r="B14" s="73" t="s">
        <v>45</v>
      </c>
      <c r="C14" s="74"/>
      <c r="D14" s="67" t="s">
        <v>46</v>
      </c>
      <c r="E14" s="67"/>
      <c r="F14" s="67"/>
    </row>
    <row r="15" spans="1:13" ht="32.25" customHeight="1">
      <c r="A15" s="16" t="s">
        <v>47</v>
      </c>
      <c r="B15" s="5" t="s">
        <v>48</v>
      </c>
      <c r="C15" s="16" t="s">
        <v>49</v>
      </c>
      <c r="D15" s="51" t="s">
        <v>50</v>
      </c>
      <c r="E15" s="25" t="s">
        <v>51</v>
      </c>
      <c r="F15" s="59" t="s">
        <v>31</v>
      </c>
      <c r="G15" s="47"/>
    </row>
    <row r="16" spans="1:13">
      <c r="A16" s="5" t="s">
        <v>52</v>
      </c>
      <c r="B16" s="5" t="s">
        <v>53</v>
      </c>
      <c r="C16" s="33">
        <f>4*C2/(PI()*(0.6604^2))</f>
        <v>0.97508495654475602</v>
      </c>
      <c r="D16" s="7" t="s">
        <v>54</v>
      </c>
      <c r="E16" s="33">
        <f>C2/((PI()*(0.6096^2))/4)</f>
        <v>1.1443705392782206</v>
      </c>
      <c r="F16" s="8" t="s">
        <v>55</v>
      </c>
      <c r="G16" s="47"/>
      <c r="M16"/>
    </row>
    <row r="17" spans="1:13">
      <c r="A17" s="5" t="s">
        <v>56</v>
      </c>
      <c r="B17" s="5" t="s">
        <v>57</v>
      </c>
      <c r="C17" s="34">
        <f>((0.6604*C16)/(C12))</f>
        <v>641380.58297027578</v>
      </c>
      <c r="D17" s="7" t="s">
        <v>58</v>
      </c>
      <c r="E17" s="34">
        <f>((0.6096*E16)/C12)</f>
        <v>694828.96488446544</v>
      </c>
      <c r="F17" s="8" t="s">
        <v>59</v>
      </c>
      <c r="G17" s="47"/>
      <c r="M17"/>
    </row>
    <row r="18" spans="1:13">
      <c r="A18" s="5" t="s">
        <v>60</v>
      </c>
      <c r="B18" s="17" t="s">
        <v>61</v>
      </c>
      <c r="C18" s="7">
        <f>C8/660.4</f>
        <v>6.9654754694124774E-5</v>
      </c>
      <c r="D18" s="6" t="s">
        <v>62</v>
      </c>
      <c r="E18" s="7">
        <f>C8/609.6</f>
        <v>7.5459317585301831E-5</v>
      </c>
      <c r="F18" s="8" t="s">
        <v>59</v>
      </c>
      <c r="G18" s="47"/>
      <c r="M18"/>
    </row>
    <row r="19" spans="1:13">
      <c r="A19" s="5" t="s">
        <v>63</v>
      </c>
      <c r="B19" s="5" t="s">
        <v>64</v>
      </c>
      <c r="C19" s="33">
        <v>1.367E-2</v>
      </c>
      <c r="D19" s="7" t="s">
        <v>65</v>
      </c>
      <c r="E19" s="33">
        <v>1.3627999999999999E-2</v>
      </c>
      <c r="F19" s="8" t="s">
        <v>59</v>
      </c>
      <c r="G19" s="47"/>
    </row>
    <row r="20" spans="1:13">
      <c r="A20" s="5" t="s">
        <v>66</v>
      </c>
      <c r="B20" s="5" t="s">
        <v>67</v>
      </c>
      <c r="C20" s="33">
        <f>C19*((C5/0.6604)*(C16^2/19.62))</f>
        <v>4.2130503545067003E-3</v>
      </c>
      <c r="D20" s="7" t="s">
        <v>68</v>
      </c>
      <c r="E20" s="33">
        <f>E19*(C6/0.6096)*((E16^2)/(2*9.81))</f>
        <v>0.1043034507676328</v>
      </c>
      <c r="F20" s="8" t="s">
        <v>15</v>
      </c>
      <c r="G20" s="47"/>
    </row>
    <row r="21" spans="1:13">
      <c r="A21" s="5" t="s">
        <v>69</v>
      </c>
      <c r="B21" s="5" t="s">
        <v>70</v>
      </c>
      <c r="C21" s="33">
        <f>J9*((C16^2)/(2*9.81))</f>
        <v>0.11388165547032306</v>
      </c>
      <c r="D21" s="7" t="s">
        <v>71</v>
      </c>
      <c r="E21" s="33">
        <f>L9*((E16^2)/(2*9.81))</f>
        <v>0.40715912233049673</v>
      </c>
      <c r="F21" s="8" t="s">
        <v>15</v>
      </c>
      <c r="G21" s="47"/>
    </row>
    <row r="22" spans="1:13">
      <c r="A22" s="5" t="s">
        <v>72</v>
      </c>
      <c r="B22" s="37" t="s">
        <v>73</v>
      </c>
      <c r="C22" s="38">
        <f>SUM(C20:C21)</f>
        <v>0.11809470582482975</v>
      </c>
      <c r="D22" s="52" t="s">
        <v>74</v>
      </c>
      <c r="E22" s="33">
        <f>E20+E21</f>
        <v>0.51146257309812948</v>
      </c>
      <c r="F22" s="8" t="s">
        <v>15</v>
      </c>
      <c r="G22" s="47"/>
    </row>
    <row r="23" spans="1:13">
      <c r="A23" s="35" t="s">
        <v>75</v>
      </c>
      <c r="B23" s="67" t="s">
        <v>76</v>
      </c>
      <c r="C23" s="67"/>
      <c r="D23" s="67"/>
      <c r="E23" s="36">
        <f>SUM(C22,E22)</f>
        <v>0.62955727892295921</v>
      </c>
      <c r="F23" s="60" t="s">
        <v>15</v>
      </c>
      <c r="G23" s="47"/>
    </row>
    <row r="24" spans="1:13">
      <c r="C24" s="46"/>
      <c r="F24" s="47"/>
      <c r="G24" s="47"/>
    </row>
    <row r="25" spans="1:13">
      <c r="A25" s="1" t="s">
        <v>77</v>
      </c>
      <c r="B25" s="1"/>
      <c r="C25" s="3"/>
      <c r="D25" s="1"/>
    </row>
    <row r="26" spans="1:13">
      <c r="A26" s="5" t="s">
        <v>78</v>
      </c>
      <c r="B26" s="6" t="s">
        <v>79</v>
      </c>
      <c r="C26" s="7">
        <f>SUM(C3,C4)</f>
        <v>48.6</v>
      </c>
      <c r="D26" s="7" t="s">
        <v>15</v>
      </c>
    </row>
    <row r="27" spans="1:13">
      <c r="A27" s="5" t="s">
        <v>80</v>
      </c>
      <c r="B27" s="6" t="s">
        <v>81</v>
      </c>
      <c r="C27" s="33">
        <f>(C26+E23)+(E16^2/19.62)</f>
        <v>49.296304676026324</v>
      </c>
      <c r="D27" s="7" t="s">
        <v>15</v>
      </c>
    </row>
    <row r="28" spans="1:13">
      <c r="A28" s="5" t="s">
        <v>3</v>
      </c>
      <c r="B28" s="6" t="s">
        <v>4</v>
      </c>
      <c r="C28" s="7">
        <f>C2</f>
        <v>0.33400000000000002</v>
      </c>
      <c r="D28" s="7" t="s">
        <v>5</v>
      </c>
    </row>
    <row r="29" spans="1:13">
      <c r="A29" s="5" t="s">
        <v>82</v>
      </c>
      <c r="B29" s="6" t="s">
        <v>83</v>
      </c>
      <c r="C29" s="34">
        <f>80-(0.9367*C27)+(5.46*10^(-3)*C27*C35)-(1.514*10^(-5)*(C35^2)*C27)+(5.802*10^(-3)*(C27^2))-(3.028*10^(-5)*C35*(C27^2))+(8.346*10^(-8)*(C27^2)*(C35^2))</f>
        <v>51.617801726470532</v>
      </c>
      <c r="D29" s="7" t="s">
        <v>84</v>
      </c>
    </row>
    <row r="30" spans="1:13">
      <c r="A30" s="1" t="s">
        <v>85</v>
      </c>
      <c r="B30" s="3" t="s">
        <v>86</v>
      </c>
      <c r="C30" s="63">
        <f>(C11*9.81*C28*C27)/0.5162</f>
        <v>312341.2936028004</v>
      </c>
      <c r="D30" s="1" t="s">
        <v>87</v>
      </c>
      <c r="F30" s="68" t="s">
        <v>88</v>
      </c>
      <c r="G30" s="68"/>
      <c r="I30" s="69"/>
      <c r="J30" s="69"/>
      <c r="K30" s="57"/>
    </row>
    <row r="31" spans="1:13">
      <c r="C31" s="46"/>
      <c r="F31" s="68" t="s">
        <v>89</v>
      </c>
      <c r="G31" s="68"/>
      <c r="I31" s="69"/>
      <c r="J31" s="69"/>
      <c r="K31" s="57"/>
    </row>
    <row r="32" spans="1:13">
      <c r="A32" s="15" t="s">
        <v>90</v>
      </c>
      <c r="B32" s="18"/>
      <c r="C32" s="61"/>
      <c r="D32" s="18"/>
      <c r="F32" s="77"/>
      <c r="G32" s="77"/>
      <c r="I32" s="78"/>
      <c r="J32" s="78"/>
      <c r="K32" s="57"/>
    </row>
    <row r="33" spans="1:11">
      <c r="A33" s="5" t="s">
        <v>78</v>
      </c>
      <c r="B33" s="8" t="s">
        <v>91</v>
      </c>
      <c r="C33" s="7">
        <f>C26</f>
        <v>48.6</v>
      </c>
      <c r="D33" s="7" t="s">
        <v>15</v>
      </c>
      <c r="F33" s="77"/>
      <c r="G33" s="77"/>
      <c r="I33" s="78"/>
      <c r="J33" s="78"/>
      <c r="K33" s="57"/>
    </row>
    <row r="34" spans="1:11">
      <c r="A34" s="5" t="s">
        <v>92</v>
      </c>
      <c r="B34" s="8" t="s">
        <v>93</v>
      </c>
      <c r="C34" s="33">
        <f>C27</f>
        <v>49.296304676026324</v>
      </c>
      <c r="D34" s="7" t="s">
        <v>15</v>
      </c>
      <c r="F34" s="77"/>
      <c r="G34" s="77"/>
      <c r="I34" s="78"/>
      <c r="J34" s="78"/>
      <c r="K34" s="57"/>
    </row>
    <row r="35" spans="1:11">
      <c r="A35" s="5" t="s">
        <v>3</v>
      </c>
      <c r="B35" s="8" t="s">
        <v>4</v>
      </c>
      <c r="C35" s="7">
        <v>20</v>
      </c>
      <c r="D35" s="7" t="s">
        <v>94</v>
      </c>
      <c r="F35" s="77"/>
      <c r="G35" s="77"/>
      <c r="I35" s="78"/>
      <c r="J35" s="78"/>
      <c r="K35" s="57"/>
    </row>
    <row r="36" spans="1:11">
      <c r="A36" s="5" t="s">
        <v>95</v>
      </c>
      <c r="B36" s="8" t="s">
        <v>96</v>
      </c>
      <c r="C36" s="7">
        <f>C26</f>
        <v>48.6</v>
      </c>
      <c r="D36" s="7" t="s">
        <v>15</v>
      </c>
      <c r="I36" s="78"/>
      <c r="J36" s="78"/>
      <c r="K36" s="57"/>
    </row>
    <row r="37" spans="1:11">
      <c r="A37" s="5" t="s">
        <v>97</v>
      </c>
      <c r="B37" s="8" t="s">
        <v>98</v>
      </c>
      <c r="C37" s="7">
        <f>((C34-C36)/(C35^2))</f>
        <v>1.7407616900658063E-3</v>
      </c>
      <c r="D37" s="7"/>
      <c r="G37" s="22"/>
      <c r="I37" s="57"/>
      <c r="J37" s="57"/>
      <c r="K37" s="57"/>
    </row>
    <row r="38" spans="1:11">
      <c r="A38" s="15" t="s">
        <v>99</v>
      </c>
      <c r="B38" s="74" t="s">
        <v>100</v>
      </c>
      <c r="C38" s="75"/>
      <c r="D38" s="76"/>
    </row>
    <row r="40" spans="1:11">
      <c r="A40" s="70" t="s">
        <v>101</v>
      </c>
      <c r="B40" s="71"/>
      <c r="C40" s="71"/>
      <c r="D40" s="72"/>
      <c r="G40"/>
    </row>
    <row r="41" spans="1:11">
      <c r="A41" s="5" t="s">
        <v>102</v>
      </c>
      <c r="B41" s="8" t="s">
        <v>103</v>
      </c>
      <c r="C41" s="56">
        <f>10.3325-C3-0.24-E23</f>
        <v>7.0629427210770395</v>
      </c>
      <c r="D41" s="8" t="s">
        <v>15</v>
      </c>
    </row>
    <row r="42" spans="1:11">
      <c r="A42" s="5" t="s">
        <v>104</v>
      </c>
      <c r="B42" s="8" t="s">
        <v>105</v>
      </c>
      <c r="C42" s="8">
        <v>3.9289999999999998</v>
      </c>
      <c r="D42" s="8" t="s">
        <v>15</v>
      </c>
    </row>
    <row r="43" spans="1:11">
      <c r="A43" s="5" t="s">
        <v>106</v>
      </c>
      <c r="B43" s="8" t="s">
        <v>107</v>
      </c>
      <c r="C43" s="56">
        <f>(101325/(C11*9.81)) - C22 - (2350/(C11*9.81)) - C42</f>
        <v>6.060293291857441</v>
      </c>
      <c r="D43" s="8" t="s">
        <v>15</v>
      </c>
    </row>
  </sheetData>
  <mergeCells count="19">
    <mergeCell ref="I32:J32"/>
    <mergeCell ref="I33:J33"/>
    <mergeCell ref="I34:J34"/>
    <mergeCell ref="I35:J35"/>
    <mergeCell ref="I36:J36"/>
    <mergeCell ref="A40:D40"/>
    <mergeCell ref="B14:C14"/>
    <mergeCell ref="B38:D38"/>
    <mergeCell ref="D14:F14"/>
    <mergeCell ref="F32:G32"/>
    <mergeCell ref="F33:G33"/>
    <mergeCell ref="F34:G34"/>
    <mergeCell ref="F35:G35"/>
    <mergeCell ref="F9:H9"/>
    <mergeCell ref="B23:D23"/>
    <mergeCell ref="F30:G30"/>
    <mergeCell ref="F31:G31"/>
    <mergeCell ref="I30:J30"/>
    <mergeCell ref="I31:J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3240-FB74-4FFB-BB4C-59A23CECFB21}">
  <dimension ref="A1:L45"/>
  <sheetViews>
    <sheetView tabSelected="1" topLeftCell="A15" workbookViewId="0">
      <selection activeCell="C41" sqref="C41"/>
    </sheetView>
  </sheetViews>
  <sheetFormatPr defaultRowHeight="15"/>
  <cols>
    <col min="1" max="1" width="36.7109375" style="57" customWidth="1"/>
    <col min="2" max="2" width="9.140625" style="57"/>
    <col min="3" max="3" width="15" style="57" bestFit="1" customWidth="1"/>
    <col min="4" max="4" width="9.140625" style="57"/>
    <col min="5" max="5" width="17.140625" style="57" customWidth="1"/>
    <col min="6" max="6" width="9.140625" style="57"/>
    <col min="7" max="7" width="22.140625" style="57" bestFit="1" customWidth="1"/>
    <col min="8" max="8" width="12.85546875" style="57" customWidth="1"/>
    <col min="9" max="9" width="12.5703125" style="57" customWidth="1"/>
    <col min="10" max="10" width="13.85546875" style="57" customWidth="1"/>
    <col min="11" max="11" width="13.140625" style="57" customWidth="1"/>
    <col min="12" max="12" width="13.28515625" style="57" customWidth="1"/>
    <col min="13" max="16384" width="9.140625" style="57"/>
  </cols>
  <sheetData>
    <row r="1" spans="1:12">
      <c r="A1" s="1" t="s">
        <v>0</v>
      </c>
      <c r="B1" s="2"/>
      <c r="C1" s="55" t="s">
        <v>1</v>
      </c>
      <c r="D1" s="4"/>
      <c r="E1" s="19"/>
      <c r="F1" t="s">
        <v>2</v>
      </c>
      <c r="G1"/>
      <c r="H1"/>
      <c r="I1" s="19"/>
      <c r="J1" s="19"/>
      <c r="K1" s="19"/>
      <c r="L1" s="19"/>
    </row>
    <row r="2" spans="1:12" ht="30">
      <c r="A2" s="11" t="s">
        <v>3</v>
      </c>
      <c r="B2" s="49" t="s">
        <v>4</v>
      </c>
      <c r="C2" s="54">
        <v>0.16600000000000001</v>
      </c>
      <c r="D2" s="50" t="s">
        <v>5</v>
      </c>
      <c r="E2" s="19"/>
      <c r="F2" s="9" t="s">
        <v>6</v>
      </c>
      <c r="G2" s="9" t="s">
        <v>7</v>
      </c>
      <c r="H2" s="9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2">
      <c r="A3" s="11" t="s">
        <v>13</v>
      </c>
      <c r="B3" s="49" t="s">
        <v>14</v>
      </c>
      <c r="C3" s="48">
        <v>2.4</v>
      </c>
      <c r="D3" s="50" t="s">
        <v>15</v>
      </c>
      <c r="E3" s="19"/>
      <c r="F3" s="8">
        <v>1</v>
      </c>
      <c r="G3" s="29" t="s">
        <v>16</v>
      </c>
      <c r="H3" s="8">
        <v>0.4</v>
      </c>
      <c r="I3" s="28">
        <v>1</v>
      </c>
      <c r="J3" s="7">
        <f>H3*I3</f>
        <v>0.4</v>
      </c>
      <c r="K3" s="7">
        <v>6</v>
      </c>
      <c r="L3" s="7">
        <f>H3*K3</f>
        <v>2.4000000000000004</v>
      </c>
    </row>
    <row r="4" spans="1:12">
      <c r="A4" s="11" t="s">
        <v>17</v>
      </c>
      <c r="B4" s="8" t="s">
        <v>18</v>
      </c>
      <c r="C4" s="39">
        <v>46.2</v>
      </c>
      <c r="D4" s="8" t="s">
        <v>15</v>
      </c>
      <c r="E4" s="19"/>
      <c r="F4" s="8">
        <v>2</v>
      </c>
      <c r="G4" s="29" t="s">
        <v>19</v>
      </c>
      <c r="H4" s="8">
        <v>0.2</v>
      </c>
      <c r="I4" s="28">
        <v>1</v>
      </c>
      <c r="J4" s="7">
        <f>H4*I4</f>
        <v>0.2</v>
      </c>
      <c r="K4" s="7">
        <v>1</v>
      </c>
      <c r="L4" s="7">
        <f>H4*K4</f>
        <v>0.2</v>
      </c>
    </row>
    <row r="5" spans="1:12">
      <c r="A5" s="11" t="s">
        <v>20</v>
      </c>
      <c r="B5" s="8" t="s">
        <v>21</v>
      </c>
      <c r="C5" s="39">
        <v>4.2</v>
      </c>
      <c r="D5" s="8" t="s">
        <v>15</v>
      </c>
      <c r="E5" s="19"/>
      <c r="F5" s="8">
        <v>3</v>
      </c>
      <c r="G5" s="29" t="s">
        <v>22</v>
      </c>
      <c r="H5" s="8">
        <v>1.75</v>
      </c>
      <c r="I5" s="28">
        <v>1</v>
      </c>
      <c r="J5" s="7">
        <f>H5*I5</f>
        <v>1.75</v>
      </c>
      <c r="K5" s="7">
        <v>0</v>
      </c>
      <c r="L5" s="7">
        <f>H5*K5</f>
        <v>0</v>
      </c>
    </row>
    <row r="6" spans="1:12">
      <c r="A6" s="11" t="s">
        <v>23</v>
      </c>
      <c r="B6" s="8" t="s">
        <v>24</v>
      </c>
      <c r="C6" s="39">
        <v>69.900000000000006</v>
      </c>
      <c r="D6" s="8" t="s">
        <v>15</v>
      </c>
      <c r="E6" s="19"/>
      <c r="F6" s="8">
        <v>4</v>
      </c>
      <c r="G6" s="29" t="s">
        <v>25</v>
      </c>
      <c r="H6" s="8">
        <v>2.5</v>
      </c>
      <c r="I6" s="28">
        <v>0</v>
      </c>
      <c r="J6" s="7">
        <f>H6*I6</f>
        <v>0</v>
      </c>
      <c r="K6" s="7">
        <v>1</v>
      </c>
      <c r="L6" s="7">
        <f>H6*K6</f>
        <v>2.5</v>
      </c>
    </row>
    <row r="7" spans="1:12">
      <c r="A7" s="12" t="s">
        <v>26</v>
      </c>
      <c r="B7" s="13"/>
      <c r="C7" s="40" t="s">
        <v>27</v>
      </c>
      <c r="D7" s="13"/>
      <c r="E7" s="19"/>
      <c r="F7" s="8">
        <v>5</v>
      </c>
      <c r="G7" s="29" t="s">
        <v>28</v>
      </c>
      <c r="H7" s="8">
        <v>1</v>
      </c>
      <c r="I7" s="28">
        <v>0</v>
      </c>
      <c r="J7" s="7">
        <f>H7*I7</f>
        <v>0</v>
      </c>
      <c r="K7" s="7">
        <v>1</v>
      </c>
      <c r="L7" s="7">
        <f>H7*K7</f>
        <v>1</v>
      </c>
    </row>
    <row r="8" spans="1:12">
      <c r="A8" s="11" t="s">
        <v>29</v>
      </c>
      <c r="B8" s="41" t="s">
        <v>30</v>
      </c>
      <c r="C8" s="39">
        <v>4.5999999999999999E-2</v>
      </c>
      <c r="D8" s="8" t="s">
        <v>31</v>
      </c>
      <c r="E8" s="19"/>
      <c r="F8" s="8">
        <v>6</v>
      </c>
      <c r="G8" s="29"/>
      <c r="H8" s="8"/>
      <c r="I8" s="28"/>
      <c r="J8" s="7"/>
      <c r="K8" s="7"/>
      <c r="L8" s="7"/>
    </row>
    <row r="9" spans="1:12">
      <c r="A9" s="12" t="s">
        <v>32</v>
      </c>
      <c r="B9" s="13"/>
      <c r="C9" s="40" t="s">
        <v>33</v>
      </c>
      <c r="D9" s="13"/>
      <c r="E9" s="19"/>
      <c r="F9" s="64" t="s">
        <v>34</v>
      </c>
      <c r="G9" s="65"/>
      <c r="H9" s="66"/>
      <c r="I9" s="30">
        <f>SUM(I3:I8)</f>
        <v>3</v>
      </c>
      <c r="J9" s="42">
        <f>SUM(J3:J8)</f>
        <v>2.35</v>
      </c>
      <c r="K9" s="32">
        <f>SUM(K3:K8)</f>
        <v>9</v>
      </c>
      <c r="L9" s="3">
        <f xml:space="preserve"> SUM(L3:L8)</f>
        <v>6.1000000000000005</v>
      </c>
    </row>
    <row r="10" spans="1:12">
      <c r="A10" s="11" t="s">
        <v>35</v>
      </c>
      <c r="B10" s="8" t="s">
        <v>36</v>
      </c>
      <c r="C10" s="39">
        <v>20</v>
      </c>
      <c r="D10" s="8" t="s">
        <v>37</v>
      </c>
      <c r="E10" s="22"/>
      <c r="F10" s="19"/>
      <c r="G10" s="19"/>
      <c r="H10" s="19"/>
      <c r="I10" s="19"/>
      <c r="J10" s="19"/>
      <c r="K10" s="19"/>
      <c r="L10" s="19"/>
    </row>
    <row r="11" spans="1:12">
      <c r="A11" s="11" t="s">
        <v>38</v>
      </c>
      <c r="B11" s="8" t="s">
        <v>39</v>
      </c>
      <c r="C11" s="39">
        <v>998.2</v>
      </c>
      <c r="D11" s="8" t="s">
        <v>40</v>
      </c>
      <c r="E11" s="19"/>
      <c r="F11" s="19"/>
      <c r="G11" s="19"/>
      <c r="H11" s="19"/>
      <c r="I11" s="19"/>
      <c r="J11" s="19"/>
      <c r="K11" s="19"/>
      <c r="L11" s="19"/>
    </row>
    <row r="12" spans="1:12">
      <c r="A12" s="11" t="s">
        <v>41</v>
      </c>
      <c r="B12" s="41" t="s">
        <v>42</v>
      </c>
      <c r="C12" s="43">
        <v>1.004E-6</v>
      </c>
      <c r="D12" s="8" t="s">
        <v>108</v>
      </c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15" t="s">
        <v>44</v>
      </c>
      <c r="B14" s="73" t="s">
        <v>45</v>
      </c>
      <c r="C14" s="74"/>
      <c r="D14" s="67" t="s">
        <v>46</v>
      </c>
      <c r="E14" s="67"/>
      <c r="F14" s="67"/>
      <c r="G14" s="19"/>
      <c r="H14" s="19"/>
      <c r="I14" s="19"/>
      <c r="J14" s="19"/>
      <c r="K14" s="19"/>
      <c r="L14" s="19"/>
    </row>
    <row r="15" spans="1:12" ht="28.5" customHeight="1">
      <c r="A15" s="16" t="s">
        <v>109</v>
      </c>
      <c r="B15" s="5" t="s">
        <v>48</v>
      </c>
      <c r="C15" s="16" t="s">
        <v>110</v>
      </c>
      <c r="D15" s="24" t="s">
        <v>50</v>
      </c>
      <c r="E15" s="25" t="s">
        <v>111</v>
      </c>
      <c r="F15" s="24" t="s">
        <v>31</v>
      </c>
      <c r="G15" s="19"/>
      <c r="H15" s="19"/>
      <c r="I15" s="19"/>
      <c r="J15" s="19"/>
      <c r="K15" s="19"/>
      <c r="L15" s="19"/>
    </row>
    <row r="16" spans="1:12">
      <c r="A16" s="5" t="s">
        <v>52</v>
      </c>
      <c r="B16" s="5" t="s">
        <v>53</v>
      </c>
      <c r="C16" s="33">
        <f>4*C2/(PI()*(0.508^2))</f>
        <v>0.81901297517684379</v>
      </c>
      <c r="D16" s="5" t="s">
        <v>54</v>
      </c>
      <c r="E16" s="33">
        <f>C2/((PI()*(0.4572^2))/4)</f>
        <v>1.0111271298479554</v>
      </c>
      <c r="F16" s="5" t="s">
        <v>55</v>
      </c>
      <c r="G16" s="19"/>
      <c r="H16" s="19"/>
      <c r="I16" s="19"/>
      <c r="J16" s="19"/>
      <c r="K16" s="19"/>
      <c r="L16" s="19"/>
    </row>
    <row r="17" spans="1:12">
      <c r="A17" s="5" t="s">
        <v>56</v>
      </c>
      <c r="B17" s="5" t="s">
        <v>57</v>
      </c>
      <c r="C17" s="34">
        <f>((0.508*C16)/(C12))</f>
        <v>414400.98744007631</v>
      </c>
      <c r="D17" s="5" t="s">
        <v>58</v>
      </c>
      <c r="E17" s="34">
        <f>((0.4572*E16)/C12)</f>
        <v>460445.54160008481</v>
      </c>
      <c r="F17" s="5" t="s">
        <v>59</v>
      </c>
      <c r="G17" s="19"/>
      <c r="H17" s="19"/>
      <c r="I17" s="19"/>
      <c r="J17" s="19"/>
      <c r="K17" s="19"/>
      <c r="L17" s="19"/>
    </row>
    <row r="18" spans="1:12">
      <c r="A18" s="5" t="s">
        <v>60</v>
      </c>
      <c r="B18" s="44" t="s">
        <v>61</v>
      </c>
      <c r="C18" s="62">
        <f>C8/508</f>
        <v>9.05511811023622E-5</v>
      </c>
      <c r="D18" s="44" t="s">
        <v>62</v>
      </c>
      <c r="E18" s="7">
        <f>C8/457.2</f>
        <v>1.0061242344706912E-4</v>
      </c>
      <c r="F18" s="5" t="s">
        <v>59</v>
      </c>
      <c r="G18" s="19"/>
      <c r="H18" s="19"/>
      <c r="I18" s="19"/>
      <c r="J18" s="19"/>
      <c r="K18" s="19"/>
      <c r="L18" s="19"/>
    </row>
    <row r="19" spans="1:12">
      <c r="A19" s="5" t="s">
        <v>63</v>
      </c>
      <c r="B19" s="5" t="s">
        <v>64</v>
      </c>
      <c r="C19" s="53">
        <v>1.4690999999999999E-2</v>
      </c>
      <c r="D19" s="5" t="s">
        <v>65</v>
      </c>
      <c r="E19" s="33">
        <v>1.4614E-2</v>
      </c>
      <c r="F19" s="5" t="s">
        <v>59</v>
      </c>
      <c r="G19" s="19"/>
      <c r="H19" s="19"/>
      <c r="I19" s="19"/>
      <c r="J19" s="19"/>
      <c r="K19" s="19"/>
      <c r="L19" s="19"/>
    </row>
    <row r="20" spans="1:12">
      <c r="A20" s="5" t="s">
        <v>66</v>
      </c>
      <c r="B20" s="5" t="s">
        <v>67</v>
      </c>
      <c r="C20" s="33">
        <f>C19*((C5/0.508)*(C16^2/19.62))</f>
        <v>4.152594247634471E-3</v>
      </c>
      <c r="D20" s="5" t="s">
        <v>68</v>
      </c>
      <c r="E20" s="33">
        <f>E19*(C6/0.4572)*((E16^2)/(2*9.81))</f>
        <v>0.11642669797790563</v>
      </c>
      <c r="F20" s="5" t="s">
        <v>15</v>
      </c>
      <c r="G20" s="19"/>
      <c r="H20" s="19"/>
      <c r="I20" s="19"/>
      <c r="J20" s="19"/>
      <c r="K20" s="19"/>
      <c r="L20" s="19"/>
    </row>
    <row r="21" spans="1:12">
      <c r="A21" s="5" t="s">
        <v>69</v>
      </c>
      <c r="B21" s="5" t="s">
        <v>70</v>
      </c>
      <c r="C21" s="33">
        <f>J9*((C16^2)/(2*9.81))</f>
        <v>8.0343440150043813E-2</v>
      </c>
      <c r="D21" s="5" t="s">
        <v>71</v>
      </c>
      <c r="E21" s="33">
        <f>L9*((E16^2)/(2*9.81))</f>
        <v>0.31786474228128647</v>
      </c>
      <c r="F21" s="5" t="s">
        <v>15</v>
      </c>
      <c r="G21" s="19"/>
      <c r="H21" s="19"/>
      <c r="I21" s="19"/>
      <c r="J21" s="19"/>
      <c r="K21" s="19"/>
      <c r="L21" s="19"/>
    </row>
    <row r="22" spans="1:12">
      <c r="A22" s="5" t="s">
        <v>72</v>
      </c>
      <c r="B22" s="37" t="s">
        <v>73</v>
      </c>
      <c r="C22" s="38">
        <f>SUM(C20:C21)</f>
        <v>8.4496034397678277E-2</v>
      </c>
      <c r="D22" s="37" t="s">
        <v>74</v>
      </c>
      <c r="E22" s="33">
        <f>E20+E21</f>
        <v>0.43429144025919209</v>
      </c>
      <c r="F22" s="5" t="s">
        <v>15</v>
      </c>
      <c r="G22" s="19"/>
      <c r="H22" s="19"/>
      <c r="I22" s="19"/>
      <c r="J22" s="19"/>
      <c r="K22" s="19"/>
      <c r="L22" s="19"/>
    </row>
    <row r="23" spans="1:12">
      <c r="A23" s="35" t="s">
        <v>75</v>
      </c>
      <c r="B23" s="67" t="s">
        <v>76</v>
      </c>
      <c r="C23" s="67"/>
      <c r="D23" s="67"/>
      <c r="E23" s="36">
        <f>SUM(C22,E22)</f>
        <v>0.51878747465687036</v>
      </c>
      <c r="F23" s="15" t="s">
        <v>15</v>
      </c>
      <c r="G23" s="19"/>
      <c r="H23" s="19"/>
      <c r="I23" s="19"/>
      <c r="J23" s="19"/>
      <c r="K23" s="19"/>
      <c r="L23" s="19"/>
    </row>
    <row r="24" spans="1:1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1" t="s">
        <v>77</v>
      </c>
      <c r="B25" s="1"/>
      <c r="C25" s="1"/>
      <c r="D25" s="1"/>
      <c r="E25" s="19"/>
      <c r="F25" s="19"/>
      <c r="G25" s="19"/>
      <c r="H25" s="19"/>
      <c r="I25" s="19"/>
      <c r="J25" s="19"/>
      <c r="K25" s="19"/>
      <c r="L25" s="19"/>
    </row>
    <row r="26" spans="1:12">
      <c r="A26" s="5" t="s">
        <v>78</v>
      </c>
      <c r="B26" s="45" t="s">
        <v>79</v>
      </c>
      <c r="C26" s="5">
        <f>SUM(C3,C4)</f>
        <v>48.6</v>
      </c>
      <c r="D26" s="7" t="s">
        <v>15</v>
      </c>
      <c r="E26" s="19"/>
      <c r="F26" s="19"/>
      <c r="G26" s="19"/>
      <c r="H26" s="19"/>
      <c r="I26" s="19"/>
      <c r="J26" s="19"/>
      <c r="K26" s="19"/>
      <c r="L26" s="19"/>
    </row>
    <row r="27" spans="1:12">
      <c r="A27" s="5" t="s">
        <v>80</v>
      </c>
      <c r="B27" s="45" t="s">
        <v>81</v>
      </c>
      <c r="C27" s="27">
        <f>(C26+E23)+(E16^2/19.62)</f>
        <v>49.170896448801344</v>
      </c>
      <c r="D27" s="7" t="s">
        <v>15</v>
      </c>
      <c r="E27" s="19"/>
      <c r="F27" s="19"/>
      <c r="G27" s="19"/>
      <c r="H27" s="19"/>
      <c r="I27" s="19"/>
      <c r="J27" s="19"/>
      <c r="K27" s="19"/>
      <c r="L27" s="19"/>
    </row>
    <row r="28" spans="1:12">
      <c r="A28" s="5" t="s">
        <v>3</v>
      </c>
      <c r="B28" s="45" t="s">
        <v>4</v>
      </c>
      <c r="C28" s="5">
        <f>C2</f>
        <v>0.16600000000000001</v>
      </c>
      <c r="D28" s="7" t="s">
        <v>5</v>
      </c>
      <c r="E28" s="19"/>
      <c r="F28" s="19"/>
      <c r="G28" s="19"/>
      <c r="H28" s="19"/>
      <c r="I28" s="19"/>
      <c r="J28" s="19"/>
      <c r="K28" s="19"/>
      <c r="L28" s="19"/>
    </row>
    <row r="29" spans="1:12">
      <c r="A29" s="5" t="s">
        <v>82</v>
      </c>
      <c r="B29" s="45" t="s">
        <v>83</v>
      </c>
      <c r="C29" s="80">
        <f>80-(0.9367*C27)+(5.46*10^(-3)*C27*C35)-(1.514*10^(-5)*(C35^2)*C27)+(5.802*10^(-3)*(C27^2))-(3.028*10^(-5)*C35*(C27^2))+(8.346*10^(-8)*(C27^2)*(C35^2))</f>
        <v>49.867925867648438</v>
      </c>
      <c r="D29" s="7" t="s">
        <v>84</v>
      </c>
      <c r="E29" s="19"/>
      <c r="F29" s="19"/>
      <c r="G29" s="19"/>
      <c r="H29" s="19"/>
      <c r="I29" s="19"/>
      <c r="J29" s="19"/>
      <c r="K29" s="19"/>
      <c r="L29" s="19"/>
    </row>
    <row r="30" spans="1:12">
      <c r="A30" s="1" t="s">
        <v>85</v>
      </c>
      <c r="B30" s="1" t="s">
        <v>86</v>
      </c>
      <c r="C30" s="1">
        <f>(C11*9.81*C28*C27)/0.4986</f>
        <v>160306.27140505257</v>
      </c>
      <c r="D30" s="1" t="s">
        <v>87</v>
      </c>
      <c r="E30" s="19"/>
      <c r="F30" s="68" t="s">
        <v>88</v>
      </c>
      <c r="G30" s="68"/>
      <c r="H30" s="19"/>
      <c r="I30" s="69"/>
      <c r="J30" s="69"/>
      <c r="K30" s="19"/>
      <c r="L30" s="19"/>
    </row>
    <row r="31" spans="1:12">
      <c r="A31" s="19"/>
      <c r="B31" s="19"/>
      <c r="C31" s="19"/>
      <c r="D31" s="19"/>
      <c r="E31" s="19"/>
      <c r="F31" s="68" t="s">
        <v>89</v>
      </c>
      <c r="G31" s="68"/>
      <c r="H31" s="19"/>
      <c r="I31" s="69"/>
      <c r="J31" s="69"/>
      <c r="K31" s="19"/>
      <c r="L31" s="19"/>
    </row>
    <row r="32" spans="1:12">
      <c r="A32" s="15" t="s">
        <v>90</v>
      </c>
      <c r="B32" s="18"/>
      <c r="C32" s="18"/>
      <c r="D32" s="18"/>
      <c r="E32" s="19"/>
      <c r="F32" s="77"/>
      <c r="G32" s="77"/>
      <c r="H32" s="19"/>
      <c r="I32" s="78"/>
      <c r="J32" s="78"/>
      <c r="K32" s="19"/>
      <c r="L32" s="19"/>
    </row>
    <row r="33" spans="1:12">
      <c r="A33" s="5" t="s">
        <v>78</v>
      </c>
      <c r="B33" s="5" t="s">
        <v>91</v>
      </c>
      <c r="C33" s="5">
        <f>C26</f>
        <v>48.6</v>
      </c>
      <c r="D33" s="5" t="s">
        <v>15</v>
      </c>
      <c r="E33" s="19"/>
      <c r="F33" s="77"/>
      <c r="G33" s="77"/>
      <c r="H33" s="19"/>
      <c r="I33" s="78"/>
      <c r="J33" s="78"/>
      <c r="K33" s="19"/>
      <c r="L33" s="19"/>
    </row>
    <row r="34" spans="1:12">
      <c r="A34" s="5" t="s">
        <v>92</v>
      </c>
      <c r="B34" s="5" t="s">
        <v>93</v>
      </c>
      <c r="C34" s="27">
        <f>C27</f>
        <v>49.170896448801344</v>
      </c>
      <c r="D34" s="5" t="s">
        <v>15</v>
      </c>
      <c r="E34" s="19"/>
      <c r="F34" s="77"/>
      <c r="G34" s="77"/>
      <c r="H34" s="19"/>
      <c r="I34" s="78"/>
      <c r="J34" s="78"/>
      <c r="K34" s="19"/>
      <c r="L34" s="19"/>
    </row>
    <row r="35" spans="1:12">
      <c r="A35" s="5" t="s">
        <v>3</v>
      </c>
      <c r="B35" s="5" t="s">
        <v>4</v>
      </c>
      <c r="C35" s="5">
        <v>10</v>
      </c>
      <c r="D35" s="5" t="s">
        <v>94</v>
      </c>
      <c r="E35" s="19"/>
      <c r="F35" s="77"/>
      <c r="G35" s="77"/>
      <c r="H35" s="19"/>
      <c r="I35" s="78"/>
      <c r="J35" s="78"/>
      <c r="K35" s="19"/>
      <c r="L35" s="19"/>
    </row>
    <row r="36" spans="1:12">
      <c r="A36" s="5" t="s">
        <v>95</v>
      </c>
      <c r="B36" s="5" t="s">
        <v>96</v>
      </c>
      <c r="C36" s="5">
        <f>C26</f>
        <v>48.6</v>
      </c>
      <c r="D36" s="5" t="s">
        <v>15</v>
      </c>
      <c r="E36" s="19"/>
      <c r="F36" s="19"/>
      <c r="G36" s="19"/>
      <c r="H36" s="19"/>
      <c r="I36" s="78"/>
      <c r="J36" s="78"/>
      <c r="K36" s="19"/>
      <c r="L36" s="19"/>
    </row>
    <row r="37" spans="1:12">
      <c r="A37" s="5" t="s">
        <v>97</v>
      </c>
      <c r="B37" s="5" t="s">
        <v>112</v>
      </c>
      <c r="C37" s="79">
        <f>((C34-C36)/(C35^2))</f>
        <v>5.7089644880134217E-3</v>
      </c>
      <c r="D37" s="5"/>
      <c r="E37" s="19"/>
      <c r="F37" s="19"/>
      <c r="G37" s="19"/>
      <c r="H37" s="19"/>
      <c r="I37" s="19"/>
      <c r="J37" s="19"/>
      <c r="K37" s="19"/>
      <c r="L37" s="19"/>
    </row>
    <row r="38" spans="1:12">
      <c r="A38" s="15" t="s">
        <v>99</v>
      </c>
      <c r="B38" s="74" t="s">
        <v>113</v>
      </c>
      <c r="C38" s="75"/>
      <c r="D38" s="76"/>
      <c r="E38" s="19"/>
      <c r="F38" s="19"/>
      <c r="G38" s="19"/>
      <c r="H38" s="19"/>
      <c r="I38" s="19"/>
      <c r="J38" s="19"/>
      <c r="K38" s="19"/>
      <c r="L38" s="19"/>
    </row>
    <row r="39" spans="1:1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>
      <c r="A40" s="70" t="s">
        <v>101</v>
      </c>
      <c r="B40" s="71"/>
      <c r="C40" s="71"/>
      <c r="D40" s="72"/>
      <c r="E40" s="19"/>
      <c r="F40" s="19"/>
      <c r="G40" s="19"/>
      <c r="H40" s="19"/>
      <c r="I40" s="19"/>
      <c r="J40" s="19"/>
      <c r="K40" s="19"/>
      <c r="L40" s="19"/>
    </row>
    <row r="41" spans="1:12">
      <c r="A41" s="5" t="s">
        <v>102</v>
      </c>
      <c r="B41" s="8" t="s">
        <v>103</v>
      </c>
      <c r="C41" s="56">
        <f>10.3325-C3-0.24-C22</f>
        <v>7.6080039656023208</v>
      </c>
      <c r="D41" s="8" t="s">
        <v>15</v>
      </c>
      <c r="E41" s="19"/>
      <c r="F41" s="19"/>
      <c r="G41" s="19"/>
      <c r="H41" s="19"/>
      <c r="I41" s="19"/>
      <c r="J41" s="19"/>
      <c r="K41" s="19"/>
      <c r="L41" s="19"/>
    </row>
    <row r="42" spans="1:12">
      <c r="A42" s="5" t="s">
        <v>104</v>
      </c>
      <c r="B42" s="8" t="s">
        <v>105</v>
      </c>
      <c r="C42" s="8">
        <v>2.6589999999999998</v>
      </c>
      <c r="D42" s="8" t="s">
        <v>15</v>
      </c>
      <c r="E42" s="19"/>
      <c r="F42" s="19"/>
      <c r="G42" s="19"/>
      <c r="H42" s="19"/>
      <c r="I42" s="19"/>
      <c r="J42" s="19"/>
      <c r="K42" s="19"/>
      <c r="L42" s="19"/>
    </row>
    <row r="43" spans="1:12">
      <c r="A43" s="5" t="s">
        <v>106</v>
      </c>
      <c r="B43" s="8" t="s">
        <v>107</v>
      </c>
      <c r="C43" s="8">
        <f>(101325/(C11*9.81))-C22-(2350/(C11*9.81))-C42</f>
        <v>7.3638919632845914</v>
      </c>
      <c r="D43" s="8" t="s">
        <v>15</v>
      </c>
      <c r="E43" s="19"/>
      <c r="F43" s="19"/>
      <c r="G43" s="19"/>
      <c r="H43" s="19"/>
      <c r="I43" s="19"/>
      <c r="J43" s="19"/>
      <c r="K43" s="19"/>
      <c r="L43" s="19"/>
    </row>
    <row r="45" spans="1:12">
      <c r="C45" s="58"/>
    </row>
  </sheetData>
  <mergeCells count="19">
    <mergeCell ref="I30:J30"/>
    <mergeCell ref="F9:H9"/>
    <mergeCell ref="B14:C14"/>
    <mergeCell ref="D14:F14"/>
    <mergeCell ref="B23:D23"/>
    <mergeCell ref="F30:G30"/>
    <mergeCell ref="F31:G31"/>
    <mergeCell ref="I31:J31"/>
    <mergeCell ref="F32:G32"/>
    <mergeCell ref="I32:J32"/>
    <mergeCell ref="F33:G33"/>
    <mergeCell ref="I33:J33"/>
    <mergeCell ref="A40:D40"/>
    <mergeCell ref="F34:G34"/>
    <mergeCell ref="I34:J34"/>
    <mergeCell ref="F35:G35"/>
    <mergeCell ref="I35:J35"/>
    <mergeCell ref="I36:J36"/>
    <mergeCell ref="B38:D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Costa</dc:creator>
  <cp:keywords/>
  <dc:description/>
  <cp:lastModifiedBy>Usuário Convidado</cp:lastModifiedBy>
  <cp:revision/>
  <dcterms:created xsi:type="dcterms:W3CDTF">2022-01-30T18:37:56Z</dcterms:created>
  <dcterms:modified xsi:type="dcterms:W3CDTF">2022-02-11T16:22:49Z</dcterms:modified>
  <cp:category/>
  <cp:contentStatus/>
</cp:coreProperties>
</file>