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H:\DISSERTACAO\PPTE_SegundoTeste\RESTORE\"/>
    </mc:Choice>
  </mc:AlternateContent>
  <xr:revisionPtr revIDLastSave="0" documentId="13_ncr:1_{C0FD753D-FCC8-4533-A117-F55663708FC3}" xr6:coauthVersionLast="47" xr6:coauthVersionMax="47" xr10:uidLastSave="{00000000-0000-0000-0000-000000000000}"/>
  <bookViews>
    <workbookView xWindow="-120" yWindow="-120" windowWidth="29040" windowHeight="15720" activeTab="4" xr2:uid="{00000000-000D-0000-FFFF-FFFF00000000}"/>
  </bookViews>
  <sheets>
    <sheet name="Zeta" sheetId="1" r:id="rId1"/>
    <sheet name="T" sheetId="2" r:id="rId2"/>
    <sheet name="U_P" sheetId="3" r:id="rId3"/>
    <sheet name="W" sheetId="4" r:id="rId4"/>
    <sheet name="Hn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" i="4" l="1"/>
  <c r="H3" i="5"/>
  <c r="F2" i="5"/>
  <c r="E3" i="5"/>
  <c r="I3" i="5" s="1"/>
  <c r="E4" i="5"/>
  <c r="I4" i="5" s="1"/>
  <c r="E2" i="5"/>
  <c r="I2" i="5" s="1"/>
  <c r="D2" i="3"/>
  <c r="G2" i="3"/>
  <c r="L2" i="3" s="1"/>
  <c r="F3" i="4"/>
  <c r="F4" i="4"/>
  <c r="F2" i="4"/>
  <c r="N2" i="3"/>
  <c r="H4" i="4"/>
  <c r="H3" i="4"/>
  <c r="E3" i="4"/>
  <c r="G3" i="4" s="1"/>
  <c r="I3" i="4" s="1"/>
  <c r="K3" i="4" s="1"/>
  <c r="E4" i="4"/>
  <c r="E2" i="4"/>
  <c r="K2" i="3"/>
  <c r="D3" i="2"/>
  <c r="D4" i="2"/>
  <c r="D2" i="2"/>
  <c r="E3" i="2"/>
  <c r="G3" i="2" s="1"/>
  <c r="H3" i="2" s="1"/>
  <c r="I3" i="2" s="1"/>
  <c r="E4" i="2"/>
  <c r="G4" i="2" s="1"/>
  <c r="E2" i="2"/>
  <c r="G2" i="2" s="1"/>
  <c r="H4" i="5" l="1"/>
  <c r="K6" i="2"/>
  <c r="J3" i="2"/>
  <c r="G2" i="4"/>
  <c r="G4" i="4"/>
  <c r="I4" i="4" s="1"/>
  <c r="K4" i="4" s="1"/>
  <c r="H2" i="5"/>
  <c r="I2" i="4"/>
  <c r="K2" i="4" s="1"/>
  <c r="M2" i="3"/>
  <c r="O2" i="3" s="1"/>
  <c r="H4" i="2"/>
  <c r="I4" i="2" s="1"/>
  <c r="H2" i="2"/>
  <c r="I2" i="2" s="1"/>
  <c r="F3" i="1"/>
  <c r="G3" i="1" s="1"/>
  <c r="F4" i="1"/>
  <c r="G4" i="1" s="1"/>
  <c r="F2" i="1"/>
  <c r="G2" i="1" s="1"/>
  <c r="J4" i="2" l="1"/>
  <c r="K8" i="2"/>
  <c r="K7" i="2"/>
  <c r="J2" i="2"/>
  <c r="K5" i="2"/>
</calcChain>
</file>

<file path=xl/sharedStrings.xml><?xml version="1.0" encoding="utf-8"?>
<sst xmlns="http://schemas.openxmlformats.org/spreadsheetml/2006/main" count="71" uniqueCount="61">
  <si>
    <t>Soluções</t>
  </si>
  <si>
    <t>IBGE</t>
  </si>
  <si>
    <t>Zeta Residual (m)</t>
  </si>
  <si>
    <t>Zeta XGM2019 - zero tide (m)</t>
  </si>
  <si>
    <t>Zeta Earth2014 + ERTM (m)</t>
  </si>
  <si>
    <t>T0 IHRS  (m)</t>
  </si>
  <si>
    <t>Residuo IBGE (m)</t>
  </si>
  <si>
    <t>Zeta Final (m)</t>
  </si>
  <si>
    <t>Latitude PPTE</t>
  </si>
  <si>
    <t>Gamma_elip (mgal)</t>
  </si>
  <si>
    <t>HN PPTE (m)</t>
  </si>
  <si>
    <t>Gamma_tel (mgal) - mean tide</t>
  </si>
  <si>
    <t>Gamma_tel (mgal) - zero tide</t>
  </si>
  <si>
    <t>Latitude Geocêntrica PPTE</t>
  </si>
  <si>
    <t>T - zero tide</t>
  </si>
  <si>
    <t>a</t>
  </si>
  <si>
    <t>a (m)</t>
  </si>
  <si>
    <t>b (m)</t>
  </si>
  <si>
    <t>gm (m³/s²)</t>
  </si>
  <si>
    <t>w (rad/s)</t>
  </si>
  <si>
    <t>U</t>
  </si>
  <si>
    <t>E</t>
  </si>
  <si>
    <t>q</t>
  </si>
  <si>
    <t>qo</t>
  </si>
  <si>
    <t>u</t>
  </si>
  <si>
    <t>r</t>
  </si>
  <si>
    <t>X PPTE</t>
  </si>
  <si>
    <t>Y PPTE</t>
  </si>
  <si>
    <t>Z PPTE</t>
  </si>
  <si>
    <t>U_P</t>
  </si>
  <si>
    <t>Wo IHRS (m2/s2)</t>
  </si>
  <si>
    <t>W (m2/s2) - zero tide</t>
  </si>
  <si>
    <t>W (m2/s2) - mean tide</t>
  </si>
  <si>
    <t>Wto</t>
  </si>
  <si>
    <t>PPTE</t>
  </si>
  <si>
    <t>h</t>
  </si>
  <si>
    <t>lat</t>
  </si>
  <si>
    <t>Delta W ITRF</t>
  </si>
  <si>
    <t>Wprov (m2/s2)</t>
  </si>
  <si>
    <t>Valéria nmax100 com rtm</t>
  </si>
  <si>
    <t>Valéria nmax200 com rtm</t>
  </si>
  <si>
    <t>Valéria nmax100 sem rtm</t>
  </si>
  <si>
    <t>Valéria nmax200 sem rtm</t>
  </si>
  <si>
    <t>Latitude Reduzida</t>
  </si>
  <si>
    <t>go100, wg100, ri200</t>
  </si>
  <si>
    <t>GO200, WG200, ri100</t>
  </si>
  <si>
    <t>Gamma_tel (m/s2) - Zero Tide</t>
  </si>
  <si>
    <t>T - zero tide (m2/s2)</t>
  </si>
  <si>
    <t>Latitude Geodésica PPTE</t>
  </si>
  <si>
    <t>CP - mean tide</t>
  </si>
  <si>
    <t>CP_IBGE</t>
  </si>
  <si>
    <t>HN IBGE</t>
  </si>
  <si>
    <t>Gamma_Elip</t>
  </si>
  <si>
    <t>Constantes elip</t>
  </si>
  <si>
    <t>f</t>
  </si>
  <si>
    <t>m</t>
  </si>
  <si>
    <t>HN</t>
  </si>
  <si>
    <t>Go100, WG210, RI 220</t>
  </si>
  <si>
    <t>Separacao IHRS (SANCHEZ)</t>
  </si>
  <si>
    <t>Diferença HN s/ termo separação</t>
  </si>
  <si>
    <t>Diferença HN c/ termo separação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</si>
</sst>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000E+00"/>
    <numFmt numFmtId="166" formatCode="0.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"/>
  <sheetViews>
    <sheetView workbookViewId="0">
      <selection activeCell="F12" sqref="F12"/>
    </sheetView>
  </sheetViews>
  <sheetFormatPr defaultRowHeight="15" x14ac:dyDescent="0.25"/>
  <cols>
    <col min="1" max="1" width="8.28515625" bestFit="1" customWidth="1"/>
    <col min="2" max="2" width="19.42578125" bestFit="1" customWidth="1"/>
    <col min="3" max="3" width="25" bestFit="1" customWidth="1"/>
    <col min="4" max="4" width="23.42578125" bestFit="1" customWidth="1"/>
    <col min="5" max="5" width="12" bestFit="1" customWidth="1"/>
    <col min="6" max="6" width="13.28515625" bestFit="1" customWidth="1"/>
    <col min="7" max="7" width="15.7109375" bestFit="1" customWidth="1"/>
    <col min="8" max="8" width="17.140625" bestFit="1" customWidth="1"/>
  </cols>
  <sheetData>
    <row r="1" spans="1:7" x14ac:dyDescent="0.25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7</v>
      </c>
      <c r="G1" t="s">
        <v>6</v>
      </c>
    </row>
    <row r="2" spans="1:7" x14ac:dyDescent="0.25">
      <c r="A2">
        <v>1</v>
      </c>
      <c r="B2">
        <v>0.33007602534251401</v>
      </c>
      <c r="C2">
        <v>-6.0875268049700004</v>
      </c>
      <c r="D2">
        <v>-9.4763997968700005E-4</v>
      </c>
      <c r="E2">
        <v>0.76126791835653596</v>
      </c>
      <c r="F2">
        <f>B2+C2+D2+E2</f>
        <v>-4.9971305012506377</v>
      </c>
      <c r="G2">
        <f>F2-$F$5</f>
        <v>0.36133020042041153</v>
      </c>
    </row>
    <row r="3" spans="1:7" x14ac:dyDescent="0.25">
      <c r="A3">
        <v>2</v>
      </c>
      <c r="B3">
        <v>4.84834116791849E-2</v>
      </c>
      <c r="C3">
        <v>-5.6954505446360004</v>
      </c>
      <c r="D3">
        <v>-9.4763997968700005E-4</v>
      </c>
      <c r="E3">
        <v>0.76126791835653596</v>
      </c>
      <c r="F3">
        <f t="shared" ref="F3:F4" si="0">B3+C3+D3+E3</f>
        <v>-4.8866468545799666</v>
      </c>
      <c r="G3">
        <f t="shared" ref="G3:G4" si="1">F3-$F$5</f>
        <v>0.47181384709108265</v>
      </c>
    </row>
    <row r="4" spans="1:7" x14ac:dyDescent="0.25">
      <c r="A4">
        <v>3</v>
      </c>
      <c r="B4">
        <v>8.9620891505426507E-3</v>
      </c>
      <c r="C4">
        <v>-6.0875268049700004</v>
      </c>
      <c r="D4">
        <v>-9.4763997968700005E-4</v>
      </c>
      <c r="E4">
        <v>0.76126791835653596</v>
      </c>
      <c r="F4">
        <f t="shared" si="0"/>
        <v>-5.3182444374426092</v>
      </c>
      <c r="G4">
        <f t="shared" si="1"/>
        <v>4.0216264228440046E-2</v>
      </c>
    </row>
    <row r="5" spans="1:7" x14ac:dyDescent="0.25">
      <c r="A5" t="s">
        <v>1</v>
      </c>
      <c r="F5" s="3">
        <v>-5.3584607016710493</v>
      </c>
    </row>
    <row r="6" spans="1:7" x14ac:dyDescent="0.25">
      <c r="A6">
        <v>1</v>
      </c>
      <c r="B6" t="s">
        <v>44</v>
      </c>
    </row>
    <row r="7" spans="1:7" x14ac:dyDescent="0.25">
      <c r="A7">
        <v>2</v>
      </c>
      <c r="B7" t="s">
        <v>45</v>
      </c>
    </row>
    <row r="8" spans="1:7" x14ac:dyDescent="0.25">
      <c r="A8">
        <v>3</v>
      </c>
      <c r="B8" t="s">
        <v>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811B84-3083-4466-9C4B-64B63F5AE992}">
  <dimension ref="A1:K9"/>
  <sheetViews>
    <sheetView workbookViewId="0">
      <selection activeCell="G13" sqref="G13"/>
    </sheetView>
  </sheetViews>
  <sheetFormatPr defaultRowHeight="15" x14ac:dyDescent="0.25"/>
  <cols>
    <col min="2" max="2" width="12.85546875" bestFit="1" customWidth="1"/>
    <col min="3" max="3" width="12.7109375" bestFit="1" customWidth="1"/>
    <col min="4" max="4" width="23.7109375" bestFit="1" customWidth="1"/>
    <col min="5" max="5" width="18" bestFit="1" customWidth="1"/>
    <col min="6" max="6" width="11.7109375" bestFit="1" customWidth="1"/>
    <col min="7" max="7" width="27.7109375" bestFit="1" customWidth="1"/>
    <col min="8" max="8" width="26.5703125" bestFit="1" customWidth="1"/>
    <col min="9" max="9" width="28.28515625" bestFit="1" customWidth="1"/>
    <col min="10" max="10" width="18.42578125" bestFit="1" customWidth="1"/>
  </cols>
  <sheetData>
    <row r="1" spans="1:11" x14ac:dyDescent="0.25">
      <c r="A1" t="s">
        <v>0</v>
      </c>
      <c r="B1" t="s">
        <v>7</v>
      </c>
      <c r="C1" t="s">
        <v>8</v>
      </c>
      <c r="D1" t="s">
        <v>13</v>
      </c>
      <c r="E1" t="s">
        <v>9</v>
      </c>
      <c r="F1" t="s">
        <v>10</v>
      </c>
      <c r="G1" t="s">
        <v>11</v>
      </c>
      <c r="H1" t="s">
        <v>12</v>
      </c>
      <c r="I1" t="s">
        <v>46</v>
      </c>
      <c r="J1" t="s">
        <v>47</v>
      </c>
    </row>
    <row r="2" spans="1:11" x14ac:dyDescent="0.25">
      <c r="A2">
        <v>1</v>
      </c>
      <c r="B2">
        <v>-4.9971305012506377</v>
      </c>
      <c r="C2">
        <v>-22.119904741666701</v>
      </c>
      <c r="D2">
        <f>ATAN(0.993305619977094*TAN(C2*PI()/180))*180/PI()</f>
        <v>-21.985980144905025</v>
      </c>
      <c r="E2">
        <f>(9.7803267715*(1+0.0052790414*(SIN(C2*PI()/180))^2+ 0.0000232718*(SIN(C2*PI()/180))^4+ 0.0000001262*(SIN(C2*PI()/180))^6+ 0.0000000007*(SIN(C2*PI()/180))^8))*10^5</f>
        <v>978765.19188195013</v>
      </c>
      <c r="F2">
        <v>436.3673</v>
      </c>
      <c r="G2">
        <f>E2*(1-2*F2*(1+0.00335281068118-2*0.00335281068118*(SIN(C2*PI()/180))*(SIN(C2*PI()/180))+0.00344978600308)/6378137+(3*F2^2)/6378137^2)</f>
        <v>978630.49530360417</v>
      </c>
      <c r="H2">
        <f>G2+(30.4-91.2*(SIN(D2*PI()/180))^2)*0.001</f>
        <v>978630.51292099711</v>
      </c>
      <c r="I2">
        <f>H2/100000</f>
        <v>9.7863051292099712</v>
      </c>
      <c r="J2">
        <f>B2*I2</f>
        <v>-48.90344385572071</v>
      </c>
    </row>
    <row r="3" spans="1:11" x14ac:dyDescent="0.25">
      <c r="A3">
        <v>2</v>
      </c>
      <c r="B3">
        <v>-4.8866468545799666</v>
      </c>
      <c r="C3">
        <v>-22.119904741666701</v>
      </c>
      <c r="D3">
        <f t="shared" ref="D3:D4" si="0">ATAN(0.993305619977094*TAN(C3*PI()/180))*180/PI()</f>
        <v>-21.985980144905025</v>
      </c>
      <c r="E3">
        <f t="shared" ref="E3:E4" si="1">(9.7803267715*(1+0.0052790414*(SIN(C3*PI()/180))^2+ 0.0000232718*(SIN(C3*PI()/180))^4+ 0.0000001262*(SIN(C3*PI()/180))^6+ 0.0000000007*(SIN(C3*PI()/180))^8))*10^5</f>
        <v>978765.19188195013</v>
      </c>
      <c r="F3">
        <v>436.3673</v>
      </c>
      <c r="G3">
        <f t="shared" ref="G3:G4" si="2">E3*(1-2*F3*(1+0.00335281068118-2*0.00335281068118*(SIN(C3*PI()/180))*(SIN(C3*PI()/180))+0.00344978600308)/6378137+(3*F3^2)/6378137^2)</f>
        <v>978630.49530360417</v>
      </c>
      <c r="H3">
        <f>G3+(30.4-91.2*(SIN(D3*PI()/180))^2)*0.001</f>
        <v>978630.51292099711</v>
      </c>
      <c r="I3">
        <f t="shared" ref="I3:I4" si="3">H3/100000</f>
        <v>9.7863051292099712</v>
      </c>
      <c r="J3">
        <f t="shared" ref="J3:J4" si="4">B3*I3</f>
        <v>-47.822217177613702</v>
      </c>
    </row>
    <row r="4" spans="1:11" x14ac:dyDescent="0.25">
      <c r="A4">
        <v>3</v>
      </c>
      <c r="B4">
        <v>-5.3182444374426092</v>
      </c>
      <c r="C4">
        <v>-22.119904741666701</v>
      </c>
      <c r="D4">
        <f t="shared" si="0"/>
        <v>-21.985980144905025</v>
      </c>
      <c r="E4">
        <f t="shared" si="1"/>
        <v>978765.19188195013</v>
      </c>
      <c r="F4">
        <v>436.3673</v>
      </c>
      <c r="G4">
        <f t="shared" si="2"/>
        <v>978630.49530360417</v>
      </c>
      <c r="H4">
        <f>G4+(30.4-91.2*(SIN(D4*PI()/180))^2)*0.001</f>
        <v>978630.51292099711</v>
      </c>
      <c r="I4">
        <f t="shared" si="3"/>
        <v>9.7863051292099712</v>
      </c>
      <c r="J4">
        <f t="shared" si="4"/>
        <v>-52.045962816537006</v>
      </c>
    </row>
    <row r="5" spans="1:11" x14ac:dyDescent="0.25">
      <c r="I5" t="s">
        <v>39</v>
      </c>
      <c r="J5">
        <v>-52.05</v>
      </c>
      <c r="K5">
        <f>J5/I2</f>
        <v>-5.3186569714285916</v>
      </c>
    </row>
    <row r="6" spans="1:11" x14ac:dyDescent="0.25">
      <c r="B6">
        <v>-5.3186569714285916</v>
      </c>
      <c r="C6">
        <v>-5.3183000000000202</v>
      </c>
      <c r="I6" t="s">
        <v>40</v>
      </c>
      <c r="J6">
        <v>-47.04</v>
      </c>
      <c r="K6">
        <f t="shared" ref="K6:K7" si="5">J6/I3</f>
        <v>-4.8067170785014595</v>
      </c>
    </row>
    <row r="7" spans="1:11" x14ac:dyDescent="0.25">
      <c r="B7">
        <v>-4.8067170785014595</v>
      </c>
      <c r="I7" t="s">
        <v>41</v>
      </c>
      <c r="J7">
        <v>-51.31</v>
      </c>
      <c r="K7">
        <f t="shared" si="5"/>
        <v>-5.2430410990201937</v>
      </c>
    </row>
    <row r="8" spans="1:11" x14ac:dyDescent="0.25">
      <c r="B8">
        <v>-5.2430410990201937</v>
      </c>
      <c r="I8" t="s">
        <v>42</v>
      </c>
      <c r="J8">
        <v>-47.03</v>
      </c>
      <c r="K8">
        <f>J8/I4</f>
        <v>-4.8056952423878325</v>
      </c>
    </row>
    <row r="9" spans="1:11" x14ac:dyDescent="0.25">
      <c r="B9">
        <v>-4.8056952423878325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28B66-1A4C-4786-9439-1F481121ED2D}">
  <dimension ref="A1:O7"/>
  <sheetViews>
    <sheetView workbookViewId="0">
      <selection activeCell="F13" sqref="F13"/>
    </sheetView>
  </sheetViews>
  <sheetFormatPr defaultRowHeight="15" x14ac:dyDescent="0.25"/>
  <cols>
    <col min="1" max="1" width="9" bestFit="1" customWidth="1"/>
    <col min="2" max="2" width="12.5703125" bestFit="1" customWidth="1"/>
    <col min="3" max="3" width="18.7109375" bestFit="1" customWidth="1"/>
    <col min="4" max="4" width="13.5703125" bestFit="1" customWidth="1"/>
    <col min="5" max="5" width="13.5703125" customWidth="1"/>
    <col min="6" max="6" width="23.42578125" bestFit="1" customWidth="1"/>
    <col min="7" max="11" width="23.42578125" customWidth="1"/>
    <col min="12" max="14" width="13.5703125" customWidth="1"/>
    <col min="15" max="15" width="12.5703125" bestFit="1" customWidth="1"/>
  </cols>
  <sheetData>
    <row r="1" spans="1:15" x14ac:dyDescent="0.25">
      <c r="A1" t="s">
        <v>16</v>
      </c>
      <c r="B1" t="s">
        <v>17</v>
      </c>
      <c r="C1" t="s">
        <v>18</v>
      </c>
      <c r="D1" t="s">
        <v>19</v>
      </c>
      <c r="E1" t="s">
        <v>21</v>
      </c>
      <c r="F1" t="s">
        <v>48</v>
      </c>
      <c r="G1" t="s">
        <v>43</v>
      </c>
      <c r="H1" t="s">
        <v>26</v>
      </c>
      <c r="I1" t="s">
        <v>27</v>
      </c>
      <c r="J1" t="s">
        <v>28</v>
      </c>
      <c r="K1" t="s">
        <v>25</v>
      </c>
      <c r="L1" t="s">
        <v>24</v>
      </c>
      <c r="M1" t="s">
        <v>22</v>
      </c>
      <c r="N1" t="s">
        <v>23</v>
      </c>
      <c r="O1" t="s">
        <v>20</v>
      </c>
    </row>
    <row r="2" spans="1:15" x14ac:dyDescent="0.25">
      <c r="A2">
        <v>6378137</v>
      </c>
      <c r="B2" s="3">
        <v>6356752.3141000001</v>
      </c>
      <c r="C2" s="4">
        <v>398600500000000</v>
      </c>
      <c r="D2" s="4">
        <f>0.00007292115</f>
        <v>7.2921149999999999E-5</v>
      </c>
      <c r="E2">
        <v>521854.0097</v>
      </c>
      <c r="F2">
        <v>-22.119904741666701</v>
      </c>
      <c r="G2">
        <f>(ATAN((B2/A2)*TAN(F2*PI()/180)))*180/PI()</f>
        <v>-22.052861701728293</v>
      </c>
      <c r="H2" s="3">
        <v>3687624.3673999999</v>
      </c>
      <c r="I2" s="3">
        <v>-4620818.6826999998</v>
      </c>
      <c r="J2" s="3">
        <v>-2386880.3805</v>
      </c>
      <c r="K2">
        <f>SQRT(H2^2 + I2^2 + J2^2)</f>
        <v>6375557.7578943977</v>
      </c>
      <c r="L2">
        <f>SQRT(K2^2-E2^2*(COS(G2*PI()/180)^2))</f>
        <v>6357184.6081617502</v>
      </c>
      <c r="M2">
        <f>0.5*((1 + 3*(L2^2/E2^2))*(ATAN(E2/L2))-3*L2/E2)</f>
        <v>7.3331353899419582E-5</v>
      </c>
      <c r="N2">
        <f>0.5*((1 + 3*(B2^2/E2^2))*(ATAN(E2/B2))-3*B2/E2)</f>
        <v>7.3346258414375143E-5</v>
      </c>
      <c r="O2" s="2">
        <f>(C2/E2) * (ATAN(E2/L2)) + 0.5*(D2^2)*(A2^2)*(M2/N2)*((SIN(G2*PI()/180)^2)-1/3) + 0.5*D2^2*(L2^2 + E2^2)*(COS(G2*PI()/180)^2)</f>
        <v>62632642.176079802</v>
      </c>
    </row>
    <row r="3" spans="1:15" x14ac:dyDescent="0.25">
      <c r="A3">
        <v>6378137</v>
      </c>
      <c r="B3" s="3"/>
      <c r="C3" s="4"/>
      <c r="D3" s="4"/>
      <c r="G3">
        <v>0</v>
      </c>
      <c r="O3" s="2"/>
    </row>
    <row r="4" spans="1:15" x14ac:dyDescent="0.25">
      <c r="O4" s="4"/>
    </row>
    <row r="7" spans="1:15" x14ac:dyDescent="0.25">
      <c r="C7" s="1"/>
      <c r="D7" s="1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F6016-A108-469A-A698-9198EC6DB50C}">
  <dimension ref="A1:K12"/>
  <sheetViews>
    <sheetView workbookViewId="0">
      <selection activeCell="K4" sqref="K4"/>
    </sheetView>
  </sheetViews>
  <sheetFormatPr defaultRowHeight="15" x14ac:dyDescent="0.25"/>
  <cols>
    <col min="2" max="2" width="12.85546875" bestFit="1" customWidth="1"/>
    <col min="3" max="3" width="12.7109375" bestFit="1" customWidth="1"/>
    <col min="4" max="4" width="12.5703125" bestFit="1" customWidth="1"/>
    <col min="5" max="5" width="23.28515625" bestFit="1" customWidth="1"/>
    <col min="6" max="9" width="20" customWidth="1"/>
    <col min="10" max="10" width="15.42578125" bestFit="1" customWidth="1"/>
    <col min="11" max="11" width="13.5703125" bestFit="1" customWidth="1"/>
  </cols>
  <sheetData>
    <row r="1" spans="1:11" x14ac:dyDescent="0.25">
      <c r="A1" t="s">
        <v>0</v>
      </c>
      <c r="B1" t="s">
        <v>7</v>
      </c>
      <c r="C1" t="s">
        <v>14</v>
      </c>
      <c r="D1" t="s">
        <v>29</v>
      </c>
      <c r="E1" t="s">
        <v>38</v>
      </c>
      <c r="F1" t="s">
        <v>37</v>
      </c>
      <c r="G1" t="s">
        <v>31</v>
      </c>
      <c r="H1" t="s">
        <v>33</v>
      </c>
      <c r="I1" t="s">
        <v>32</v>
      </c>
      <c r="J1" t="s">
        <v>30</v>
      </c>
      <c r="K1" t="s">
        <v>49</v>
      </c>
    </row>
    <row r="2" spans="1:11" x14ac:dyDescent="0.25">
      <c r="A2">
        <v>1</v>
      </c>
      <c r="B2">
        <v>-4.9971305012506377</v>
      </c>
      <c r="C2">
        <v>-48.90344385572071</v>
      </c>
      <c r="D2" s="2">
        <v>62632642.176079802</v>
      </c>
      <c r="E2" s="2">
        <f>C2+D2</f>
        <v>62632593.272635944</v>
      </c>
      <c r="F2" s="2">
        <f>-0.5901 + 1.7475 * SIN($B$12*PI()/180)^2 + 0.0273*SIN($B$12*PI()/180)^4</f>
        <v>-0.34177842538521674</v>
      </c>
      <c r="G2" s="2">
        <f>E2+F2</f>
        <v>62632592.930857517</v>
      </c>
      <c r="H2">
        <f>(1 + 2*B10/B11) * (0.9722 - 2.8841 * (SIN(B12*PI()/180))^2 - 0.0195 * (SIN(B12*PI()/180))^4)</f>
        <v>0.56295623289266594</v>
      </c>
      <c r="I2" s="2">
        <f>G2+H2</f>
        <v>62632593.493813753</v>
      </c>
      <c r="J2">
        <v>62636853.399999999</v>
      </c>
      <c r="K2" s="2">
        <f>J2-I2</f>
        <v>4259.9061862453818</v>
      </c>
    </row>
    <row r="3" spans="1:11" x14ac:dyDescent="0.25">
      <c r="A3">
        <v>2</v>
      </c>
      <c r="B3">
        <v>-4.8866468545799666</v>
      </c>
      <c r="C3">
        <v>-47.822217177613702</v>
      </c>
      <c r="D3" s="2">
        <v>62632642.176079802</v>
      </c>
      <c r="E3" s="2">
        <f t="shared" ref="E3:E4" si="0">C3+D3</f>
        <v>62632594.353862621</v>
      </c>
      <c r="F3" s="2">
        <f t="shared" ref="F3:F4" si="1">-0.5901 + 1.7475 * SIN($B$12*PI()/180)^2 + 0.0273*SIN($B$12*PI()/180)^4</f>
        <v>-0.34177842538521674</v>
      </c>
      <c r="G3" s="2">
        <f t="shared" ref="G3:G4" si="2">E3+F3</f>
        <v>62632594.012084194</v>
      </c>
      <c r="H3" s="5">
        <f>(1 + 2*B10/B11) * (0.9722 - 2.8841 * (SIN(B12*PI()/180))^2 - 0.0195 * (SIN(B12*PI()/180))^4)</f>
        <v>0.56295623289266594</v>
      </c>
      <c r="I3" s="2">
        <f t="shared" ref="I3:I4" si="3">G3+H3</f>
        <v>62632594.57504043</v>
      </c>
      <c r="J3">
        <v>62636853.399999999</v>
      </c>
      <c r="K3" s="2">
        <f t="shared" ref="K3:K4" si="4">J3-I3</f>
        <v>4258.8249595686793</v>
      </c>
    </row>
    <row r="4" spans="1:11" x14ac:dyDescent="0.25">
      <c r="A4">
        <v>3</v>
      </c>
      <c r="B4">
        <v>-5.3182444374426092</v>
      </c>
      <c r="C4">
        <v>-52.045962816537006</v>
      </c>
      <c r="D4" s="2">
        <v>62632642.176079802</v>
      </c>
      <c r="E4" s="2">
        <f t="shared" si="0"/>
        <v>62632590.130116984</v>
      </c>
      <c r="F4" s="2">
        <f t="shared" si="1"/>
        <v>-0.34177842538521674</v>
      </c>
      <c r="G4" s="2">
        <f t="shared" si="2"/>
        <v>62632589.788338557</v>
      </c>
      <c r="H4" s="5">
        <f>(1 + 2*B10/B11) * (0.9722 - 2.8841 * (SIN(B12*PI()/180))^2 - 0.0195 * (SIN(B12*PI()/180))^4)</f>
        <v>0.56295623289266594</v>
      </c>
      <c r="I4" s="2">
        <f t="shared" si="3"/>
        <v>62632590.351294793</v>
      </c>
      <c r="J4">
        <v>62636853.399999999</v>
      </c>
      <c r="K4" s="2">
        <f t="shared" si="4"/>
        <v>4263.0487052053213</v>
      </c>
    </row>
    <row r="5" spans="1:11" x14ac:dyDescent="0.25">
      <c r="J5" t="s">
        <v>50</v>
      </c>
      <c r="K5" s="2">
        <v>4270.7169999999996</v>
      </c>
    </row>
    <row r="9" spans="1:11" x14ac:dyDescent="0.25">
      <c r="A9" t="s">
        <v>34</v>
      </c>
    </row>
    <row r="10" spans="1:11" x14ac:dyDescent="0.25">
      <c r="A10" t="s">
        <v>35</v>
      </c>
      <c r="B10">
        <v>431.04899999999998</v>
      </c>
    </row>
    <row r="11" spans="1:11" x14ac:dyDescent="0.25">
      <c r="A11" t="s">
        <v>15</v>
      </c>
      <c r="B11">
        <v>6378137</v>
      </c>
    </row>
    <row r="12" spans="1:11" x14ac:dyDescent="0.25">
      <c r="A12" t="s">
        <v>36</v>
      </c>
      <c r="B12">
        <v>-22.119904741666701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96E25-1626-48E6-8ACB-A5B824C85C04}">
  <dimension ref="A1:I11"/>
  <sheetViews>
    <sheetView tabSelected="1" workbookViewId="0">
      <selection activeCell="D10" sqref="D10"/>
    </sheetView>
  </sheetViews>
  <sheetFormatPr defaultRowHeight="15" x14ac:dyDescent="0.25"/>
  <cols>
    <col min="1" max="1" width="14.42578125" bestFit="1" customWidth="1"/>
    <col min="2" max="2" width="13.5703125" bestFit="1" customWidth="1"/>
    <col min="4" max="4" width="11.7109375" bestFit="1" customWidth="1"/>
    <col min="7" max="7" width="23.28515625" bestFit="1" customWidth="1"/>
    <col min="8" max="9" width="28.7109375" bestFit="1" customWidth="1"/>
  </cols>
  <sheetData>
    <row r="1" spans="1:9" x14ac:dyDescent="0.25">
      <c r="A1" t="s">
        <v>0</v>
      </c>
      <c r="B1" t="s">
        <v>49</v>
      </c>
      <c r="C1" t="s">
        <v>51</v>
      </c>
      <c r="D1" t="s">
        <v>52</v>
      </c>
      <c r="E1" t="s">
        <v>56</v>
      </c>
      <c r="F1" t="s">
        <v>51</v>
      </c>
      <c r="G1" t="s">
        <v>58</v>
      </c>
      <c r="H1" t="s">
        <v>59</v>
      </c>
      <c r="I1" t="s">
        <v>60</v>
      </c>
    </row>
    <row r="2" spans="1:9" x14ac:dyDescent="0.25">
      <c r="A2">
        <v>1</v>
      </c>
      <c r="B2">
        <v>4259.9061862453818</v>
      </c>
      <c r="C2">
        <v>436.3673</v>
      </c>
      <c r="D2">
        <v>9.7876519188195008</v>
      </c>
      <c r="E2">
        <f xml:space="preserve"> (B2 / D2) * (1 + (1 + $B$8 + $B$9 - 2 * $B$8 * SIN($B$10 * PI() / 180)^2) * (B2 / ($B$11 * D2)) + (B2 / ($B$11 * D2))^2)</f>
        <v>435.2625768550505</v>
      </c>
      <c r="F2">
        <f xml:space="preserve"> (B5 / D5) * (1 + (1 + $B$8 + $B$9 - 2 * $B$8 * SIN($B$10 * PI() / 180)^2) * (B5 / ($B$11 * D5)) + (B5 / ($B$11 * D5))^2)</f>
        <v>436.36726467334029</v>
      </c>
      <c r="G2">
        <v>0.38700000000000001</v>
      </c>
      <c r="H2">
        <f>F2-E2</f>
        <v>1.1046878182897899</v>
      </c>
      <c r="I2">
        <f>(F2-G2)-E2</f>
        <v>0.71768781828978945</v>
      </c>
    </row>
    <row r="3" spans="1:9" x14ac:dyDescent="0.25">
      <c r="A3">
        <v>2</v>
      </c>
      <c r="B3">
        <v>4258.8249595686793</v>
      </c>
      <c r="C3">
        <v>436.3673</v>
      </c>
      <c r="D3">
        <v>9.7876519188195008</v>
      </c>
      <c r="E3">
        <f t="shared" ref="E3:E4" si="0" xml:space="preserve"> (B3 / D3) * (1 + (1 + $B$8 + $B$9 - 2 * $B$8 * SIN($B$10 * PI() / 180)^2) * (B3 / ($B$11 * D3)) + (B3 / ($B$11 * D3))^2)</f>
        <v>435.15209324698952</v>
      </c>
      <c r="F3">
        <v>436.36726467334029</v>
      </c>
      <c r="G3">
        <v>0.38700000000000001</v>
      </c>
      <c r="H3">
        <f t="shared" ref="H3:H4" si="1">F3-E3</f>
        <v>1.2151714263507642</v>
      </c>
      <c r="I3">
        <f t="shared" ref="I3:I4" si="2">(F3-G3)-E3</f>
        <v>0.8281714263507638</v>
      </c>
    </row>
    <row r="4" spans="1:9" x14ac:dyDescent="0.25">
      <c r="A4">
        <v>3</v>
      </c>
      <c r="B4">
        <v>4263.0487052053213</v>
      </c>
      <c r="C4">
        <v>436.3673</v>
      </c>
      <c r="D4">
        <v>9.7876519188195008</v>
      </c>
      <c r="E4">
        <f t="shared" si="0"/>
        <v>435.58369070120824</v>
      </c>
      <c r="F4">
        <v>436.36726467334029</v>
      </c>
      <c r="G4">
        <v>0.38700000000000001</v>
      </c>
      <c r="H4">
        <f t="shared" si="1"/>
        <v>0.78357397213204649</v>
      </c>
      <c r="I4">
        <f t="shared" si="2"/>
        <v>0.39657397213204604</v>
      </c>
    </row>
    <row r="5" spans="1:9" x14ac:dyDescent="0.25">
      <c r="A5" t="s">
        <v>1</v>
      </c>
      <c r="B5" s="2">
        <v>4270.7169999999996</v>
      </c>
      <c r="C5">
        <v>436.3673</v>
      </c>
      <c r="D5">
        <v>9.7876519188195008</v>
      </c>
    </row>
    <row r="7" spans="1:9" x14ac:dyDescent="0.25">
      <c r="A7" t="s">
        <v>53</v>
      </c>
    </row>
    <row r="8" spans="1:9" x14ac:dyDescent="0.25">
      <c r="A8" t="s">
        <v>54</v>
      </c>
      <c r="B8">
        <v>3.3528106811799999E-3</v>
      </c>
    </row>
    <row r="9" spans="1:9" x14ac:dyDescent="0.25">
      <c r="A9" t="s">
        <v>55</v>
      </c>
      <c r="B9">
        <v>3.4497860030800001E-3</v>
      </c>
    </row>
    <row r="10" spans="1:9" x14ac:dyDescent="0.25">
      <c r="A10" t="s">
        <v>36</v>
      </c>
      <c r="B10">
        <v>-22.119904741666701</v>
      </c>
    </row>
    <row r="11" spans="1:9" x14ac:dyDescent="0.25">
      <c r="A11" t="s">
        <v>15</v>
      </c>
      <c r="B11">
        <v>6378137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Zeta</vt:lpstr>
      <vt:lpstr>T</vt:lpstr>
      <vt:lpstr>U_P</vt:lpstr>
      <vt:lpstr>W</vt:lpstr>
      <vt:lpstr>Hn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Thiago</dc:creator>
  <cp:lastModifiedBy>User</cp:lastModifiedBy>
  <dcterms:created xsi:type="dcterms:W3CDTF">2015-06-05T18:19:34Z</dcterms:created>
  <dcterms:modified xsi:type="dcterms:W3CDTF">2025-03-28T20:13:18Z</dcterms:modified>
</cp:coreProperties>
</file>