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iven\Desktop\"/>
    </mc:Choice>
  </mc:AlternateContent>
  <xr:revisionPtr revIDLastSave="0" documentId="13_ncr:1_{17C2A2A7-ADF1-4C05-B431-68215421FA59}" xr6:coauthVersionLast="47" xr6:coauthVersionMax="47" xr10:uidLastSave="{00000000-0000-0000-0000-000000000000}"/>
  <bookViews>
    <workbookView xWindow="-120" yWindow="-120" windowWidth="29040" windowHeight="16440" xr2:uid="{D83EDFBE-5820-493F-8939-6350A9D5CBE9}"/>
  </bookViews>
  <sheets>
    <sheet name="Catalogo completo" sheetId="3" r:id="rId1"/>
    <sheet name="Entrada-Salida" sheetId="4" r:id="rId2"/>
    <sheet name="Inventario" sheetId="1" r:id="rId3"/>
    <sheet name="Proveedor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13" i="3"/>
  <c r="M14" i="3"/>
  <c r="M15" i="3"/>
  <c r="M16" i="3"/>
  <c r="C14" i="3"/>
  <c r="C10" i="3"/>
  <c r="C6" i="3"/>
  <c r="C8" i="3"/>
  <c r="E7" i="3"/>
  <c r="E8" i="3"/>
  <c r="E9" i="3"/>
  <c r="E10" i="3"/>
  <c r="E11" i="3"/>
  <c r="E12" i="3"/>
  <c r="E13" i="3"/>
  <c r="E14" i="3"/>
  <c r="E15" i="3"/>
  <c r="E16" i="3"/>
  <c r="D7" i="3"/>
  <c r="O7" i="3" s="1"/>
  <c r="D8" i="3"/>
  <c r="O8" i="3" s="1"/>
  <c r="D9" i="3"/>
  <c r="O9" i="3" s="1"/>
  <c r="D10" i="3"/>
  <c r="O10" i="3" s="1"/>
  <c r="D11" i="3"/>
  <c r="O11" i="3" s="1"/>
  <c r="D12" i="3"/>
  <c r="O12" i="3" s="1"/>
  <c r="D13" i="3"/>
  <c r="O13" i="3" s="1"/>
  <c r="D14" i="3"/>
  <c r="O14" i="3" s="1"/>
  <c r="D15" i="3"/>
  <c r="O15" i="3" s="1"/>
  <c r="D16" i="3"/>
  <c r="O16" i="3" s="1"/>
  <c r="B8" i="4"/>
  <c r="A4" i="3"/>
  <c r="I7" i="4"/>
  <c r="B7" i="4"/>
  <c r="J7" i="3"/>
  <c r="K7" i="3" s="1"/>
  <c r="L7" i="3" s="1"/>
  <c r="J8" i="3"/>
  <c r="K8" i="3" s="1"/>
  <c r="L8" i="3" s="1"/>
  <c r="J9" i="3"/>
  <c r="K9" i="3" s="1"/>
  <c r="L9" i="3" s="1"/>
  <c r="J10" i="3"/>
  <c r="K10" i="3" s="1"/>
  <c r="L10" i="3" s="1"/>
  <c r="J11" i="3"/>
  <c r="K11" i="3" s="1"/>
  <c r="L11" i="3" s="1"/>
  <c r="J12" i="3"/>
  <c r="K12" i="3" s="1"/>
  <c r="L12" i="3" s="1"/>
  <c r="J13" i="3"/>
  <c r="K13" i="3" s="1"/>
  <c r="L13" i="3" s="1"/>
  <c r="J14" i="3"/>
  <c r="K14" i="3" s="1"/>
  <c r="L14" i="3" s="1"/>
  <c r="J15" i="3"/>
  <c r="K15" i="3" s="1"/>
  <c r="L15" i="3" s="1"/>
  <c r="J16" i="3"/>
  <c r="K16" i="3" s="1"/>
  <c r="L16" i="3" s="1"/>
  <c r="J6" i="3"/>
  <c r="K6" i="3" s="1"/>
  <c r="L6" i="3" s="1"/>
  <c r="B6" i="3"/>
  <c r="D6" i="3"/>
  <c r="O6" i="3" s="1"/>
  <c r="B7" i="3"/>
  <c r="C7" i="3"/>
  <c r="B8" i="3"/>
  <c r="B9" i="3"/>
  <c r="C9" i="3"/>
  <c r="B10" i="3"/>
  <c r="B11" i="3"/>
  <c r="C11" i="3"/>
  <c r="B12" i="3"/>
  <c r="C12" i="3"/>
  <c r="B13" i="3"/>
  <c r="C13" i="3"/>
  <c r="B14" i="3"/>
  <c r="B15" i="3"/>
  <c r="C15" i="3"/>
  <c r="B16" i="3"/>
  <c r="C16" i="3"/>
  <c r="E6" i="3"/>
  <c r="G6" i="3"/>
  <c r="G7" i="3"/>
  <c r="G8" i="3"/>
  <c r="G9" i="3"/>
  <c r="G10" i="3"/>
  <c r="G11" i="3"/>
  <c r="G12" i="3"/>
  <c r="G13" i="3"/>
  <c r="G14" i="3"/>
  <c r="G15" i="3"/>
  <c r="G16" i="3"/>
  <c r="H6" i="3"/>
  <c r="H7" i="3"/>
  <c r="H8" i="3"/>
  <c r="H9" i="3"/>
  <c r="H10" i="3"/>
  <c r="H11" i="3"/>
  <c r="H12" i="3"/>
  <c r="H13" i="3"/>
  <c r="H14" i="3"/>
  <c r="H15" i="3"/>
  <c r="H16" i="3"/>
  <c r="I6" i="4"/>
  <c r="I5" i="4"/>
  <c r="I4" i="4"/>
  <c r="B6" i="4"/>
  <c r="B5" i="4"/>
  <c r="B4" i="4"/>
  <c r="B34" i="3" l="1"/>
  <c r="B26" i="3"/>
  <c r="B27" i="3"/>
  <c r="B25" i="3"/>
  <c r="B31" i="3"/>
  <c r="B28" i="3"/>
  <c r="I16" i="3"/>
  <c r="I12" i="3"/>
  <c r="I8" i="3"/>
  <c r="I15" i="3"/>
  <c r="I11" i="3"/>
  <c r="I14" i="3"/>
  <c r="I10" i="3"/>
  <c r="I6" i="3"/>
  <c r="I7" i="3"/>
  <c r="I13" i="3"/>
  <c r="I9" i="3"/>
  <c r="B33" i="3" l="1"/>
  <c r="B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106A4-E8CA-4CB6-88AE-7474AA4AEF9E}" keepAlive="1" name="Consulta - healthcare_database" description="Conexión a la consulta 'healthcare_database' en el libro." type="5" refreshedVersion="0" background="1">
    <dbPr connection="Provider=Microsoft.Mashup.OleDb.1;Data Source=$Workbook$;Location=healthcare_database;Extended Properties=&quot;&quot;" command="SELECT * FROM [healthcare_database]"/>
  </connection>
  <connection id="2" xr16:uid="{E3B1B993-A5F8-4A2D-82F5-C98F59337D44}" keepAlive="1" name="Consulta - healthcare_database_detailed" description="Conexión a la consulta 'healthcare_database_detailed' en el libro." type="5" refreshedVersion="8" background="1" saveData="1">
    <dbPr connection="Provider=Microsoft.Mashup.OleDb.1;Data Source=$Workbook$;Location=healthcare_database_detailed;Extended Properties=&quot;&quot;" command="SELECT * FROM [healthcare_database_detailed]"/>
  </connection>
</connections>
</file>

<file path=xl/sharedStrings.xml><?xml version="1.0" encoding="utf-8"?>
<sst xmlns="http://schemas.openxmlformats.org/spreadsheetml/2006/main" count="88" uniqueCount="59">
  <si>
    <t>ID</t>
  </si>
  <si>
    <t>Categoría</t>
  </si>
  <si>
    <t>Cantidad Disponible</t>
  </si>
  <si>
    <t>Proveedor</t>
  </si>
  <si>
    <t>Fecha de Ingreso</t>
  </si>
  <si>
    <t>Omeprazol</t>
  </si>
  <si>
    <t>Loratadina</t>
  </si>
  <si>
    <t>Amoxicilina</t>
  </si>
  <si>
    <t>Ibuprofeno</t>
  </si>
  <si>
    <t>Paracetamol</t>
  </si>
  <si>
    <t>Precio unitario</t>
  </si>
  <si>
    <t>Nombre del Producto</t>
  </si>
  <si>
    <t>Precio Unitario</t>
  </si>
  <si>
    <t>Fecha de Vencimiento</t>
  </si>
  <si>
    <t>Jeringa Descartable 10ml</t>
  </si>
  <si>
    <t>Insumos Médicos Pro</t>
  </si>
  <si>
    <t>Venda Elástica</t>
  </si>
  <si>
    <t>Laboratorios ABC</t>
  </si>
  <si>
    <t>Medicamento</t>
  </si>
  <si>
    <t>Diclofenaco</t>
  </si>
  <si>
    <t>Laboratorios XYZ</t>
  </si>
  <si>
    <t>Catéter Intravenoso</t>
  </si>
  <si>
    <t>FarmaPlus</t>
  </si>
  <si>
    <t>Guantes Quirúrgicos</t>
  </si>
  <si>
    <t>Alcohol Etílico</t>
  </si>
  <si>
    <t>Entrada</t>
  </si>
  <si>
    <t>Salida</t>
  </si>
  <si>
    <t>Codigo</t>
  </si>
  <si>
    <t xml:space="preserve">Producto </t>
  </si>
  <si>
    <t xml:space="preserve">Categoria </t>
  </si>
  <si>
    <t>INVENTARIO PRODUCTOS</t>
  </si>
  <si>
    <t xml:space="preserve">Codigo </t>
  </si>
  <si>
    <t xml:space="preserve">Fecha </t>
  </si>
  <si>
    <t>Cantidad</t>
  </si>
  <si>
    <t>ENTRADA PRODUCTOS</t>
  </si>
  <si>
    <t>SALIDA PRODUCTOS</t>
  </si>
  <si>
    <t>Fecha salida</t>
  </si>
  <si>
    <t>Vencimiento (dias)</t>
  </si>
  <si>
    <t xml:space="preserve">FECHA DEL DIA </t>
  </si>
  <si>
    <t xml:space="preserve">FORMULAS BASICAS </t>
  </si>
  <si>
    <t>SUMA</t>
  </si>
  <si>
    <t>PROMEDIO</t>
  </si>
  <si>
    <t>MIN</t>
  </si>
  <si>
    <t xml:space="preserve">MAX </t>
  </si>
  <si>
    <t>FUNCIONES</t>
  </si>
  <si>
    <t xml:space="preserve">SUMAR.SI </t>
  </si>
  <si>
    <t xml:space="preserve">CONTAR.SI </t>
  </si>
  <si>
    <t>PROMEDIO.SI</t>
  </si>
  <si>
    <t>Insumo medico</t>
  </si>
  <si>
    <t>SUMAR SI PROVEEDOR ES FARMA PLUS</t>
  </si>
  <si>
    <t>CONTAR SI LA CANTIDAD DISPONIBLE ES MAYOR A 20</t>
  </si>
  <si>
    <t>PROMEDIO CANTIDAD  DIFERENTE A 0</t>
  </si>
  <si>
    <t>PROMEDIO.SI.CONJUTNO</t>
  </si>
  <si>
    <t>PROMEDIO PRECIO, CATEGORIA MEDICAMENTO Y PROVEEDOR FARMAPLUS</t>
  </si>
  <si>
    <t>Precio de venta</t>
  </si>
  <si>
    <t xml:space="preserve">Proveedor   </t>
  </si>
  <si>
    <t>MARGEN GANANCIA O UTILIDAD</t>
  </si>
  <si>
    <t>Ganancia</t>
  </si>
  <si>
    <t>Ganancia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</si>
</sst>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&quot;$&quot;\ #,##0"/>
    <numFmt numFmtId="165" formatCode="&quot;C-&quot;0"/>
    <numFmt numFmtId="166" formatCode="d/mm/yyyy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0" xfId="0" applyFill="1"/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1" xfId="0" applyNumberFormat="1" applyBorder="1"/>
    <xf numFmtId="6" fontId="0" fillId="0" borderId="1" xfId="0" applyNumberFormat="1" applyBorder="1"/>
    <xf numFmtId="0" fontId="0" fillId="0" borderId="1" xfId="0" applyBorder="1"/>
    <xf numFmtId="0" fontId="0" fillId="3" borderId="0" xfId="0" applyFill="1" applyAlignment="1">
      <alignment horizontal="center" wrapText="1"/>
    </xf>
    <xf numFmtId="9" fontId="0" fillId="5" borderId="1" xfId="0" applyNumberFormat="1" applyFill="1" applyBorder="1"/>
    <xf numFmtId="9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22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&quot;$&quot;\ #,##0"/>
    </dxf>
    <dxf>
      <numFmt numFmtId="165" formatCode="&quot;C-&quot;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d/mm/yyyy"/>
    </dxf>
    <dxf>
      <numFmt numFmtId="165" formatCode="&quot;C-&quot;0"/>
    </dxf>
    <dxf>
      <numFmt numFmtId="166" formatCode="d/mm/yyyy;@"/>
    </dxf>
    <dxf>
      <numFmt numFmtId="1" formatCode="0"/>
    </dxf>
    <dxf>
      <numFmt numFmtId="1" formatCode="0"/>
    </dxf>
    <dxf>
      <numFmt numFmtId="165" formatCode="&quot;C-&quot;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0" formatCode="&quot;$&quot;\ #,##0;[Red]\-&quot;$&quot;\ #,##0"/>
      <alignment horizontal="center" vertical="bottom" textRotation="0" wrapText="0" indent="0" justifyLastLine="0" shrinkToFit="0" readingOrder="0"/>
    </dxf>
    <dxf>
      <numFmt numFmtId="10" formatCode="&quot;$&quot;\ #,##0;[Red]\-&quot;$&quot;\ #,##0"/>
      <alignment horizontal="center" vertical="bottom" textRotation="0" wrapText="0" indent="0" justifyLastLine="0" shrinkToFit="0" readingOrder="0"/>
    </dxf>
    <dxf>
      <numFmt numFmtId="10" formatCode="&quot;$&quot;\ #,##0;[Red]\-&quot;$&quot;\ #,##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65" formatCode="&quot;C-&quot;0"/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EA88D0-3DF1-4864-AEB3-A76E0E8F5E33}" name="Tabla14" displayName="Tabla14" ref="A5:O16" totalsRowShown="0" headerRowDxfId="23">
  <autoFilter ref="A5:O16" xr:uid="{8CEA88D0-3DF1-4864-AEB3-A76E0E8F5E33}"/>
  <tableColumns count="15">
    <tableColumn id="1" xr3:uid="{2DA93363-D430-4E76-A968-4E35EDF5DD16}" name="ID" dataDxfId="22"/>
    <tableColumn id="2" xr3:uid="{3139EA26-216B-42F3-ACF0-A1814087ADB5}" name="Nombre del Producto">
      <calculatedColumnFormula>IFERROR(VLOOKUP('Catalogo completo'!$A6,inventario[],2,FALSE),"Codigo invalido")</calculatedColumnFormula>
    </tableColumn>
    <tableColumn id="3" xr3:uid="{90E72426-FC56-46A3-A9F5-1E204609981A}" name="Categoría">
      <calculatedColumnFormula>IFERROR(VLOOKUP('Catalogo completo'!$A6,inventario[],3,FALSE),"Codigo invalido")</calculatedColumnFormula>
    </tableColumn>
    <tableColumn id="4" xr3:uid="{5B3C5F90-549C-42F4-9FA5-7D10D5349F8F}" name="Fecha de Ingreso" dataDxfId="21">
      <calculatedColumnFormula>IFERROR(VLOOKUP('Catalogo completo'!$A6,Tabla6[],4,FALSE),"")</calculatedColumnFormula>
    </tableColumn>
    <tableColumn id="5" xr3:uid="{E63003C6-C688-4FE6-9DD8-9BE243B4FF86}" name="Fecha salida" dataDxfId="20">
      <calculatedColumnFormula>IFERROR(VLOOKUP('Catalogo completo'!$A6,Tabla68[],4,FALSE),"")</calculatedColumnFormula>
    </tableColumn>
    <tableColumn id="6" xr3:uid="{73BE34C0-8EA7-43C0-87F6-6E775B290474}" name="Proveedor   "/>
    <tableColumn id="7" xr3:uid="{50402A28-4121-4B14-86E5-C4CCFF4E5495}" name="Entrada" dataDxfId="19">
      <calculatedColumnFormula>SUMIF(Tabla6[[Codigo ]],'Catalogo completo'!$A6,Tabla6[Cantidad])</calculatedColumnFormula>
    </tableColumn>
    <tableColumn id="8" xr3:uid="{A4D15445-5BE9-4DE0-B70D-63DB4753F8B8}" name="Salida" dataDxfId="18">
      <calculatedColumnFormula>SUMIF(Tabla68[[Codigo ]],'Catalogo completo'!$A6,Tabla68[Cantidad])</calculatedColumnFormula>
    </tableColumn>
    <tableColumn id="9" xr3:uid="{DC1D7625-2DA0-485F-BFE2-B84BE7B9C0C4}" name="Cantidad Disponible" dataDxfId="17">
      <calculatedColumnFormula>'Catalogo completo'!$G6-'Catalogo completo'!$H6</calculatedColumnFormula>
    </tableColumn>
    <tableColumn id="10" xr3:uid="{DA1E88E5-AC85-4E42-9AEF-57C6669F697A}" name="Precio Unitario" dataDxfId="16">
      <calculatedColumnFormula>IFERROR(VLOOKUP('Catalogo completo'!$A6,inventario[],4,FALSE),"Codigo invalido")</calculatedColumnFormula>
    </tableColumn>
    <tableColumn id="13" xr3:uid="{7BB30F2A-0710-4BE5-98CA-A77FA79E6A8E}" name="Precio de venta" dataDxfId="15">
      <calculatedColumnFormula>Tabla14[[#This Row],[Precio Unitario]]/(1-$O$1)</calculatedColumnFormula>
    </tableColumn>
    <tableColumn id="14" xr3:uid="{9F151C31-3328-4A58-B5A4-B71A2DD3737E}" name="Ganancia" dataDxfId="14">
      <calculatedColumnFormula>Tabla14[[#This Row],[Precio de venta]]-Tabla14[[#This Row],[Precio Unitario]]</calculatedColumnFormula>
    </tableColumn>
    <tableColumn id="15" xr3:uid="{1EC22639-C2CB-404C-82BA-EB42A163CD7C}" name="Ganancia %" dataDxfId="13">
      <calculatedColumnFormula>Tabla14[[#This Row],[Ganancia]]/Tabla14[[#This Row],[Precio de venta]]</calculatedColumnFormula>
    </tableColumn>
    <tableColumn id="11" xr3:uid="{7063F887-B567-4A68-983C-192F29599CE0}" name="Vencimiento (dias)" dataDxfId="12"/>
    <tableColumn id="12" xr3:uid="{70113FB6-FD1B-4817-A385-F63DC9297754}" name="Fecha de Vencimiento" dataDxfId="11">
      <calculatedColumnFormula>IFERROR('Catalogo completo'!$D6+'Catalogo completo'!$N6,"")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B215F6-86C0-45A9-A58F-656D7D4AC178}" name="Tabla6" displayName="Tabla6" ref="A3:D8">
  <autoFilter ref="A3:D8" xr:uid="{BFB215F6-86C0-45A9-A58F-656D7D4AC178}"/>
  <tableColumns count="4">
    <tableColumn id="1" xr3:uid="{2ED04C5F-9A66-425C-8649-026188D9E6CC}" name="Codigo " totalsRowLabel="Total" dataDxfId="10"/>
    <tableColumn id="2" xr3:uid="{C2090E80-B6D0-44D7-AA58-A597D55505BF}" name="Producto ">
      <calculatedColumnFormula>VLOOKUP(Tabla6[[#This Row],[Codigo ]],inventario[],2,FALSE)</calculatedColumnFormula>
    </tableColumn>
    <tableColumn id="3" xr3:uid="{28A05391-4C7E-43AF-AABF-8CE089D1C8C9}" name="Cantidad" totalsRowFunction="sum" dataDxfId="9" totalsRowDxfId="8"/>
    <tableColumn id="4" xr3:uid="{0B0481B4-34B8-4427-B8B8-882C46667B40}" name="Fecha 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D93F2C-1479-4C2D-96DA-5E9A30A291BF}" name="Tabla68" displayName="Tabla68" ref="H3:K7" totalsRowShown="0">
  <autoFilter ref="H3:K7" xr:uid="{8AD93F2C-1479-4C2D-96DA-5E9A30A291BF}"/>
  <tableColumns count="4">
    <tableColumn id="1" xr3:uid="{CABFDF94-65D8-4EFF-9EE4-AC56AD04A0CC}" name="Codigo " dataDxfId="6"/>
    <tableColumn id="2" xr3:uid="{58C2AFDC-B5C4-4470-AFB1-25FF52A8A937}" name="Producto ">
      <calculatedColumnFormula>VLOOKUP(Tabla68[[#This Row],[Codigo ]],inventario[],2,FALSE)</calculatedColumnFormula>
    </tableColumn>
    <tableColumn id="3" xr3:uid="{EC68A3F0-43B2-4C65-BC23-B2406520170C}" name="Cantidad"/>
    <tableColumn id="4" xr3:uid="{ECF79584-7E6F-48BE-83A7-B0B272E57475}" name="Fecha 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57A203-D272-42CD-81CC-AF1AB5AF50EA}" name="inventario" displayName="inventario" ref="A4:D15" totalsRowShown="0" headerRowDxfId="4">
  <autoFilter ref="A4:D15" xr:uid="{9F57A203-D272-42CD-81CC-AF1AB5AF50EA}"/>
  <tableColumns count="4">
    <tableColumn id="1" xr3:uid="{8181DBBB-554D-4D18-9975-F7448714DC35}" name="Codigo" dataDxfId="3"/>
    <tableColumn id="2" xr3:uid="{C27E13B1-90FC-40C2-949B-A6080E03A75E}" name="Producto "/>
    <tableColumn id="3" xr3:uid="{422F0CB4-B1C2-45FB-8A0F-9FBBA19E94FD}" name="Categoria "/>
    <tableColumn id="4" xr3:uid="{EFED0FE1-D4F4-4397-9B19-DF27FC45A946}" name="Precio unitario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035CE4-DB89-4591-8C3C-B4B8ABA291AE}" name="prove" displayName="prove" ref="A3:A11" totalsRowShown="0">
  <autoFilter ref="A3:A11" xr:uid="{22035CE4-DB89-4591-8C3C-B4B8ABA291AE}"/>
  <tableColumns count="1">
    <tableColumn id="2" xr3:uid="{AC2EE4D0-8923-4753-85E5-BB2A6B24B6E5}" name="Proveed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4663-5E6A-469A-9DAE-F15E99C58A5B}">
  <dimension ref="A1:O34"/>
  <sheetViews>
    <sheetView tabSelected="1" workbookViewId="0">
      <selection activeCell="M22" sqref="M22"/>
    </sheetView>
  </sheetViews>
  <sheetFormatPr baseColWidth="10" defaultRowHeight="15" x14ac:dyDescent="0.25"/>
  <cols>
    <col min="1" max="1" width="6" style="3" customWidth="1"/>
    <col min="2" max="2" width="23.28515625" bestFit="1" customWidth="1"/>
    <col min="3" max="3" width="14.5703125" bestFit="1" customWidth="1"/>
    <col min="4" max="4" width="28.5703125" style="1" bestFit="1" customWidth="1"/>
    <col min="5" max="5" width="28.5703125" style="9" customWidth="1"/>
    <col min="6" max="6" width="20.42578125" bestFit="1" customWidth="1"/>
    <col min="7" max="8" width="20.42578125" style="11" customWidth="1"/>
    <col min="9" max="9" width="22.42578125" style="11" customWidth="1"/>
    <col min="10" max="10" width="16.5703125" style="4" bestFit="1" customWidth="1"/>
    <col min="11" max="13" width="21.140625" style="4" customWidth="1"/>
    <col min="14" max="14" width="21.85546875" style="4" customWidth="1"/>
    <col min="15" max="15" width="23.28515625" style="4" bestFit="1" customWidth="1"/>
    <col min="18" max="18" width="15.42578125" bestFit="1" customWidth="1"/>
  </cols>
  <sheetData>
    <row r="1" spans="1:15" x14ac:dyDescent="0.25">
      <c r="K1" s="21" t="s">
        <v>56</v>
      </c>
      <c r="L1" s="21"/>
      <c r="M1" s="21"/>
      <c r="N1" s="21"/>
      <c r="O1" s="16">
        <v>0.15</v>
      </c>
    </row>
    <row r="3" spans="1:15" x14ac:dyDescent="0.25">
      <c r="A3" s="24" t="s">
        <v>38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x14ac:dyDescent="0.25">
      <c r="A4" s="25">
        <f ca="1">NOW()</f>
        <v>45583.511511111108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x14ac:dyDescent="0.25">
      <c r="A5" s="8" t="s">
        <v>0</v>
      </c>
      <c r="B5" s="8" t="s">
        <v>11</v>
      </c>
      <c r="C5" s="8" t="s">
        <v>1</v>
      </c>
      <c r="D5" s="8" t="s">
        <v>4</v>
      </c>
      <c r="E5" s="8" t="s">
        <v>36</v>
      </c>
      <c r="F5" s="8" t="s">
        <v>55</v>
      </c>
      <c r="G5" s="8" t="s">
        <v>25</v>
      </c>
      <c r="H5" s="8" t="s">
        <v>26</v>
      </c>
      <c r="I5" s="8" t="s">
        <v>2</v>
      </c>
      <c r="J5" s="8" t="s">
        <v>12</v>
      </c>
      <c r="K5" s="15" t="s">
        <v>54</v>
      </c>
      <c r="L5" s="15" t="s">
        <v>57</v>
      </c>
      <c r="M5" s="15" t="s">
        <v>58</v>
      </c>
      <c r="N5" s="8" t="s">
        <v>37</v>
      </c>
      <c r="O5" s="8" t="s">
        <v>13</v>
      </c>
    </row>
    <row r="6" spans="1:15" x14ac:dyDescent="0.25">
      <c r="A6" s="3">
        <v>1</v>
      </c>
      <c r="B6" t="str">
        <f>IFERROR(VLOOKUP('Catalogo completo'!$A6,inventario[],2,FALSE),"Codigo invalido")</f>
        <v>Jeringa Descartable 10ml</v>
      </c>
      <c r="C6" t="str">
        <f>IFERROR(VLOOKUP('Catalogo completo'!$A6,inventario[],3,FALSE),"Codigo invalido")</f>
        <v>Insumo medico</v>
      </c>
      <c r="D6" s="9">
        <f>IFERROR(VLOOKUP('Catalogo completo'!$A6,Tabla6[],4,FALSE),"")</f>
        <v>45292</v>
      </c>
      <c r="E6" s="9">
        <f>IFERROR(VLOOKUP('Catalogo completo'!$A6,Tabla68[],4,FALSE),"")</f>
        <v>45292</v>
      </c>
      <c r="F6" t="s">
        <v>15</v>
      </c>
      <c r="G6" s="11">
        <f>SUMIF(Tabla6[[Codigo ]],'Catalogo completo'!$A6,Tabla6[Cantidad])</f>
        <v>50</v>
      </c>
      <c r="H6" s="11">
        <f>SUMIF(Tabla68[[Codigo ]],'Catalogo completo'!$A6,Tabla68[Cantidad])</f>
        <v>15</v>
      </c>
      <c r="I6" s="11">
        <f>'Catalogo completo'!$G6-'Catalogo completo'!$H6</f>
        <v>35</v>
      </c>
      <c r="J6" s="10">
        <f>IFERROR(VLOOKUP('Catalogo completo'!$A6,inventario[],4,FALSE),"Codigo invalido")</f>
        <v>1500</v>
      </c>
      <c r="K6" s="10">
        <f>Tabla14[[#This Row],[Precio Unitario]]/(1-$O$1)</f>
        <v>1764.7058823529412</v>
      </c>
      <c r="L6" s="10">
        <f>Tabla14[[#This Row],[Precio de venta]]-Tabla14[[#This Row],[Precio Unitario]]</f>
        <v>264.70588235294122</v>
      </c>
      <c r="M6" s="17">
        <f>Tabla14[[#This Row],[Ganancia]]/Tabla14[[#This Row],[Precio de venta]]</f>
        <v>0.15000000000000002</v>
      </c>
      <c r="N6" s="4">
        <v>365</v>
      </c>
      <c r="O6" s="9">
        <f>IFERROR('Catalogo completo'!$D6+'Catalogo completo'!$N6,"")</f>
        <v>45657</v>
      </c>
    </row>
    <row r="7" spans="1:15" x14ac:dyDescent="0.25">
      <c r="A7" s="3">
        <v>2</v>
      </c>
      <c r="B7" t="str">
        <f>IFERROR(VLOOKUP('Catalogo completo'!$A7,inventario[],2,FALSE),"Codigo invalido")</f>
        <v>Venda Elástica</v>
      </c>
      <c r="C7" t="str">
        <f>IFERROR(VLOOKUP('Catalogo completo'!$A7,inventario[],3,FALSE),"Codigo invalido")</f>
        <v>Insumo medico</v>
      </c>
      <c r="D7" s="9">
        <f>IFERROR(VLOOKUP('Catalogo completo'!$A7,Tabla6[],4,FALSE),"")</f>
        <v>45292</v>
      </c>
      <c r="E7" s="9">
        <f>IFERROR(VLOOKUP('Catalogo completo'!$A7,Tabla68[],4,FALSE),"")</f>
        <v>45292</v>
      </c>
      <c r="F7" t="s">
        <v>17</v>
      </c>
      <c r="G7" s="11">
        <f>SUMIF(Tabla6[[Codigo ]],'Catalogo completo'!$A7,Tabla6[Cantidad])</f>
        <v>30</v>
      </c>
      <c r="H7" s="11">
        <f>SUMIF(Tabla68[[Codigo ]],'Catalogo completo'!$A7,Tabla68[Cantidad])</f>
        <v>20</v>
      </c>
      <c r="I7" s="11">
        <f>'Catalogo completo'!$G7-'Catalogo completo'!$H7</f>
        <v>10</v>
      </c>
      <c r="J7" s="10">
        <f>IFERROR(VLOOKUP('Catalogo completo'!$A7,inventario[],4,FALSE),"Codigo invalido")</f>
        <v>2000</v>
      </c>
      <c r="K7" s="10">
        <f>Tabla14[[#This Row],[Precio Unitario]]/(1-$O$1)</f>
        <v>2352.9411764705883</v>
      </c>
      <c r="L7" s="10">
        <f>Tabla14[[#This Row],[Precio de venta]]-Tabla14[[#This Row],[Precio Unitario]]</f>
        <v>352.94117647058829</v>
      </c>
      <c r="M7" s="17">
        <f>Tabla14[[#This Row],[Ganancia]]/Tabla14[[#This Row],[Precio de venta]]</f>
        <v>0.15000000000000002</v>
      </c>
      <c r="N7" s="4">
        <v>365</v>
      </c>
      <c r="O7" s="9">
        <f>IFERROR('Catalogo completo'!$D7+'Catalogo completo'!$N7,"")</f>
        <v>45657</v>
      </c>
    </row>
    <row r="8" spans="1:15" x14ac:dyDescent="0.25">
      <c r="A8" s="3">
        <v>3</v>
      </c>
      <c r="B8" t="str">
        <f>IFERROR(VLOOKUP('Catalogo completo'!$A8,inventario[],2,FALSE),"Codigo invalido")</f>
        <v>Omeprazol</v>
      </c>
      <c r="C8" t="str">
        <f>IFERROR(VLOOKUP('Catalogo completo'!$A8,inventario[],3,FALSE),"Codigo invalido")</f>
        <v>Medicamento</v>
      </c>
      <c r="D8" s="9">
        <f>IFERROR(VLOOKUP('Catalogo completo'!$A8,Tabla6[],4,FALSE),"")</f>
        <v>45292</v>
      </c>
      <c r="E8" s="9">
        <f>IFERROR(VLOOKUP('Catalogo completo'!$A8,Tabla68[],4,FALSE),"")</f>
        <v>45292</v>
      </c>
      <c r="F8" t="s">
        <v>20</v>
      </c>
      <c r="G8" s="11">
        <f>SUMIF(Tabla6[[Codigo ]],'Catalogo completo'!$A8,Tabla6[Cantidad])</f>
        <v>50</v>
      </c>
      <c r="H8" s="11">
        <f>SUMIF(Tabla68[[Codigo ]],'Catalogo completo'!$A8,Tabla68[Cantidad])</f>
        <v>10</v>
      </c>
      <c r="I8" s="11">
        <f>'Catalogo completo'!$G8-'Catalogo completo'!$H8</f>
        <v>40</v>
      </c>
      <c r="J8" s="10">
        <f>IFERROR(VLOOKUP('Catalogo completo'!$A8,inventario[],4,FALSE),"Codigo invalido")</f>
        <v>4500</v>
      </c>
      <c r="K8" s="10">
        <f>Tabla14[[#This Row],[Precio Unitario]]/(1-$O$1)</f>
        <v>5294.1176470588234</v>
      </c>
      <c r="L8" s="10">
        <f>Tabla14[[#This Row],[Precio de venta]]-Tabla14[[#This Row],[Precio Unitario]]</f>
        <v>794.11764705882342</v>
      </c>
      <c r="M8" s="17">
        <f>Tabla14[[#This Row],[Ganancia]]/Tabla14[[#This Row],[Precio de venta]]</f>
        <v>0.15</v>
      </c>
      <c r="N8" s="4">
        <v>365</v>
      </c>
      <c r="O8" s="9">
        <f>IFERROR('Catalogo completo'!$D8+'Catalogo completo'!$N8,"")</f>
        <v>45657</v>
      </c>
    </row>
    <row r="9" spans="1:15" x14ac:dyDescent="0.25">
      <c r="A9" s="3">
        <v>4</v>
      </c>
      <c r="B9" t="str">
        <f>IFERROR(VLOOKUP('Catalogo completo'!$A9,inventario[],2,FALSE),"Codigo invalido")</f>
        <v>Diclofenaco</v>
      </c>
      <c r="C9" t="str">
        <f>IFERROR(VLOOKUP('Catalogo completo'!$A9,inventario[],3,FALSE),"Codigo invalido")</f>
        <v>Medicamento</v>
      </c>
      <c r="D9" s="9">
        <f>IFERROR(VLOOKUP('Catalogo completo'!$A9,Tabla6[],4,FALSE),"")</f>
        <v>45352</v>
      </c>
      <c r="E9" s="9">
        <f>IFERROR(VLOOKUP('Catalogo completo'!$A9,Tabla68[],4,FALSE),"")</f>
        <v>45352</v>
      </c>
      <c r="F9" t="s">
        <v>22</v>
      </c>
      <c r="G9" s="11">
        <f>SUMIF(Tabla6[[Codigo ]],'Catalogo completo'!$A9,Tabla6[Cantidad])</f>
        <v>40</v>
      </c>
      <c r="H9" s="11">
        <f>SUMIF(Tabla68[[Codigo ]],'Catalogo completo'!$A9,Tabla68[Cantidad])</f>
        <v>10</v>
      </c>
      <c r="I9" s="11">
        <f>'Catalogo completo'!$G9-'Catalogo completo'!$H9</f>
        <v>30</v>
      </c>
      <c r="J9" s="10">
        <f>IFERROR(VLOOKUP('Catalogo completo'!$A9,inventario[],4,FALSE),"Codigo invalido")</f>
        <v>1000</v>
      </c>
      <c r="K9" s="10">
        <f>Tabla14[[#This Row],[Precio Unitario]]/(1-$O$1)</f>
        <v>1176.4705882352941</v>
      </c>
      <c r="L9" s="10">
        <f>Tabla14[[#This Row],[Precio de venta]]-Tabla14[[#This Row],[Precio Unitario]]</f>
        <v>176.47058823529414</v>
      </c>
      <c r="M9" s="17">
        <f>Tabla14[[#This Row],[Ganancia]]/Tabla14[[#This Row],[Precio de venta]]</f>
        <v>0.15000000000000002</v>
      </c>
      <c r="N9" s="4">
        <v>365</v>
      </c>
      <c r="O9" s="9">
        <f>IFERROR('Catalogo completo'!$D9+'Catalogo completo'!$N9,"")</f>
        <v>45717</v>
      </c>
    </row>
    <row r="10" spans="1:15" x14ac:dyDescent="0.25">
      <c r="A10" s="3">
        <v>5</v>
      </c>
      <c r="B10" t="str">
        <f>IFERROR(VLOOKUP('Catalogo completo'!$A10,inventario[],2,FALSE),"Codigo invalido")</f>
        <v>Ibuprofeno</v>
      </c>
      <c r="C10" t="str">
        <f>IFERROR(VLOOKUP('Catalogo completo'!$A10,inventario[],3,FALSE),"Codigo invalido")</f>
        <v>Medicamento</v>
      </c>
      <c r="D10" s="9" t="str">
        <f>IFERROR(VLOOKUP('Catalogo completo'!$A10,Tabla6[],4,FALSE),"")</f>
        <v/>
      </c>
      <c r="E10" s="9" t="str">
        <f>IFERROR(VLOOKUP('Catalogo completo'!$A10,Tabla68[],4,FALSE),"")</f>
        <v/>
      </c>
      <c r="F10" t="s">
        <v>22</v>
      </c>
      <c r="G10" s="11">
        <f>SUMIF(Tabla6[[Codigo ]],'Catalogo completo'!$A10,Tabla6[Cantidad])</f>
        <v>0</v>
      </c>
      <c r="H10" s="11">
        <f>SUMIF(Tabla68[[Codigo ]],'Catalogo completo'!$A10,Tabla68[Cantidad])</f>
        <v>0</v>
      </c>
      <c r="I10" s="11">
        <f>'Catalogo completo'!$G10-'Catalogo completo'!$H10</f>
        <v>0</v>
      </c>
      <c r="J10" s="10">
        <f>IFERROR(VLOOKUP('Catalogo completo'!$A10,inventario[],4,FALSE),"Codigo invalido")</f>
        <v>2500</v>
      </c>
      <c r="K10" s="10">
        <f>Tabla14[[#This Row],[Precio Unitario]]/(1-$O$1)</f>
        <v>2941.1764705882356</v>
      </c>
      <c r="L10" s="10">
        <f>Tabla14[[#This Row],[Precio de venta]]-Tabla14[[#This Row],[Precio Unitario]]</f>
        <v>441.17647058823559</v>
      </c>
      <c r="M10" s="17">
        <f>Tabla14[[#This Row],[Ganancia]]/Tabla14[[#This Row],[Precio de venta]]</f>
        <v>0.15000000000000008</v>
      </c>
      <c r="N10" s="4">
        <v>365</v>
      </c>
      <c r="O10" s="9" t="str">
        <f>IFERROR('Catalogo completo'!$D10+'Catalogo completo'!$N10,"")</f>
        <v/>
      </c>
    </row>
    <row r="11" spans="1:15" x14ac:dyDescent="0.25">
      <c r="A11" s="3">
        <v>6</v>
      </c>
      <c r="B11" t="str">
        <f>IFERROR(VLOOKUP('Catalogo completo'!$A11,inventario[],2,FALSE),"Codigo invalido")</f>
        <v>Catéter Intravenoso</v>
      </c>
      <c r="C11" t="str">
        <f>IFERROR(VLOOKUP('Catalogo completo'!$A11,inventario[],3,FALSE),"Codigo invalido")</f>
        <v>Insumo medico</v>
      </c>
      <c r="D11" s="9" t="str">
        <f>IFERROR(VLOOKUP('Catalogo completo'!$A11,Tabla6[],4,FALSE),"")</f>
        <v/>
      </c>
      <c r="E11" s="9" t="str">
        <f>IFERROR(VLOOKUP('Catalogo completo'!$A11,Tabla68[],4,FALSE),"")</f>
        <v/>
      </c>
      <c r="F11" t="s">
        <v>20</v>
      </c>
      <c r="G11" s="11">
        <f>SUMIF(Tabla6[[Codigo ]],'Catalogo completo'!$A11,Tabla6[Cantidad])</f>
        <v>0</v>
      </c>
      <c r="H11" s="11">
        <f>SUMIF(Tabla68[[Codigo ]],'Catalogo completo'!$A11,Tabla68[Cantidad])</f>
        <v>0</v>
      </c>
      <c r="I11" s="11">
        <f>'Catalogo completo'!$G11-'Catalogo completo'!$H11</f>
        <v>0</v>
      </c>
      <c r="J11" s="10">
        <f>IFERROR(VLOOKUP('Catalogo completo'!$A11,inventario[],4,FALSE),"Codigo invalido")</f>
        <v>3000</v>
      </c>
      <c r="K11" s="10">
        <f>Tabla14[[#This Row],[Precio Unitario]]/(1-$O$1)</f>
        <v>3529.4117647058824</v>
      </c>
      <c r="L11" s="10">
        <f>Tabla14[[#This Row],[Precio de venta]]-Tabla14[[#This Row],[Precio Unitario]]</f>
        <v>529.41176470588243</v>
      </c>
      <c r="M11" s="17">
        <f>Tabla14[[#This Row],[Ganancia]]/Tabla14[[#This Row],[Precio de venta]]</f>
        <v>0.15000000000000002</v>
      </c>
      <c r="N11" s="4">
        <v>365</v>
      </c>
      <c r="O11" s="9" t="str">
        <f>IFERROR('Catalogo completo'!$D11+'Catalogo completo'!$N11,"")</f>
        <v/>
      </c>
    </row>
    <row r="12" spans="1:15" x14ac:dyDescent="0.25">
      <c r="A12" s="3">
        <v>7</v>
      </c>
      <c r="B12" t="str">
        <f>IFERROR(VLOOKUP('Catalogo completo'!$A12,inventario[],2,FALSE),"Codigo invalido")</f>
        <v>Guantes Quirúrgicos</v>
      </c>
      <c r="C12" t="str">
        <f>IFERROR(VLOOKUP('Catalogo completo'!$A12,inventario[],3,FALSE),"Codigo invalido")</f>
        <v>Insumo medico</v>
      </c>
      <c r="D12" s="9" t="str">
        <f>IFERROR(VLOOKUP('Catalogo completo'!$A12,Tabla6[],4,FALSE),"")</f>
        <v/>
      </c>
      <c r="E12" s="9" t="str">
        <f>IFERROR(VLOOKUP('Catalogo completo'!$A12,Tabla68[],4,FALSE),"")</f>
        <v/>
      </c>
      <c r="F12" t="s">
        <v>17</v>
      </c>
      <c r="G12" s="11">
        <f>SUMIF(Tabla6[[Codigo ]],'Catalogo completo'!$A12,Tabla6[Cantidad])</f>
        <v>0</v>
      </c>
      <c r="H12" s="11">
        <f>SUMIF(Tabla68[[Codigo ]],'Catalogo completo'!$A12,Tabla68[Cantidad])</f>
        <v>0</v>
      </c>
      <c r="I12" s="11">
        <f>'Catalogo completo'!$G12-'Catalogo completo'!$H12</f>
        <v>0</v>
      </c>
      <c r="J12" s="10">
        <f>IFERROR(VLOOKUP('Catalogo completo'!$A12,inventario[],4,FALSE),"Codigo invalido")</f>
        <v>4000</v>
      </c>
      <c r="K12" s="10">
        <f>Tabla14[[#This Row],[Precio Unitario]]/(1-$O$1)</f>
        <v>4705.8823529411766</v>
      </c>
      <c r="L12" s="10">
        <f>Tabla14[[#This Row],[Precio de venta]]-Tabla14[[#This Row],[Precio Unitario]]</f>
        <v>705.88235294117658</v>
      </c>
      <c r="M12" s="17">
        <f>Tabla14[[#This Row],[Ganancia]]/Tabla14[[#This Row],[Precio de venta]]</f>
        <v>0.15000000000000002</v>
      </c>
      <c r="N12" s="4">
        <v>365</v>
      </c>
      <c r="O12" s="9" t="str">
        <f>IFERROR('Catalogo completo'!$D12+'Catalogo completo'!$N12,"")</f>
        <v/>
      </c>
    </row>
    <row r="13" spans="1:15" x14ac:dyDescent="0.25">
      <c r="A13" s="3">
        <v>8</v>
      </c>
      <c r="B13" t="str">
        <f>IFERROR(VLOOKUP('Catalogo completo'!$A13,inventario[],2,FALSE),"Codigo invalido")</f>
        <v>Alcohol Etílico</v>
      </c>
      <c r="C13" t="str">
        <f>IFERROR(VLOOKUP('Catalogo completo'!$A13,inventario[],3,FALSE),"Codigo invalido")</f>
        <v>Insumo medico</v>
      </c>
      <c r="D13" s="9" t="str">
        <f>IFERROR(VLOOKUP('Catalogo completo'!$A13,Tabla6[],4,FALSE),"")</f>
        <v/>
      </c>
      <c r="E13" s="9" t="str">
        <f>IFERROR(VLOOKUP('Catalogo completo'!$A13,Tabla68[],4,FALSE),"")</f>
        <v/>
      </c>
      <c r="F13" t="s">
        <v>15</v>
      </c>
      <c r="G13" s="11">
        <f>SUMIF(Tabla6[[Codigo ]],'Catalogo completo'!$A13,Tabla6[Cantidad])</f>
        <v>0</v>
      </c>
      <c r="H13" s="11">
        <f>SUMIF(Tabla68[[Codigo ]],'Catalogo completo'!$A13,Tabla68[Cantidad])</f>
        <v>0</v>
      </c>
      <c r="I13" s="11">
        <f>'Catalogo completo'!$G13-'Catalogo completo'!$H13</f>
        <v>0</v>
      </c>
      <c r="J13" s="10">
        <f>IFERROR(VLOOKUP('Catalogo completo'!$A13,inventario[],4,FALSE),"Codigo invalido")</f>
        <v>6000</v>
      </c>
      <c r="K13" s="10">
        <f>Tabla14[[#This Row],[Precio Unitario]]/(1-$O$1)</f>
        <v>7058.8235294117649</v>
      </c>
      <c r="L13" s="10">
        <f>Tabla14[[#This Row],[Precio de venta]]-Tabla14[[#This Row],[Precio Unitario]]</f>
        <v>1058.8235294117649</v>
      </c>
      <c r="M13" s="17">
        <f>Tabla14[[#This Row],[Ganancia]]/Tabla14[[#This Row],[Precio de venta]]</f>
        <v>0.15000000000000002</v>
      </c>
      <c r="N13" s="4">
        <v>365</v>
      </c>
      <c r="O13" s="9" t="str">
        <f>IFERROR('Catalogo completo'!$D13+'Catalogo completo'!$N13,"")</f>
        <v/>
      </c>
    </row>
    <row r="14" spans="1:15" x14ac:dyDescent="0.25">
      <c r="A14" s="3">
        <v>9</v>
      </c>
      <c r="B14" t="str">
        <f>IFERROR(VLOOKUP('Catalogo completo'!$A14,inventario[],2,FALSE),"Codigo invalido")</f>
        <v>Amoxicilina</v>
      </c>
      <c r="C14" t="str">
        <f>IFERROR(VLOOKUP('Catalogo completo'!$A14,inventario[],3,FALSE),"Codigo invalido")</f>
        <v>Medicamento</v>
      </c>
      <c r="D14" s="9" t="str">
        <f>IFERROR(VLOOKUP('Catalogo completo'!$A14,Tabla6[],4,FALSE),"")</f>
        <v/>
      </c>
      <c r="E14" s="9" t="str">
        <f>IFERROR(VLOOKUP('Catalogo completo'!$A14,Tabla68[],4,FALSE),"")</f>
        <v/>
      </c>
      <c r="F14" t="s">
        <v>20</v>
      </c>
      <c r="G14" s="11">
        <f>SUMIF(Tabla6[[Codigo ]],'Catalogo completo'!$A14,Tabla6[Cantidad])</f>
        <v>0</v>
      </c>
      <c r="H14" s="11">
        <f>SUMIF(Tabla68[[Codigo ]],'Catalogo completo'!$A14,Tabla68[Cantidad])</f>
        <v>0</v>
      </c>
      <c r="I14" s="11">
        <f>'Catalogo completo'!$G14-'Catalogo completo'!$H14</f>
        <v>0</v>
      </c>
      <c r="J14" s="10">
        <f>IFERROR(VLOOKUP('Catalogo completo'!$A14,inventario[],4,FALSE),"Codigo invalido")</f>
        <v>8500</v>
      </c>
      <c r="K14" s="10">
        <f>Tabla14[[#This Row],[Precio Unitario]]/(1-$O$1)</f>
        <v>10000</v>
      </c>
      <c r="L14" s="10">
        <f>Tabla14[[#This Row],[Precio de venta]]-Tabla14[[#This Row],[Precio Unitario]]</f>
        <v>1500</v>
      </c>
      <c r="M14" s="17">
        <f>Tabla14[[#This Row],[Ganancia]]/Tabla14[[#This Row],[Precio de venta]]</f>
        <v>0.15</v>
      </c>
      <c r="N14" s="4">
        <v>365</v>
      </c>
      <c r="O14" s="9" t="str">
        <f>IFERROR('Catalogo completo'!$D14+'Catalogo completo'!$N14,"")</f>
        <v/>
      </c>
    </row>
    <row r="15" spans="1:15" x14ac:dyDescent="0.25">
      <c r="A15" s="3">
        <v>10</v>
      </c>
      <c r="B15" t="str">
        <f>IFERROR(VLOOKUP('Catalogo completo'!$A15,inventario[],2,FALSE),"Codigo invalido")</f>
        <v>Paracetamol</v>
      </c>
      <c r="C15" t="str">
        <f>IFERROR(VLOOKUP('Catalogo completo'!$A15,inventario[],3,FALSE),"Codigo invalido")</f>
        <v>Medicamento</v>
      </c>
      <c r="D15" s="9" t="str">
        <f>IFERROR(VLOOKUP('Catalogo completo'!$A15,Tabla6[],4,FALSE),"")</f>
        <v/>
      </c>
      <c r="E15" s="9" t="str">
        <f>IFERROR(VLOOKUP('Catalogo completo'!$A15,Tabla68[],4,FALSE),"")</f>
        <v/>
      </c>
      <c r="F15" t="s">
        <v>15</v>
      </c>
      <c r="G15" s="11">
        <f>SUMIF(Tabla6[[Codigo ]],'Catalogo completo'!$A15,Tabla6[Cantidad])</f>
        <v>0</v>
      </c>
      <c r="H15" s="11">
        <f>SUMIF(Tabla68[[Codigo ]],'Catalogo completo'!$A15,Tabla68[Cantidad])</f>
        <v>0</v>
      </c>
      <c r="I15" s="11">
        <f>'Catalogo completo'!$G15-'Catalogo completo'!$H15</f>
        <v>0</v>
      </c>
      <c r="J15" s="10">
        <f>IFERROR(VLOOKUP('Catalogo completo'!$A15,inventario[],4,FALSE),"Codigo invalido")</f>
        <v>100</v>
      </c>
      <c r="K15" s="10">
        <f>Tabla14[[#This Row],[Precio Unitario]]/(1-$O$1)</f>
        <v>117.64705882352942</v>
      </c>
      <c r="L15" s="10">
        <f>Tabla14[[#This Row],[Precio de venta]]-Tabla14[[#This Row],[Precio Unitario]]</f>
        <v>17.64705882352942</v>
      </c>
      <c r="M15" s="17">
        <f>Tabla14[[#This Row],[Ganancia]]/Tabla14[[#This Row],[Precio de venta]]</f>
        <v>0.15000000000000005</v>
      </c>
      <c r="N15" s="4">
        <v>365</v>
      </c>
      <c r="O15" s="9" t="str">
        <f>IFERROR('Catalogo completo'!$D15+'Catalogo completo'!$N15,"")</f>
        <v/>
      </c>
    </row>
    <row r="16" spans="1:15" x14ac:dyDescent="0.25">
      <c r="A16" s="3">
        <v>11</v>
      </c>
      <c r="B16" t="str">
        <f>IFERROR(VLOOKUP('Catalogo completo'!$A16,inventario[],2,FALSE),"Codigo invalido")</f>
        <v>Loratadina</v>
      </c>
      <c r="C16" t="str">
        <f>IFERROR(VLOOKUP('Catalogo completo'!$A16,inventario[],3,FALSE),"Codigo invalido")</f>
        <v>Medicamento</v>
      </c>
      <c r="D16" s="9">
        <f>IFERROR(VLOOKUP('Catalogo completo'!$A16,Tabla6[],4,FALSE),"")</f>
        <v>45413</v>
      </c>
      <c r="E16" s="9" t="str">
        <f>IFERROR(VLOOKUP('Catalogo completo'!$A16,Tabla68[],4,FALSE),"")</f>
        <v/>
      </c>
      <c r="F16" t="s">
        <v>22</v>
      </c>
      <c r="G16" s="11">
        <f>SUMIF(Tabla6[[Codigo ]],'Catalogo completo'!$A16,Tabla6[Cantidad])</f>
        <v>16</v>
      </c>
      <c r="H16" s="11">
        <f>SUMIF(Tabla68[[Codigo ]],'Catalogo completo'!$A16,Tabla68[Cantidad])</f>
        <v>0</v>
      </c>
      <c r="I16" s="11">
        <f>'Catalogo completo'!$G16-'Catalogo completo'!$H16</f>
        <v>16</v>
      </c>
      <c r="J16" s="10">
        <f>IFERROR(VLOOKUP('Catalogo completo'!$A16,inventario[],4,FALSE),"Codigo invalido")</f>
        <v>200</v>
      </c>
      <c r="K16" s="10">
        <f>Tabla14[[#This Row],[Precio Unitario]]/(1-$O$1)</f>
        <v>235.29411764705884</v>
      </c>
      <c r="L16" s="10">
        <f>Tabla14[[#This Row],[Precio de venta]]-Tabla14[[#This Row],[Precio Unitario]]</f>
        <v>35.29411764705884</v>
      </c>
      <c r="M16" s="17">
        <f>Tabla14[[#This Row],[Ganancia]]/Tabla14[[#This Row],[Precio de venta]]</f>
        <v>0.15000000000000005</v>
      </c>
      <c r="N16" s="4">
        <v>365</v>
      </c>
      <c r="O16" s="9">
        <f>IFERROR('Catalogo completo'!$D16+'Catalogo completo'!$N16,"")</f>
        <v>45778</v>
      </c>
    </row>
    <row r="23" spans="1:5" x14ac:dyDescent="0.25">
      <c r="A23" s="23" t="s">
        <v>39</v>
      </c>
      <c r="B23" s="23"/>
      <c r="D23"/>
    </row>
    <row r="25" spans="1:5" x14ac:dyDescent="0.25">
      <c r="A25" s="12" t="s">
        <v>40</v>
      </c>
      <c r="B25" s="13">
        <f>SUM(Tabla14[Precio Unitario])</f>
        <v>33300</v>
      </c>
    </row>
    <row r="26" spans="1:5" x14ac:dyDescent="0.25">
      <c r="A26" s="12" t="s">
        <v>41</v>
      </c>
      <c r="B26" s="13">
        <f>AVERAGE(Tabla14[Precio Unitario])</f>
        <v>3027.2727272727275</v>
      </c>
    </row>
    <row r="27" spans="1:5" x14ac:dyDescent="0.25">
      <c r="A27" s="12" t="s">
        <v>42</v>
      </c>
      <c r="B27" s="13">
        <f>MIN(Tabla14[Precio Unitario])</f>
        <v>100</v>
      </c>
    </row>
    <row r="28" spans="1:5" x14ac:dyDescent="0.25">
      <c r="A28" s="12" t="s">
        <v>43</v>
      </c>
      <c r="B28" s="13">
        <f>MAX(Tabla14[Precio Unitario])</f>
        <v>8500</v>
      </c>
    </row>
    <row r="30" spans="1:5" x14ac:dyDescent="0.25">
      <c r="A30" s="22" t="s">
        <v>44</v>
      </c>
      <c r="B30" s="22"/>
      <c r="C30" s="22"/>
      <c r="D30" s="22"/>
      <c r="E30" s="22"/>
    </row>
    <row r="31" spans="1:5" x14ac:dyDescent="0.25">
      <c r="A31" s="12" t="s">
        <v>45</v>
      </c>
      <c r="B31" s="13">
        <f>SUMIF(Tabla14[[Proveedor   ]],"FarmaPlus",Tabla14[Precio Unitario])</f>
        <v>3700</v>
      </c>
      <c r="C31" s="18" t="s">
        <v>49</v>
      </c>
      <c r="D31" s="19"/>
      <c r="E31" s="20"/>
    </row>
    <row r="32" spans="1:5" x14ac:dyDescent="0.25">
      <c r="A32" s="12" t="s">
        <v>46</v>
      </c>
      <c r="B32" s="14">
        <f>COUNTIF(Tabla14[Cantidad Disponible],"&gt;20")</f>
        <v>3</v>
      </c>
      <c r="C32" s="18" t="s">
        <v>50</v>
      </c>
      <c r="D32" s="19"/>
      <c r="E32" s="20"/>
    </row>
    <row r="33" spans="1:5" x14ac:dyDescent="0.25">
      <c r="A33" s="12" t="s">
        <v>47</v>
      </c>
      <c r="B33" s="14">
        <f>AVERAGEIF(Tabla14[Cantidad Disponible],"&lt;&gt;0",Tabla14[Cantidad Disponible])</f>
        <v>26.2</v>
      </c>
      <c r="C33" s="18" t="s">
        <v>51</v>
      </c>
      <c r="D33" s="19"/>
      <c r="E33" s="20"/>
    </row>
    <row r="34" spans="1:5" x14ac:dyDescent="0.25">
      <c r="A34" s="12" t="s">
        <v>52</v>
      </c>
      <c r="B34" s="13">
        <f>AVERAGEIFS(Tabla14[Precio Unitario],Tabla14[Categoría],"Medicamento",Tabla14[[Proveedor   ]],"FarmaPlus")</f>
        <v>1233.3333333333333</v>
      </c>
      <c r="C34" s="18" t="s">
        <v>53</v>
      </c>
      <c r="D34" s="19"/>
      <c r="E34" s="20"/>
    </row>
  </sheetData>
  <mergeCells count="9">
    <mergeCell ref="C32:E32"/>
    <mergeCell ref="C31:E31"/>
    <mergeCell ref="C33:E33"/>
    <mergeCell ref="C34:E34"/>
    <mergeCell ref="K1:N1"/>
    <mergeCell ref="A30:E30"/>
    <mergeCell ref="A23:B23"/>
    <mergeCell ref="A3:O3"/>
    <mergeCell ref="A4:O4"/>
  </mergeCells>
  <phoneticPr fontId="2" type="noConversion"/>
  <conditionalFormatting sqref="I1:I4 I6:I1048576">
    <cfRule type="cellIs" dxfId="0" priority="1" operator="lessThan">
      <formula>0</formula>
    </cfRule>
  </conditionalFormatting>
  <dataValidations disablePrompts="1" count="2">
    <dataValidation type="list" allowBlank="1" showInputMessage="1" showErrorMessage="1" sqref="F6:F16" xr:uid="{8E4457A4-23C6-4DF6-BB62-18895D658D75}">
      <formula1>INDIRECT("prove[Proveedor]")</formula1>
    </dataValidation>
    <dataValidation type="list" allowBlank="1" showInputMessage="1" showErrorMessage="1" sqref="A6:A16" xr:uid="{CA7B603A-8443-4272-A5FB-428927901055}">
      <formula1>INDIRECT("inventario[Codigo]")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6A23-722C-4E60-92D1-1186B4E1B67E}">
  <dimension ref="A2:K8"/>
  <sheetViews>
    <sheetView workbookViewId="0">
      <selection activeCell="J7" sqref="J7"/>
    </sheetView>
  </sheetViews>
  <sheetFormatPr baseColWidth="10" defaultRowHeight="15" x14ac:dyDescent="0.25"/>
  <cols>
    <col min="1" max="1" width="10.140625" bestFit="1" customWidth="1"/>
    <col min="2" max="2" width="23.28515625" bestFit="1" customWidth="1"/>
    <col min="4" max="4" width="9.42578125" style="6" bestFit="1" customWidth="1"/>
    <col min="8" max="8" width="10.140625" bestFit="1" customWidth="1"/>
    <col min="9" max="9" width="23.28515625" bestFit="1" customWidth="1"/>
    <col min="11" max="11" width="9.42578125" bestFit="1" customWidth="1"/>
  </cols>
  <sheetData>
    <row r="2" spans="1:11" x14ac:dyDescent="0.25">
      <c r="A2" s="26" t="s">
        <v>34</v>
      </c>
      <c r="B2" s="26"/>
      <c r="C2" s="26"/>
      <c r="D2" s="26"/>
      <c r="H2" s="26" t="s">
        <v>35</v>
      </c>
      <c r="I2" s="26"/>
      <c r="J2" s="26"/>
      <c r="K2" s="26"/>
    </row>
    <row r="3" spans="1:11" x14ac:dyDescent="0.25">
      <c r="A3" t="s">
        <v>31</v>
      </c>
      <c r="B3" t="s">
        <v>28</v>
      </c>
      <c r="C3" t="s">
        <v>33</v>
      </c>
      <c r="D3" s="6" t="s">
        <v>32</v>
      </c>
      <c r="H3" t="s">
        <v>31</v>
      </c>
      <c r="I3" t="s">
        <v>28</v>
      </c>
      <c r="J3" t="s">
        <v>33</v>
      </c>
      <c r="K3" t="s">
        <v>32</v>
      </c>
    </row>
    <row r="4" spans="1:11" x14ac:dyDescent="0.25">
      <c r="A4" s="3">
        <v>1</v>
      </c>
      <c r="B4" t="str">
        <f>VLOOKUP(Tabla6[[#This Row],[Codigo ]],inventario[],2,FALSE)</f>
        <v>Jeringa Descartable 10ml</v>
      </c>
      <c r="C4" s="7">
        <v>50</v>
      </c>
      <c r="D4" s="6">
        <v>45292</v>
      </c>
      <c r="H4" s="3">
        <v>1</v>
      </c>
      <c r="I4" t="str">
        <f>VLOOKUP(Tabla68[[#This Row],[Codigo ]],inventario[],2,FALSE)</f>
        <v>Jeringa Descartable 10ml</v>
      </c>
      <c r="J4">
        <v>15</v>
      </c>
      <c r="K4" s="1">
        <v>45292</v>
      </c>
    </row>
    <row r="5" spans="1:11" x14ac:dyDescent="0.25">
      <c r="A5" s="3">
        <v>2</v>
      </c>
      <c r="B5" t="str">
        <f>VLOOKUP(Tabla6[[#This Row],[Codigo ]],inventario[],2,FALSE)</f>
        <v>Venda Elástica</v>
      </c>
      <c r="C5" s="7">
        <v>30</v>
      </c>
      <c r="D5" s="6">
        <v>45292</v>
      </c>
      <c r="H5" s="3">
        <v>2</v>
      </c>
      <c r="I5" t="str">
        <f>VLOOKUP(Tabla68[[#This Row],[Codigo ]],inventario[],2,FALSE)</f>
        <v>Venda Elástica</v>
      </c>
      <c r="J5">
        <v>20</v>
      </c>
      <c r="K5" s="1">
        <v>45292</v>
      </c>
    </row>
    <row r="6" spans="1:11" x14ac:dyDescent="0.25">
      <c r="A6" s="3">
        <v>3</v>
      </c>
      <c r="B6" t="str">
        <f>VLOOKUP(Tabla6[[#This Row],[Codigo ]],inventario[],2,FALSE)</f>
        <v>Omeprazol</v>
      </c>
      <c r="C6" s="7">
        <v>50</v>
      </c>
      <c r="D6" s="6">
        <v>45292</v>
      </c>
      <c r="H6" s="3">
        <v>3</v>
      </c>
      <c r="I6" t="str">
        <f>VLOOKUP(Tabla68[[#This Row],[Codigo ]],inventario[],2,FALSE)</f>
        <v>Omeprazol</v>
      </c>
      <c r="J6">
        <v>10</v>
      </c>
      <c r="K6" s="1">
        <v>45292</v>
      </c>
    </row>
    <row r="7" spans="1:11" x14ac:dyDescent="0.25">
      <c r="A7" s="3">
        <v>4</v>
      </c>
      <c r="B7" t="str">
        <f>VLOOKUP(Tabla6[[#This Row],[Codigo ]],inventario[],2,FALSE)</f>
        <v>Diclofenaco</v>
      </c>
      <c r="C7" s="7">
        <v>40</v>
      </c>
      <c r="D7" s="6">
        <v>45352</v>
      </c>
      <c r="H7" s="3">
        <v>4</v>
      </c>
      <c r="I7" t="str">
        <f>VLOOKUP(Tabla68[[#This Row],[Codigo ]],inventario[],2,FALSE)</f>
        <v>Diclofenaco</v>
      </c>
      <c r="J7">
        <v>10</v>
      </c>
      <c r="K7" s="1">
        <v>45352</v>
      </c>
    </row>
    <row r="8" spans="1:11" x14ac:dyDescent="0.25">
      <c r="A8" s="3">
        <v>11</v>
      </c>
      <c r="B8" t="str">
        <f>VLOOKUP(Tabla6[[#This Row],[Codigo ]],inventario[],2,FALSE)</f>
        <v>Loratadina</v>
      </c>
      <c r="C8" s="7">
        <v>16</v>
      </c>
      <c r="D8" s="6">
        <v>45413</v>
      </c>
    </row>
  </sheetData>
  <mergeCells count="2">
    <mergeCell ref="A2:D2"/>
    <mergeCell ref="H2:K2"/>
  </mergeCells>
  <dataValidations count="1">
    <dataValidation type="list" allowBlank="1" showInputMessage="1" showErrorMessage="1" sqref="A4:A8 H4:H7" xr:uid="{F9C8B387-2863-4258-99EB-665EB27DF03E}">
      <formula1>INDIRECT("inventario[Codigo]")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6D0D-7B28-442A-8A85-28B023465906}">
  <dimension ref="A3:D15"/>
  <sheetViews>
    <sheetView workbookViewId="0">
      <selection activeCell="H10" sqref="H10"/>
    </sheetView>
  </sheetViews>
  <sheetFormatPr baseColWidth="10" defaultRowHeight="15" x14ac:dyDescent="0.25"/>
  <cols>
    <col min="1" max="1" width="12" bestFit="1" customWidth="1"/>
    <col min="2" max="2" width="23.28515625" bestFit="1" customWidth="1"/>
    <col min="3" max="3" width="15.140625" bestFit="1" customWidth="1"/>
    <col min="4" max="4" width="18.7109375" bestFit="1" customWidth="1"/>
  </cols>
  <sheetData>
    <row r="3" spans="1:4" x14ac:dyDescent="0.25">
      <c r="A3" s="26" t="s">
        <v>30</v>
      </c>
      <c r="B3" s="26"/>
      <c r="C3" s="26"/>
      <c r="D3" s="26"/>
    </row>
    <row r="4" spans="1:4" x14ac:dyDescent="0.25">
      <c r="A4" s="5" t="s">
        <v>27</v>
      </c>
      <c r="B4" s="5" t="s">
        <v>28</v>
      </c>
      <c r="C4" s="5" t="s">
        <v>29</v>
      </c>
      <c r="D4" s="5" t="s">
        <v>10</v>
      </c>
    </row>
    <row r="5" spans="1:4" x14ac:dyDescent="0.25">
      <c r="A5" s="3">
        <v>1</v>
      </c>
      <c r="B5" t="s">
        <v>14</v>
      </c>
      <c r="C5" t="s">
        <v>48</v>
      </c>
      <c r="D5" s="2">
        <v>1500</v>
      </c>
    </row>
    <row r="6" spans="1:4" x14ac:dyDescent="0.25">
      <c r="A6" s="3">
        <v>2</v>
      </c>
      <c r="B6" t="s">
        <v>16</v>
      </c>
      <c r="C6" t="s">
        <v>48</v>
      </c>
      <c r="D6" s="2">
        <v>2000</v>
      </c>
    </row>
    <row r="7" spans="1:4" x14ac:dyDescent="0.25">
      <c r="A7" s="3">
        <v>3</v>
      </c>
      <c r="B7" t="s">
        <v>5</v>
      </c>
      <c r="C7" t="s">
        <v>18</v>
      </c>
      <c r="D7" s="2">
        <v>4500</v>
      </c>
    </row>
    <row r="8" spans="1:4" x14ac:dyDescent="0.25">
      <c r="A8" s="3">
        <v>4</v>
      </c>
      <c r="B8" t="s">
        <v>19</v>
      </c>
      <c r="C8" t="s">
        <v>18</v>
      </c>
      <c r="D8" s="2">
        <v>1000</v>
      </c>
    </row>
    <row r="9" spans="1:4" x14ac:dyDescent="0.25">
      <c r="A9" s="3">
        <v>5</v>
      </c>
      <c r="B9" t="s">
        <v>8</v>
      </c>
      <c r="C9" t="s">
        <v>18</v>
      </c>
      <c r="D9" s="2">
        <v>2500</v>
      </c>
    </row>
    <row r="10" spans="1:4" x14ac:dyDescent="0.25">
      <c r="A10" s="3">
        <v>6</v>
      </c>
      <c r="B10" t="s">
        <v>21</v>
      </c>
      <c r="C10" t="s">
        <v>48</v>
      </c>
      <c r="D10" s="2">
        <v>3000</v>
      </c>
    </row>
    <row r="11" spans="1:4" x14ac:dyDescent="0.25">
      <c r="A11" s="3">
        <v>7</v>
      </c>
      <c r="B11" t="s">
        <v>23</v>
      </c>
      <c r="C11" t="s">
        <v>48</v>
      </c>
      <c r="D11" s="2">
        <v>4000</v>
      </c>
    </row>
    <row r="12" spans="1:4" x14ac:dyDescent="0.25">
      <c r="A12" s="3">
        <v>8</v>
      </c>
      <c r="B12" t="s">
        <v>24</v>
      </c>
      <c r="C12" t="s">
        <v>48</v>
      </c>
      <c r="D12" s="2">
        <v>6000</v>
      </c>
    </row>
    <row r="13" spans="1:4" x14ac:dyDescent="0.25">
      <c r="A13" s="3">
        <v>9</v>
      </c>
      <c r="B13" t="s">
        <v>7</v>
      </c>
      <c r="C13" t="s">
        <v>18</v>
      </c>
      <c r="D13" s="2">
        <v>8500</v>
      </c>
    </row>
    <row r="14" spans="1:4" x14ac:dyDescent="0.25">
      <c r="A14" s="3">
        <v>10</v>
      </c>
      <c r="B14" t="s">
        <v>9</v>
      </c>
      <c r="C14" t="s">
        <v>18</v>
      </c>
      <c r="D14" s="2">
        <v>100</v>
      </c>
    </row>
    <row r="15" spans="1:4" x14ac:dyDescent="0.25">
      <c r="A15" s="3">
        <v>11</v>
      </c>
      <c r="B15" t="s">
        <v>6</v>
      </c>
      <c r="C15" t="s">
        <v>18</v>
      </c>
      <c r="D15" s="2">
        <v>200</v>
      </c>
    </row>
  </sheetData>
  <mergeCells count="1">
    <mergeCell ref="A3:D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1DEF-B48E-469F-BF41-DE295546D3FE}">
  <dimension ref="A3:A11"/>
  <sheetViews>
    <sheetView workbookViewId="0">
      <selection activeCell="A12" sqref="A12"/>
    </sheetView>
  </sheetViews>
  <sheetFormatPr baseColWidth="10" defaultRowHeight="15" x14ac:dyDescent="0.25"/>
  <cols>
    <col min="1" max="2" width="20.140625" bestFit="1" customWidth="1"/>
  </cols>
  <sheetData>
    <row r="3" spans="1:1" x14ac:dyDescent="0.25">
      <c r="A3" t="s">
        <v>3</v>
      </c>
    </row>
    <row r="4" spans="1:1" x14ac:dyDescent="0.25">
      <c r="A4" t="s">
        <v>15</v>
      </c>
    </row>
    <row r="5" spans="1:1" x14ac:dyDescent="0.25">
      <c r="A5" t="s">
        <v>17</v>
      </c>
    </row>
    <row r="6" spans="1:1" x14ac:dyDescent="0.25">
      <c r="A6" t="s">
        <v>17</v>
      </c>
    </row>
    <row r="7" spans="1:1" x14ac:dyDescent="0.25">
      <c r="A7" t="s">
        <v>17</v>
      </c>
    </row>
    <row r="8" spans="1:1" x14ac:dyDescent="0.25">
      <c r="A8" t="s">
        <v>20</v>
      </c>
    </row>
    <row r="9" spans="1:1" x14ac:dyDescent="0.25">
      <c r="A9" t="s">
        <v>17</v>
      </c>
    </row>
    <row r="10" spans="1:1" x14ac:dyDescent="0.25">
      <c r="A10" t="s">
        <v>22</v>
      </c>
    </row>
    <row r="11" spans="1:1" x14ac:dyDescent="0.25">
      <c r="A1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3 d d a 1 3 - 8 a f 0 - 4 7 3 d - b a c a - c 1 6 8 6 6 6 5 4 9 d e "   x m l n s = " h t t p : / / s c h e m a s . m i c r o s o f t . c o m / D a t a M a s h u p " > A A A A A O U E A A B Q S w M E F A A C A A g A / G Z R W W N 7 6 I C j A A A A 9 Q A A A B I A H A B D b 2 5 m a W c v U G F j a 2 F n Z S 5 4 b W w g o h g A K K A U A A A A A A A A A A A A A A A A A A A A A A A A A A A A h Y 8 x D o I w G I W v Q r r T l h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j v F i i S m Q m U G h z b d n 0 9 x n + w M h H x o 3 9 I o r G + Y b I H M E 8 r 7 A H 1 B L A w Q U A A I A C A D 8 Z l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G Z R W R L m 5 U v g A Q A A g Q U A A B M A H A B G b 3 J t d W x h c y 9 T Z W N 0 a W 9 u M S 5 t I K I Y A C i g F A A A A A A A A A A A A A A A A A A A A A A A A A A A A O W T w W 7 T Q B C G 7 5 H y D i t z S S Q r a h A U q c i H 4 r S i E h R Q E i 4 N q s a 7 g 7 P S e i f a n Q T a K A / U A 6 f e e v W L M W l Q C o q b c u G E L 1 7 P z P 7 z 7 8 7 n i J o t e T X c v P u v 2 6 1 2 K 0 4 h o F F T B M d T L e t L A w w F R F S Z c s j t l p L n Q 7 A l e o n k c d E b k J 5 X 6 L l z a h 3 2 c v I s H 7 G T 5 E e T c c Q Q J y e R 7 Q L 9 Z E D f v C M w c d I g 3 9 N x k X T T i w E 6 W 1 n G k C V p k q q c 3 L z y M X u V q h O v y V h f Z o c v D w 7 6 q f o 0 J 8 Y h X z n M H p a 9 c / L 4 p Z t u f D 5 L Z B M U e A 2 G o p o F q m h h Z Z m I 9 R E U U v 5 x H W N 8 i 2 D E a m d z s F R d / I o f O z f U 4 C D E j M P 8 d + G R n Z H S U B V W t B / 0 R g F 8 / E q h 2 h g f X c 0 w d h 6 1 k S 6 X y d l A j n n m + f B F b 1 2 9 S t U y y Y G x p F D / A M m x R B X j d 7 5 P i T E z 1 0 w N C d S W m r Q 8 W w N G D W y c k b f i c r d I V B e I h s K O 7 C n q K S i D s q M M G L d 9 Z W 6 4 W n X b L e u b r + Q J n C 4 N M g g w 5 h 9 z t e 3 z B G D 9 5 / 8 V Y e d U F U G m i E 4 9 S t Q e C v d S s R + o v + R x D b M a e 8 s Q m q j e G v i M X s s 8 B Y 3 d A 4 w j q f f 1 j b G 6 I V d Y D d r W t 1 4 J c c e u A l 3 f + F 2 3 9 a 2 x J a 0 7 v Y E Q I D Z c Z X 1 X Y b g v e S c D / U N i 7 w / y E 1 B L A Q I t A B Q A A g A I A P x m U V l j e + i A o w A A A P U A A A A S A A A A A A A A A A A A A A A A A A A A A A B D b 2 5 m a W c v U G F j a 2 F n Z S 5 4 b W x Q S w E C L Q A U A A I A C A D 8 Z l F Z D 8 r p q 6 Q A A A D p A A A A E w A A A A A A A A A A A A A A A A D v A A A A W 0 N v b n R l b n R f V H l w Z X N d L n h t b F B L A Q I t A B Q A A g A I A P x m U V k S 5 u V L 4 A E A A I E F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d A A A A A A A A z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j Y X J l X 2 R h d G F i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0 M m N m Z j E t M G E z M y 0 0 Z m V h L W I 5 M D Q t Z j V l M j U x M j Y 5 M z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x 0 a G N h c m V f Z G F 0 Y W J h c 2 U v Q X V 0 b 1 J l b W 9 2 Z W R D b 2 x 1 b W 5 z M S 5 7 S U Q s M H 0 m c X V v d D s s J n F 1 b 3 Q 7 U 2 V j d G l v b j E v a G V h b H R o Y 2 F y Z V 9 k Y X R h Y m F z Z S 9 B d X R v U m V t b 3 Z l Z E N v b H V t b n M x L n t D Y X R l Z 2 9 y w 6 1 h L D F 9 J n F 1 b 3 Q 7 L C Z x d W 9 0 O 1 N l Y 3 R p b 2 4 x L 2 h l Y W x 0 a G N h c m V f Z G F 0 Y W J h c 2 U v Q X V 0 b 1 J l b W 9 2 Z W R D b 2 x 1 b W 5 z M S 5 7 U H J v Z H V j d G 8 s M n 0 m c X V v d D s s J n F 1 b 3 Q 7 U 2 V j d G l v b j E v a G V h b H R o Y 2 F y Z V 9 k Y X R h Y m F z Z S 9 B d X R v U m V t b 3 Z l Z E N v b H V t b n M x L n t Q c m V j a W 8 s M 3 0 m c X V v d D s s J n F 1 b 3 Q 7 U 2 V j d G l v b j E v a G V h b H R o Y 2 F y Z V 9 k Y X R h Y m F z Z S 9 B d X R v U m V t b 3 Z l Z E N v b H V t b n M x L n t D Y W 5 0 a W R h Z C B E a X N w b 2 5 p Y m x l L D R 9 J n F 1 b 3 Q 7 L C Z x d W 9 0 O 1 N l Y 3 R p b 2 4 x L 2 h l Y W x 0 a G N h c m V f Z G F 0 Y W J h c 2 U v Q X V 0 b 1 J l b W 9 2 Z W R D b 2 x 1 b W 5 z M S 5 7 U H J v d m V l Z G 9 y L D V 9 J n F 1 b 3 Q 7 L C Z x d W 9 0 O 1 N l Y 3 R p b 2 4 x L 2 h l Y W x 0 a G N h c m V f Z G F 0 Y W J h c 2 U v Q X V 0 b 1 J l b W 9 2 Z W R D b 2 x 1 b W 5 z M S 5 7 R m V j a G E g Z G U g S W 5 n c m V z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Z W F s d G h j Y X J l X 2 R h d G F i Y X N l L 0 F 1 d G 9 S Z W 1 v d m V k Q 2 9 s d W 1 u c z E u e 0 l E L D B 9 J n F 1 b 3 Q 7 L C Z x d W 9 0 O 1 N l Y 3 R p b 2 4 x L 2 h l Y W x 0 a G N h c m V f Z G F 0 Y W J h c 2 U v Q X V 0 b 1 J l b W 9 2 Z W R D b 2 x 1 b W 5 z M S 5 7 Q 2 F 0 Z W d v c s O t Y S w x f S Z x d W 9 0 O y w m c X V v d D t T Z W N 0 a W 9 u M S 9 o Z W F s d G h j Y X J l X 2 R h d G F i Y X N l L 0 F 1 d G 9 S Z W 1 v d m V k Q 2 9 s d W 1 u c z E u e 1 B y b 2 R 1 Y 3 R v L D J 9 J n F 1 b 3 Q 7 L C Z x d W 9 0 O 1 N l Y 3 R p b 2 4 x L 2 h l Y W x 0 a G N h c m V f Z G F 0 Y W J h c 2 U v Q X V 0 b 1 J l b W 9 2 Z W R D b 2 x 1 b W 5 z M S 5 7 U H J l Y 2 l v L D N 9 J n F 1 b 3 Q 7 L C Z x d W 9 0 O 1 N l Y 3 R p b 2 4 x L 2 h l Y W x 0 a G N h c m V f Z G F 0 Y W J h c 2 U v Q X V 0 b 1 J l b W 9 2 Z W R D b 2 x 1 b W 5 z M S 5 7 Q 2 F u d G l k Y W Q g R G l z c G 9 u a W J s Z S w 0 f S Z x d W 9 0 O y w m c X V v d D t T Z W N 0 a W 9 u M S 9 o Z W F s d G h j Y X J l X 2 R h d G F i Y X N l L 0 F 1 d G 9 S Z W 1 v d m V k Q 2 9 s d W 1 u c z E u e 1 B y b 3 Z l Z W R v c i w 1 f S Z x d W 9 0 O y w m c X V v d D t T Z W N 0 a W 9 u M S 9 o Z W F s d G h j Y X J l X 2 R h d G F i Y X N l L 0 F 1 d G 9 S Z W 1 v d m V k Q 2 9 s d W 1 u c z E u e 0 Z l Y 2 h h I G R l I E l u Z 3 J l c 2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N h d G V n b 3 L D r W E m c X V v d D s s J n F 1 b 3 Q 7 U H J v Z H V j d G 8 m c X V v d D s s J n F 1 b 3 Q 7 U H J l Y 2 l v J n F 1 b 3 Q 7 L C Z x d W 9 0 O 0 N h b n R p Z G F k I E R p c 3 B v b m l i b G U m c X V v d D s s J n F 1 b 3 Q 7 U H J v d m V l Z G 9 y J n F 1 b 3 Q 7 L C Z x d W 9 0 O 0 Z l Y 2 h h I G R l I E l u Z 3 J l c 2 8 m c X V v d D t d I i A v P j x F b n R y e S B U e X B l P S J G a W x s Q 2 9 s d W 1 u V H l w Z X M i I F Z h b H V l P S J z Q X d Z R 0 F 3 T U d D U T 0 9 I i A v P j x F b n R y e S B U e X B l P S J G a W x s T G F z d F V w Z G F 0 Z W Q i I F Z h b H V l P S J k M j A y N C 0 x M C 0 x N 1 Q x N z o 1 N T o 1 N y 4 2 N j c 4 N z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W x 0 a G N h c m V f Z G F 0 Y W J h c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Y 2 F y Z V 9 k Y X R h Y m F z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j Y X J l X 2 R h d G F i Y X N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G N h c m V f Z G F 0 Y W J h c 2 V f Z G V 0 Y W l s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D h h N j k y M S 0 4 N W U 4 L T Q 1 N z g t O G Q z O S 1 l N D k w N T B h Y z g w N j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3 V D E 3 O j U 1 O j U 3 L j Y 4 M z Q 5 O T Z a I i A v P j x F b n R y e S B U e X B l P S J G a W x s Q 2 9 s d W 1 u V H l w Z X M i I F Z h b H V l P S J z Q X d Z R 0 N R W U R B d 1 l H Q m d N R y I g L z 4 8 R W 5 0 c n k g V H l w Z T 0 i R m l s b E N v b H V t b k 5 h b W V z I i B W Y W x 1 Z T 0 i c 1 s m c X V v d D t J R C Z x d W 9 0 O y w m c X V v d D t O b 2 1 i c m U g Z G V s I F B y b 2 R 1 Y 3 R v J n F 1 b 3 Q 7 L C Z x d W 9 0 O 0 N h d G V n b 3 L D r W E m c X V v d D s s J n F 1 b 3 Q 7 R m V j a G E g Z G U g S W 5 n c m V z b y Z x d W 9 0 O y w m c X V v d D t Q c m 9 2 Z W V k b 3 I m c X V v d D s s J n F 1 b 3 Q 7 Q 2 F u d G l k Y W Q g R G l z c G 9 u a W J s Z S Z x d W 9 0 O y w m c X V v d D t Q c m V j a W 8 g V W 5 p d G F y a W 8 m c X V v d D s s J n F 1 b 3 Q 7 R m V j a G E g Z G U g V m V u Y 2 l t a W V u d G 8 m c X V v d D s s J n F 1 b 3 Q 7 V X N v I E 3 D q W R p Y 2 8 m c X V v d D s s J n F 1 b 3 Q 7 V W J p Y 2 F j a c O z b i B l b i B B b G 1 h Y 8 O p b i Z x d W 9 0 O y w m c X V v d D t D w 7 N k a W d v I G R l I E J h c n J h c y Z x d W 9 0 O y w m c X V v d D t O w 7 p t Z X J v I G R l I E x v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b H R o Y 2 F y Z V 9 k Y X R h Y m F z Z V 9 k Z X R h a W x l Z C 9 B d X R v U m V t b 3 Z l Z E N v b H V t b n M x L n t J R C w w f S Z x d W 9 0 O y w m c X V v d D t T Z W N 0 a W 9 u M S 9 o Z W F s d G h j Y X J l X 2 R h d G F i Y X N l X 2 R l d G F p b G V k L 0 F 1 d G 9 S Z W 1 v d m V k Q 2 9 s d W 1 u c z E u e 0 5 v b W J y Z S B k Z W w g U H J v Z H V j d G 8 s M X 0 m c X V v d D s s J n F 1 b 3 Q 7 U 2 V j d G l v b j E v a G V h b H R o Y 2 F y Z V 9 k Y X R h Y m F z Z V 9 k Z X R h a W x l Z C 9 B d X R v U m V t b 3 Z l Z E N v b H V t b n M x L n t D Y X R l Z 2 9 y w 6 1 h L D J 9 J n F 1 b 3 Q 7 L C Z x d W 9 0 O 1 N l Y 3 R p b 2 4 x L 2 h l Y W x 0 a G N h c m V f Z G F 0 Y W J h c 2 V f Z G V 0 Y W l s Z W Q v Q X V 0 b 1 J l b W 9 2 Z W R D b 2 x 1 b W 5 z M S 5 7 R m V j a G E g Z G U g S W 5 n c m V z b y w z f S Z x d W 9 0 O y w m c X V v d D t T Z W N 0 a W 9 u M S 9 o Z W F s d G h j Y X J l X 2 R h d G F i Y X N l X 2 R l d G F p b G V k L 0 F 1 d G 9 S Z W 1 v d m V k Q 2 9 s d W 1 u c z E u e 1 B y b 3 Z l Z W R v c i w 0 f S Z x d W 9 0 O y w m c X V v d D t T Z W N 0 a W 9 u M S 9 o Z W F s d G h j Y X J l X 2 R h d G F i Y X N l X 2 R l d G F p b G V k L 0 F 1 d G 9 S Z W 1 v d m V k Q 2 9 s d W 1 u c z E u e 0 N h b n R p Z G F k I E R p c 3 B v b m l i b G U s N X 0 m c X V v d D s s J n F 1 b 3 Q 7 U 2 V j d G l v b j E v a G V h b H R o Y 2 F y Z V 9 k Y X R h Y m F z Z V 9 k Z X R h a W x l Z C 9 B d X R v U m V t b 3 Z l Z E N v b H V t b n M x L n t Q c m V j a W 8 g V W 5 p d G F y a W 8 s N n 0 m c X V v d D s s J n F 1 b 3 Q 7 U 2 V j d G l v b j E v a G V h b H R o Y 2 F y Z V 9 k Y X R h Y m F z Z V 9 k Z X R h a W x l Z C 9 B d X R v U m V t b 3 Z l Z E N v b H V t b n M x L n t G Z W N o Y S B k Z S B W Z W 5 j a W 1 p Z W 5 0 b y w 3 f S Z x d W 9 0 O y w m c X V v d D t T Z W N 0 a W 9 u M S 9 o Z W F s d G h j Y X J l X 2 R h d G F i Y X N l X 2 R l d G F p b G V k L 0 F 1 d G 9 S Z W 1 v d m V k Q 2 9 s d W 1 u c z E u e 1 V z b y B N w 6 l k a W N v L D h 9 J n F 1 b 3 Q 7 L C Z x d W 9 0 O 1 N l Y 3 R p b 2 4 x L 2 h l Y W x 0 a G N h c m V f Z G F 0 Y W J h c 2 V f Z G V 0 Y W l s Z W Q v Q X V 0 b 1 J l b W 9 2 Z W R D b 2 x 1 b W 5 z M S 5 7 V W J p Y 2 F j a c O z b i B l b i B B b G 1 h Y 8 O p b i w 5 f S Z x d W 9 0 O y w m c X V v d D t T Z W N 0 a W 9 u M S 9 o Z W F s d G h j Y X J l X 2 R h d G F i Y X N l X 2 R l d G F p b G V k L 0 F 1 d G 9 S Z W 1 v d m V k Q 2 9 s d W 1 u c z E u e 0 P D s 2 R p Z 2 8 g Z G U g Q m F y c m F z L D E w f S Z x d W 9 0 O y w m c X V v d D t T Z W N 0 a W 9 u M S 9 o Z W F s d G h j Y X J l X 2 R h d G F i Y X N l X 2 R l d G F p b G V k L 0 F 1 d G 9 S Z W 1 v d m V k Q 2 9 s d W 1 u c z E u e 0 7 D u m 1 l c m 8 g Z G U g T G 9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h l Y W x 0 a G N h c m V f Z G F 0 Y W J h c 2 V f Z G V 0 Y W l s Z W Q v Q X V 0 b 1 J l b W 9 2 Z W R D b 2 x 1 b W 5 z M S 5 7 S U Q s M H 0 m c X V v d D s s J n F 1 b 3 Q 7 U 2 V j d G l v b j E v a G V h b H R o Y 2 F y Z V 9 k Y X R h Y m F z Z V 9 k Z X R h a W x l Z C 9 B d X R v U m V t b 3 Z l Z E N v b H V t b n M x L n t O b 2 1 i c m U g Z G V s I F B y b 2 R 1 Y 3 R v L D F 9 J n F 1 b 3 Q 7 L C Z x d W 9 0 O 1 N l Y 3 R p b 2 4 x L 2 h l Y W x 0 a G N h c m V f Z G F 0 Y W J h c 2 V f Z G V 0 Y W l s Z W Q v Q X V 0 b 1 J l b W 9 2 Z W R D b 2 x 1 b W 5 z M S 5 7 Q 2 F 0 Z W d v c s O t Y S w y f S Z x d W 9 0 O y w m c X V v d D t T Z W N 0 a W 9 u M S 9 o Z W F s d G h j Y X J l X 2 R h d G F i Y X N l X 2 R l d G F p b G V k L 0 F 1 d G 9 S Z W 1 v d m V k Q 2 9 s d W 1 u c z E u e 0 Z l Y 2 h h I G R l I E l u Z 3 J l c 2 8 s M 3 0 m c X V v d D s s J n F 1 b 3 Q 7 U 2 V j d G l v b j E v a G V h b H R o Y 2 F y Z V 9 k Y X R h Y m F z Z V 9 k Z X R h a W x l Z C 9 B d X R v U m V t b 3 Z l Z E N v b H V t b n M x L n t Q c m 9 2 Z W V k b 3 I s N H 0 m c X V v d D s s J n F 1 b 3 Q 7 U 2 V j d G l v b j E v a G V h b H R o Y 2 F y Z V 9 k Y X R h Y m F z Z V 9 k Z X R h a W x l Z C 9 B d X R v U m V t b 3 Z l Z E N v b H V t b n M x L n t D Y W 5 0 a W R h Z C B E a X N w b 2 5 p Y m x l L D V 9 J n F 1 b 3 Q 7 L C Z x d W 9 0 O 1 N l Y 3 R p b 2 4 x L 2 h l Y W x 0 a G N h c m V f Z G F 0 Y W J h c 2 V f Z G V 0 Y W l s Z W Q v Q X V 0 b 1 J l b W 9 2 Z W R D b 2 x 1 b W 5 z M S 5 7 U H J l Y 2 l v I F V u a X R h c m l v L D Z 9 J n F 1 b 3 Q 7 L C Z x d W 9 0 O 1 N l Y 3 R p b 2 4 x L 2 h l Y W x 0 a G N h c m V f Z G F 0 Y W J h c 2 V f Z G V 0 Y W l s Z W Q v Q X V 0 b 1 J l b W 9 2 Z W R D b 2 x 1 b W 5 z M S 5 7 R m V j a G E g Z G U g V m V u Y 2 l t a W V u d G 8 s N 3 0 m c X V v d D s s J n F 1 b 3 Q 7 U 2 V j d G l v b j E v a G V h b H R o Y 2 F y Z V 9 k Y X R h Y m F z Z V 9 k Z X R h a W x l Z C 9 B d X R v U m V t b 3 Z l Z E N v b H V t b n M x L n t V c 2 8 g T c O p Z G l j b y w 4 f S Z x d W 9 0 O y w m c X V v d D t T Z W N 0 a W 9 u M S 9 o Z W F s d G h j Y X J l X 2 R h d G F i Y X N l X 2 R l d G F p b G V k L 0 F 1 d G 9 S Z W 1 v d m V k Q 2 9 s d W 1 u c z E u e 1 V i a W N h Y 2 n D s 2 4 g Z W 4 g Q W x t Y W P D q W 4 s O X 0 m c X V v d D s s J n F 1 b 3 Q 7 U 2 V j d G l v b j E v a G V h b H R o Y 2 F y Z V 9 k Y X R h Y m F z Z V 9 k Z X R h a W x l Z C 9 B d X R v U m V t b 3 Z l Z E N v b H V t b n M x L n t D w 7 N k a W d v I G R l I E J h c n J h c y w x M H 0 m c X V v d D s s J n F 1 b 3 Q 7 U 2 V j d G l v b j E v a G V h b H R o Y 2 F y Z V 9 k Y X R h Y m F z Z V 9 k Z X R h a W x l Z C 9 B d X R v U m V t b 3 Z l Z E N v b H V t b n M x L n t O w 7 p t Z X J v I G R l I E x v d G U s M T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G V h b H R o Y 2 F y Z V 9 k Y X R h Y m F z Z V 9 k Z X R h a W x l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j Y X J l X 2 R h d G F i Y X N l X 2 R l d G F p b G V k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G N h c m V f Z G F 0 Y W J h c 2 V f Z G V 0 Y W l s Z W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j 0 t x P 3 9 v F K u n 8 D P D 6 R W O s A A A A A A g A A A A A A E G Y A A A A B A A A g A A A A M z L q e G C y h + R K 4 C m X 4 v u n C I Y B i H a E Q p + j h S r E K P n q T r w A A A A A D o A A A A A C A A A g A A A A F H y y q S c + k k E u + J U 9 Q 0 E 5 e L h F r 1 n L Z V H Q R X o m E 6 2 6 9 3 p Q A A A A 7 m X D Z Y s 7 k J G Y f l W G Y 4 X a / c 0 J E D 0 x M 4 f e n x L S o Z Z e 6 D J D G r s i 8 7 6 J i Y r d h P y V 1 O c v v H o Z I p 0 L e R w l 7 6 k 3 Y 7 v P 1 e z I w C P Z A J K 6 l D T T F 4 e g 6 F h A A A A A 4 l 0 z 8 p M A F h t Y R W w D 4 / R T 4 f K 7 l G I a e y D 6 k l p n M H f 6 e 3 F N f j Y 8 + H y 8 z S Z H x P d M j s J 0 s J R o 2 I 6 y J Y D h y G e v s E O 3 y g = = < / D a t a M a s h u p > 
</file>

<file path=customXml/itemProps1.xml><?xml version="1.0" encoding="utf-8"?>
<ds:datastoreItem xmlns:ds="http://schemas.openxmlformats.org/officeDocument/2006/customXml" ds:itemID="{134BB11F-DFDC-49E3-BF37-CEFA788642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Catalogo completo</vt:lpstr>
      <vt:lpstr>Entrada-Salida</vt:lpstr>
      <vt:lpstr>Inventario</vt:lpstr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ESTIVEN SEP�LVEDA GARC�A</dc:creator>
  <cp:lastModifiedBy>ESTIVEN SEP�LVEDA GARC�A</cp:lastModifiedBy>
  <dcterms:created xsi:type="dcterms:W3CDTF">2024-10-17T12:00:47Z</dcterms:created>
  <dcterms:modified xsi:type="dcterms:W3CDTF">2024-10-18T17:16:51Z</dcterms:modified>
</cp:coreProperties>
</file>